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1 квартал 2021 года" sheetId="1" r:id="rId1"/>
  </sheets>
  <externalReferences>
    <externalReference r:id="rId2"/>
    <externalReference r:id="rId3"/>
    <externalReference r:id="rId4"/>
    <externalReference r:id="rId5"/>
  </externalReferences>
  <definedNames>
    <definedName name="SUB1004515169_4" localSheetId="0">'1 квартал 2021 года'!$A$2</definedName>
    <definedName name="SUB1004515169_5" localSheetId="0">#REF!</definedName>
    <definedName name="_xlnm.Print_Titles" localSheetId="0">'1 квартал 2021 года'!$A:$AD,'1 квартал 2021 года'!$6:$10</definedName>
    <definedName name="_xlnm.Print_Area" localSheetId="0">'1 квартал 2021 года'!$A$1:$AD$85</definedName>
  </definedNames>
  <calcPr calcId="125725"/>
</workbook>
</file>

<file path=xl/calcChain.xml><?xml version="1.0" encoding="utf-8"?>
<calcChain xmlns="http://schemas.openxmlformats.org/spreadsheetml/2006/main">
  <c r="S83" i="1"/>
  <c r="I83"/>
  <c r="Q81"/>
  <c r="O81"/>
  <c r="Q80"/>
  <c r="O80"/>
  <c r="Q79"/>
  <c r="O79"/>
  <c r="Q78"/>
  <c r="O78"/>
  <c r="Q77"/>
  <c r="O77"/>
  <c r="Q76"/>
  <c r="O76"/>
  <c r="N75"/>
  <c r="L75" s="1"/>
  <c r="O75" s="1"/>
  <c r="Q75" s="1"/>
  <c r="O74"/>
  <c r="L74"/>
  <c r="L73"/>
  <c r="O73" s="1"/>
  <c r="J73"/>
  <c r="L72"/>
  <c r="O72" s="1"/>
  <c r="J72"/>
  <c r="N71"/>
  <c r="N82" s="1"/>
  <c r="M71"/>
  <c r="J71" s="1"/>
  <c r="O70"/>
  <c r="N70"/>
  <c r="L70"/>
  <c r="J70"/>
  <c r="Q69"/>
  <c r="L69"/>
  <c r="J69"/>
  <c r="M68"/>
  <c r="L68" s="1"/>
  <c r="O68" s="1"/>
  <c r="K68"/>
  <c r="J68" s="1"/>
  <c r="O67"/>
  <c r="M67"/>
  <c r="J67" s="1"/>
  <c r="L67"/>
  <c r="O66"/>
  <c r="M66"/>
  <c r="J66" s="1"/>
  <c r="L66"/>
  <c r="O65"/>
  <c r="M65"/>
  <c r="L65"/>
  <c r="J65"/>
  <c r="O64"/>
  <c r="M64"/>
  <c r="L64"/>
  <c r="J64"/>
  <c r="Q63"/>
  <c r="M63"/>
  <c r="M82" s="1"/>
  <c r="M83" s="1"/>
  <c r="J63"/>
  <c r="AD60"/>
  <c r="AB60"/>
  <c r="AA60"/>
  <c r="Z60"/>
  <c r="Y60"/>
  <c r="X60"/>
  <c r="W60"/>
  <c r="V60"/>
  <c r="U60"/>
  <c r="T60"/>
  <c r="R60"/>
  <c r="P60"/>
  <c r="L59"/>
  <c r="O59" s="1"/>
  <c r="Q58"/>
  <c r="O58"/>
  <c r="L58"/>
  <c r="Q57"/>
  <c r="L57"/>
  <c r="O57" s="1"/>
  <c r="K57"/>
  <c r="J57"/>
  <c r="N56"/>
  <c r="L56"/>
  <c r="S56" s="1"/>
  <c r="K56"/>
  <c r="J56"/>
  <c r="O55"/>
  <c r="L55"/>
  <c r="S55" s="1"/>
  <c r="K55"/>
  <c r="J55" s="1"/>
  <c r="J50" s="1"/>
  <c r="O54"/>
  <c r="L54"/>
  <c r="O53"/>
  <c r="L53"/>
  <c r="O52"/>
  <c r="L52"/>
  <c r="N51"/>
  <c r="L51" s="1"/>
  <c r="N50"/>
  <c r="L50" s="1"/>
  <c r="M50"/>
  <c r="O49"/>
  <c r="L48"/>
  <c r="O48" s="1"/>
  <c r="K48"/>
  <c r="J48"/>
  <c r="L47"/>
  <c r="O47" s="1"/>
  <c r="M46"/>
  <c r="L46"/>
  <c r="O46" s="1"/>
  <c r="K46"/>
  <c r="J46"/>
  <c r="O45"/>
  <c r="N45"/>
  <c r="M45"/>
  <c r="L45"/>
  <c r="S45" s="1"/>
  <c r="J45"/>
  <c r="S44"/>
  <c r="O44"/>
  <c r="J44"/>
  <c r="S43"/>
  <c r="O43"/>
  <c r="N43"/>
  <c r="N40" s="1"/>
  <c r="N39" s="1"/>
  <c r="J43"/>
  <c r="S42"/>
  <c r="L42"/>
  <c r="O42" s="1"/>
  <c r="J42"/>
  <c r="S41"/>
  <c r="S40" s="1"/>
  <c r="S39" s="1"/>
  <c r="L41"/>
  <c r="O41" s="1"/>
  <c r="K41"/>
  <c r="J41"/>
  <c r="J40" s="1"/>
  <c r="M40"/>
  <c r="M39" s="1"/>
  <c r="K40"/>
  <c r="AD37"/>
  <c r="AD61" s="1"/>
  <c r="AB37"/>
  <c r="AB61" s="1"/>
  <c r="AA37"/>
  <c r="AA61" s="1"/>
  <c r="Z37"/>
  <c r="Z61" s="1"/>
  <c r="Y37"/>
  <c r="Y61" s="1"/>
  <c r="X37"/>
  <c r="X61" s="1"/>
  <c r="W37"/>
  <c r="W61" s="1"/>
  <c r="V37"/>
  <c r="V61" s="1"/>
  <c r="U37"/>
  <c r="U61" s="1"/>
  <c r="T37"/>
  <c r="T61" s="1"/>
  <c r="R37"/>
  <c r="R61" s="1"/>
  <c r="Q37"/>
  <c r="Q61" s="1"/>
  <c r="P37"/>
  <c r="P61" s="1"/>
  <c r="O36"/>
  <c r="O35"/>
  <c r="O34"/>
  <c r="O33"/>
  <c r="O32"/>
  <c r="I32"/>
  <c r="O31"/>
  <c r="I31"/>
  <c r="O30"/>
  <c r="K29"/>
  <c r="J29"/>
  <c r="O29" s="1"/>
  <c r="O28"/>
  <c r="K27"/>
  <c r="J27"/>
  <c r="O27" s="1"/>
  <c r="I27"/>
  <c r="K26"/>
  <c r="J26"/>
  <c r="O26" s="1"/>
  <c r="I26"/>
  <c r="L25"/>
  <c r="O25" s="1"/>
  <c r="L24"/>
  <c r="O24" s="1"/>
  <c r="O23"/>
  <c r="N23"/>
  <c r="N21" s="1"/>
  <c r="N17" s="1"/>
  <c r="N37" s="1"/>
  <c r="M23"/>
  <c r="M21" s="1"/>
  <c r="M17" s="1"/>
  <c r="M37" s="1"/>
  <c r="L23"/>
  <c r="S23" s="1"/>
  <c r="S21" s="1"/>
  <c r="S17" s="1"/>
  <c r="S37" s="1"/>
  <c r="K23"/>
  <c r="J23" s="1"/>
  <c r="O22"/>
  <c r="L22"/>
  <c r="J22"/>
  <c r="J21" s="1"/>
  <c r="K21"/>
  <c r="K17" s="1"/>
  <c r="K37" s="1"/>
  <c r="I21"/>
  <c r="I17" s="1"/>
  <c r="I37" s="1"/>
  <c r="I61" s="1"/>
  <c r="L20"/>
  <c r="O20" s="1"/>
  <c r="L19"/>
  <c r="O19" s="1"/>
  <c r="N18"/>
  <c r="L18" s="1"/>
  <c r="M18"/>
  <c r="K18"/>
  <c r="J18"/>
  <c r="I18"/>
  <c r="O16"/>
  <c r="O15"/>
  <c r="O14"/>
  <c r="L14"/>
  <c r="O13"/>
  <c r="L13"/>
  <c r="O12"/>
  <c r="N12"/>
  <c r="J12"/>
  <c r="O21" l="1"/>
  <c r="J17"/>
  <c r="O50"/>
  <c r="S50"/>
  <c r="O18"/>
  <c r="O17" s="1"/>
  <c r="O37" s="1"/>
  <c r="L17"/>
  <c r="L37" s="1"/>
  <c r="N61"/>
  <c r="N60"/>
  <c r="M61"/>
  <c r="M60"/>
  <c r="S61"/>
  <c r="S60"/>
  <c r="O51"/>
  <c r="S51"/>
  <c r="J39"/>
  <c r="J37"/>
  <c r="Q60"/>
  <c r="S48"/>
  <c r="S46" s="1"/>
  <c r="O56"/>
  <c r="Q59"/>
  <c r="L71"/>
  <c r="Q72"/>
  <c r="Q73"/>
  <c r="K82"/>
  <c r="L21"/>
  <c r="K50"/>
  <c r="K39" s="1"/>
  <c r="L63"/>
  <c r="L40"/>
  <c r="L82" l="1"/>
  <c r="O82" s="1"/>
  <c r="O63"/>
  <c r="J82"/>
  <c r="J83" s="1"/>
  <c r="O83" s="1"/>
  <c r="K83"/>
  <c r="O71"/>
  <c r="Q71"/>
  <c r="Q82" s="1"/>
  <c r="Q83" s="1"/>
  <c r="L39"/>
  <c r="O40"/>
  <c r="L60" l="1"/>
  <c r="O39"/>
  <c r="L61"/>
  <c r="O61" l="1"/>
  <c r="O60"/>
</calcChain>
</file>

<file path=xl/comments1.xml><?xml version="1.0" encoding="utf-8"?>
<comments xmlns="http://schemas.openxmlformats.org/spreadsheetml/2006/main">
  <authors>
    <author>Ekonom</author>
  </authors>
  <commentList>
    <comment ref="M73" authorId="0">
      <text>
        <r>
          <rPr>
            <b/>
            <sz val="9"/>
            <color indexed="81"/>
            <rFont val="Tahoma"/>
            <family val="2"/>
            <charset val="204"/>
          </rPr>
          <t>Ekonom:</t>
        </r>
        <r>
          <rPr>
            <sz val="9"/>
            <color indexed="81"/>
            <rFont val="Tahoma"/>
            <family val="2"/>
            <charset val="204"/>
          </rPr>
          <t xml:space="preserve">
05.02.2019
</t>
        </r>
      </text>
    </comment>
    <comment ref="Q73" authorId="0">
      <text>
        <r>
          <rPr>
            <b/>
            <sz val="9"/>
            <color indexed="81"/>
            <rFont val="Tahoma"/>
            <family val="2"/>
            <charset val="204"/>
          </rPr>
          <t>Ekonom:</t>
        </r>
        <r>
          <rPr>
            <sz val="9"/>
            <color indexed="81"/>
            <rFont val="Tahoma"/>
            <family val="2"/>
            <charset val="204"/>
          </rPr>
          <t xml:space="preserve">
05.02.2019
</t>
        </r>
      </text>
    </comment>
  </commentList>
</comments>
</file>

<file path=xl/sharedStrings.xml><?xml version="1.0" encoding="utf-8"?>
<sst xmlns="http://schemas.openxmlformats.org/spreadsheetml/2006/main" count="393" uniqueCount="249">
  <si>
    <t>Форма 21</t>
  </si>
  <si>
    <t>Отчет об исполнении инвестиционной программы за период с 1 января по 31 июля 2020 года</t>
  </si>
  <si>
    <t>РГП на ПХВ "Казводхоз КВР МЭГиПР РК, подача воды по каналам (I квартал)</t>
  </si>
  <si>
    <t xml:space="preserve">Инвестиционная программа на период с 1 августа 2018 года по 31 июля 2023 года </t>
  </si>
  <si>
    <t>утвержден приказом КВР МЭГиПР РК от 11.03.2021 года № 28 и ДКРЕМ по г.Нур-Султан МНЭ РК от 11.03.2021 года №48-Н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</si>
  <si>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</si>
  <si>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</si>
  <si>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</si>
  <si>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(проекта), тенге (без учета НДС)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</si>
  <si>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</si>
  <si>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</si>
  <si>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</si>
  <si>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</si>
  <si>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</si>
  <si>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</si>
  <si>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</si>
  <si>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показателях, тыс.м3</t>
  </si>
  <si>
    <t>Период предоставления услуги в рамках инвестиционной программы (проекта)</t>
  </si>
  <si>
    <t>План</t>
  </si>
  <si>
    <t>Факт за 2 год реализации</t>
  </si>
  <si>
    <t>Факт с 1 августа по 31 декабря 2019 года</t>
  </si>
  <si>
    <t>2021 год</t>
  </si>
  <si>
    <t>Факт с 1 января по 31 июля 2020 года</t>
  </si>
  <si>
    <t>Факт с 1 августа по 31 декабря 2020 года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</si>
  <si>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</si>
  <si>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</si>
  <si>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</si>
  <si>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</si>
  <si>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</si>
  <si>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</si>
  <si>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</si>
  <si>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</si>
  <si>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</si>
  <si>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</si>
  <si>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</si>
  <si>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</si>
  <si>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</si>
  <si>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</si>
  <si>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</si>
  <si>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 xml:space="preserve">Утвержденные мероприятия </t>
  </si>
  <si>
    <t>1</t>
  </si>
  <si>
    <t xml:space="preserve">подача воды по каналу </t>
  </si>
  <si>
    <t>Реконструкция оросительных сетей Аксуского района Алматинской области (II этап)</t>
  </si>
  <si>
    <t>шт</t>
  </si>
  <si>
    <t>2/3</t>
  </si>
  <si>
    <t>3 год реализации</t>
  </si>
  <si>
    <t xml:space="preserve">Мероприятие утверждено в действующей инвестиционной программе на сумму  46 030,27 тыс.тенге, договор №604-Р/19 «На работы по ремонту/реконструкции систем орошения (каналов)» был заключен 30 декабря 2019года (протокола об итогах государственных закупок прилагаются). Согласно графику производства работы должны были начаться в марте месяце, но в связи со сложившейся ЧС (пандемия) в РК, работы были начаты в июле месяце.
На 1 августа 2020 года работы выполнены на общую сумму 19 186,33 тыс. тенге (без НДС). Исполнение мероприятия ожидается до конца текущего года.
</t>
  </si>
  <si>
    <t>Работы по реконструкции оросительных сетей Аксуского района Алматинской области (I этап) выполнены. По II этапу ожидается исполнение до конца года реализации (период ИП с 1 августа 2020 года по 31 июля 2021 года)</t>
  </si>
  <si>
    <t>2</t>
  </si>
  <si>
    <t>Ремонт Жартасского магистрального канала (4 этап)</t>
  </si>
  <si>
    <t>км</t>
  </si>
  <si>
    <t>2,74</t>
  </si>
  <si>
    <t>Неисполнение в связи с дефицитом финансовых средств и низкого тарифа на услугу по подаче воды по каналам для сельхозтоваропроизводителей способом самотека (Карагандинский филиал)</t>
  </si>
  <si>
    <t>Ожидается исполнение до конца года реализации (период ИП с 1 августа 2020 года по 31 июля 2021 года)</t>
  </si>
  <si>
    <t>3</t>
  </si>
  <si>
    <t xml:space="preserve">Капитальный ремонт канала Сунак Ата Жанакорганского района </t>
  </si>
  <si>
    <t>км/шт</t>
  </si>
  <si>
    <t>26,1/18</t>
  </si>
  <si>
    <t>4</t>
  </si>
  <si>
    <t>Реконструкция оросительных сетей Карасайского района Алматинской области (I этап)</t>
  </si>
  <si>
    <t>51,43</t>
  </si>
  <si>
    <t>В целях реализации Госпрограммы АПК изменения были внесены и утверждены в марте 2021 года. Ожидается исполнение</t>
  </si>
  <si>
    <t>5</t>
  </si>
  <si>
    <t>Цифровизация, автоматизация и диспетчеризация процессов водоучета,  водораспределения - создание Единой БД по учету воды, Единой информационной архитектуры водохозяйственного комплекса</t>
  </si>
  <si>
    <t>услуга</t>
  </si>
  <si>
    <t>В целях реализации поручения Главы Государства изменения были внесены и утверждены в марте 2021 года. Ожидается исполнение</t>
  </si>
  <si>
    <t>6</t>
  </si>
  <si>
    <t>Восстановление ирригации и дренажа</t>
  </si>
  <si>
    <t>6.1</t>
  </si>
  <si>
    <t>Улучшение дренажных систем:</t>
  </si>
  <si>
    <t xml:space="preserve">Контракты не заключены ввиду вступления в силу решения суда о признании заключенных договоров о приобретении ПСД у ТОО «Жоба дизайн» недействительными и приведении сторон в первоначальное положение.
В настоящее время разрабатывается новая проектно-сметная документация.
Предвартельный срок разработки и прохождения государственной экспертизы декабрь 2020 года. 
</t>
  </si>
  <si>
    <t>6.1.1</t>
  </si>
  <si>
    <t>Махатаралского района Туркестанской области</t>
  </si>
  <si>
    <t>км/скв</t>
  </si>
  <si>
    <t>52,86/70</t>
  </si>
  <si>
    <t xml:space="preserve">Контракты не заключены ввиду вступления в силу решения суда о признании заключенных догоров о приобретении ПСД у ТОО «Жоба дизайн» недействительными и приведении сторон в первоначальное положение.
В настоящее время разрабатывается новая проектно-сметная документация.
Предвартельный срок разработки и прохождения государственной экспертизы декабрь 2020 года. 
</t>
  </si>
  <si>
    <t>6.1.2</t>
  </si>
  <si>
    <t>Шардаринского района Туркестанской области</t>
  </si>
  <si>
    <t>42,92/100</t>
  </si>
  <si>
    <t>6.2</t>
  </si>
  <si>
    <t>Улучшение оросительных систем Алматинской области:</t>
  </si>
  <si>
    <t>6.2.1</t>
  </si>
  <si>
    <t>1) Коксуский район</t>
  </si>
  <si>
    <t>га/км</t>
  </si>
  <si>
    <t>4533,33/124,24</t>
  </si>
  <si>
    <t>По проекту Коксуского района требуется корректировка ПСД с учетом цен 2020 года с дальнейшим получением государственой экспертизы.</t>
  </si>
  <si>
    <t>По проекту Коксуского района требуется корректировка ПСД с учетом цен 2020 года с дальнейшим получением государственой экспертизы</t>
  </si>
  <si>
    <t>6.2.2</t>
  </si>
  <si>
    <t>2) Аксуский район</t>
  </si>
  <si>
    <t>3849,33/211,25</t>
  </si>
  <si>
    <t>Подрядчик ТОО «Тамас». Срок контракта с 22.07.2019 г. по 12.02.2021 г. 100 % исполнение ожидается до конца реализации инвестиционной программы</t>
  </si>
  <si>
    <t>Остаток срока до контрактного завершения всего 4 месяца. Ожидается даьнейшее исполнение</t>
  </si>
  <si>
    <t>6.2.3</t>
  </si>
  <si>
    <t>3) Алакольский район</t>
  </si>
  <si>
    <t>2000/25,97</t>
  </si>
  <si>
    <t>По проекту Алакольского района требуется корректировка ПСД с учетом цен 2020 года с дальнейшим получением государственой экспертизы.</t>
  </si>
  <si>
    <t>По проекту Алакольского района требуется корректировка ПСД с учетом цен 2020 года с дальнейшим получением государственой экспертизы</t>
  </si>
  <si>
    <t>6.2.4</t>
  </si>
  <si>
    <t>4) Ескельдинский район</t>
  </si>
  <si>
    <t>1420,67/97,37</t>
  </si>
  <si>
    <t xml:space="preserve">
Подрядчик ТОО «Асатай». В настоящее время, планируется подписание дополнительного соглашения с подрядчиком в части дополнительных работ и сроков контракта и завершение им оставшейся части СМР. Банк предоставил согласие на продление срока Контракта до 30.12.2020
</t>
  </si>
  <si>
    <t>В настоящее время, планируется подписание дополнительного соглашения с подрядчиком в части дополнительных работ и сроков контракта и завершение им оставшейся части СМР. Банк предоставил согласие на продление срока Контракта до 30.12.2020</t>
  </si>
  <si>
    <t>6.3</t>
  </si>
  <si>
    <t>Усиление контроля и автоматизации данных</t>
  </si>
  <si>
    <t xml:space="preserve">Задержка реализации компонента связана с реорганизацией структуры Правительства и передачи ряда функций из Министерства сельского хозяйства в Министерство экологии, геологии и природных ресурсов.  </t>
  </si>
  <si>
    <t>6.3.1</t>
  </si>
  <si>
    <t>Совершенствование лабораторий</t>
  </si>
  <si>
    <t>6.3.2</t>
  </si>
  <si>
    <t xml:space="preserve">Оснащение современным лабороторным оборудованием </t>
  </si>
  <si>
    <t>6.3.3</t>
  </si>
  <si>
    <t>Ремонт здания Шардара</t>
  </si>
  <si>
    <t>Оснащение техникой</t>
  </si>
  <si>
    <t>ед</t>
  </si>
  <si>
    <t>6.3.3.1</t>
  </si>
  <si>
    <t>Мониторинг КИПиА системы ирригации и дренажа</t>
  </si>
  <si>
    <t>комплект</t>
  </si>
  <si>
    <t>5.4.2.2</t>
  </si>
  <si>
    <t>Контроль автоматизации скважин вертикального дренажа</t>
  </si>
  <si>
    <t>5.4.2.3</t>
  </si>
  <si>
    <t>Датчик давления и датчик засоления</t>
  </si>
  <si>
    <t>200</t>
  </si>
  <si>
    <t>5.4.2.4</t>
  </si>
  <si>
    <t>Регистратор данных</t>
  </si>
  <si>
    <t>5.4.2.5</t>
  </si>
  <si>
    <t>Модем</t>
  </si>
  <si>
    <t>5.4.2.6</t>
  </si>
  <si>
    <t>СИМ + пакет данных</t>
  </si>
  <si>
    <t>ВСЕГО</t>
  </si>
  <si>
    <t>Переходящие мероприятия</t>
  </si>
  <si>
    <t>Реконструкция водохозяйственных и гидромелиоративных  систем Актюбинской, Жамбылской и Туркестанской областей</t>
  </si>
  <si>
    <t>Жамбылская область</t>
  </si>
  <si>
    <t>Реконструкция ирригационных систем и сооружений в Жамбылском районе</t>
  </si>
  <si>
    <t>7 971 / 271,01</t>
  </si>
  <si>
    <t xml:space="preserve">По объекту «Реконструкция ирригационных систем и сооружений в Жамбылском районе» (капитальный ремонт межхозяйственных каналов «Талас-Аса», «Бескемпир» и «Бошмойын») подписан контракт с подрядчиком ТОО «РЕАЛ-билдинг» №SKIP_Z01 (лот1) от 15.01.2019 г на общую сумму 893 546,875 тыс. тенге (финансирование ЕБРР – 797 809,710 тыс. тенге, софинансирование из РБ – 95 737,165 тыс. тенге).
За 2 год реализации выполнено СМР на общую сумму – 376 911,452 тыс. тенге (без НДС).
Срок контракта 05.01.2019 – 02.07.2020 г.
Подрядчик обратился с запросом о продлении срока завершения контракта на 35 дней после окончания вегетационного периода в Жамбылской области.
Темпы снижены из-за вегетационного периода. Остались работы по установке гидропостов и задвижек. Смысла в обводных каналах нет.
По объекту «Реконструкция оросительных каналов, дренажных систем и сооружений в Жамбылском районе Жамбылской области: Система МК «Райс»» подписан контракт с подрядчиком ТОО «СМУ-Бурводстрой» №SKIP_Z01.2 от 14.06.2019 г. на общую сумму - 1 817 343,082 тыс. тенге (финансирование ЕБРР – 1 622 627,752 тыс. тенге, софинансирование из РБ – 194 715,330 тыс. тенге).
За 2 год реализации выполнено СМР на общую сумму – 646 135,213 тыс. тенге (без НДС).
Срок контракта 14.06.2019 – 05.04.2021 г.
Работы выполняются в соответствии с графиком.
По объекту «Реконструкция оросительных каналов, дренажных систем и сооружений в Жамбылском районе Жамбылской области: МК «Исмаил», «Куат», «Жамбыл», МХК «Дунгановский», «Бесагаш», «Мерхалык»» подписан контракт с ТОО «TOLAGAI-2050» № SKIP_Z01.3 от 18.06.2019г. на общую сумму 715 625,232 тыс. тенге (финансирование ЕБРР – 638 951,100 тыс. тенге, софинансирование из РБ – 76 674,132 тыс. тенге). За 2 год реализации выполнено СМР на общую сумму – 242 495,664 тыс. тенге (без НДС). Срок контракта 18.06.2019 – 07.01.2021 г.
По объекту «Реконструкция оросительных каналов, дренажных систем и сооружений в Жамбылском районе Жамбылской области: МК Бошакай; МК Малдыбай; МК Старый Аса-Талас; МК Тауке; МК Аса-Талас с выделами ВХК Шомай - Тоган, МХК Тасшабак, ВХК Каржаубай, ВХК Сейсен-1, ВХК Сейсен-2, МХК Киши тоган, ВХК Байбатыр-1, ВХК Байбатыр-2; МХК Жанузак; МХК Карымсак; МХК Тулек; и выделы МХК Капал: ВХК Есенгельды-1 и ВХК Есенгельды-2» подписан контракт с подрядчиком «Китайская Гражданская Инженерно-Строительная Корпорация» №SKIP_Z01.4 от 30.12.2019г на общую сумму - 2 493,195 тыс. долларов США (финансирование ЕБРР – 2 226,067 тыс. долларов США, софинансирование из РБ – 267,128 тыс. долларов США).
Оплачено аванс 20 % в размере 445,213 тыс. долларов США (192 439,014 тыс. тенге).Срок контракта 30.12.2019 – 02.02.2021 г.
Работы выполняются с отставанием от графиков.Подрядчик приступил к выполнению работ 03.02.2020 г, однако в настоящее время работы не ведутся.Освоение в отчетном периоде без изменений.
По объекту «Реконструкция оросительных каналов, дренажных систем и сооружений в Жамбылском районе Жамбылской области: Система МК «Саза»» подписан контракт с АО «Павлодарский речной порт» №SKIP_Z01.5 от 18.06.2019 г. на общую сумму 1 042 497,919 тыс. тенге (финансирование ЕБРР – 930 801,713 тыс. тенге, софинансирование из РБ – 111 696,206 тыс. тенге).
За 2 год реализации выполнено всего СМР на общую сумму – 174 519,431 тыс. тенге (без НДС). Срок контракта 18.06.2019 – 05.07.2021 г.
По объекту « Реконструкция оросительных каналов, дренажных систем и сооружений в Жамбылском районе Жамбылской области: МХК Кызыл, ВХК Мейрман, ВХК Кошан, МХК Сейдалы» -  подписан контракт №SKIP_Z01.6 с ООО «Китайская Гражданская Инженерно-Строительная Корпорация»  от 30.12.2019г. на общую сумму 4 152,898 тыс. долларов. США (финансирование ЕБРР – 3 707,944 тыс. долларов США, софинансирование из РБ – 444,953 тыс. долл. США).
Оплачен аванс 20 % в размере 741,589 тыс. долларов США (320 544,373 тыс. тг).Срок контракта 30.12.2019 – 02.02.2021 г.Контракт заключен в долларах США.Подрядчик приступил к выполнению работ, однако в настоящее время работы не ведутся.
Освоение в отчетном периоде без изменений.
По объекту «Реконструкция оросительных каналов, дренажных систем и сооружений в Жамбылском районе Жамбылской области: ВХК Спиртовый, ВХК Омар-Лоток, ВХК Омар-Арык, ВХК Ажибек, ВХК Прали, ВХК Жиембет, ВХК Тогатай, ВХК Усен, МХК Капал-Аса» подписан контракт с ТОО «Фирма ЕЛАМАН»  №SKIP_Z01.7  от 30.12.2019 г. на общую сумму 402 392,917 тыс. тенге (финансирование ЕБРР – 359 279,390 тыс. тенге, софинансирование из РБ – 43 113,527 тыс. тенге).
Подрядчик приступил к выполнению работ 21.02.2020 г.
Срок контракта 30.12.2019 – 20.02.2021 г. 
За 2 год реализации выполнено всего СМР на общую сумму – 141 648,361 тыс. тенге (без НДС). 
По итогам работы за август освоение составило 39,42%. 
</t>
  </si>
  <si>
    <t>В Жамбылском районе Жамбылской области строительные работы по одному контракту начались в январе 2019 г., по трем контрактам– в июле 2019 г. и еще по трем – в феврале 2020 г. Факт за 2020 год – 1 603 082,738 тыс. тенге.Ожидается продление срока завершения работ из-за приостановок на период карантина Ковид-2019 и вегетационного периода. 100 % исполнение данного мероприятия ожидается до реализации инвестиционной программы.</t>
  </si>
  <si>
    <t>Реконструкция ирригационных систем и сооружений в Байзакском районе</t>
  </si>
  <si>
    <t>6756 / 299,03</t>
  </si>
  <si>
    <t xml:space="preserve">По контракту ТОО «ORION CONSTRUCTION LTD»  №SKIP_Z02.1 от 05.09.2019г,  Работы выполняются с отставанием от графика в связи с введением режима ЧП пандемии COVID-19. Освоение в отчетном периоде без изменений. По контрактам ТОО «ORION CONSTRUCTION LTD» №SKIP_Z02.2 №SKIP_Z02.5 от 05.09.2019г исполнение за 7 месяцев 2020 года 434 918,56 тыс. тенге(без НДС), работы выполняются в соответствии с графиком. По контрактам ТОО «КазАтакентКурылыс» №SKIP_Z02.3 от 30.12.2019 г, » №SKIP_Z02.34 от 30.12.2019 г  Подрядчик приступил к мобилизации 5 мая 2020 года. В настоящее время работы не начаты. По контрактам ТОО «Курылыс ТЭД» SKIP_Z02.6  от 28.02.2020 г., SKIP_Z02.7  от 28.02.2020 г., SKIP_Z02.8  от 28.02.2020 г.  Подрядчик приступил к мобилизации 27 апреля 2020 года. В настоящее время работы не начаты. Освоение в отчетном периоде без изменений. 
</t>
  </si>
  <si>
    <t>В Байзакском районе Жамбылской области строительные работы по трем контрактам начались в октябре 2019 г., ещё по пяти контрактам Подрядчики приступили к выполнению работ в середине 2 кв.2020 г. Факт за 2020 год – 761 873,145 тыс. тенге. Из-за приостановок на период карантина Ковид-2019 и вегетационного периода 100 % исполнение данного мероприятия ожидается до реализации инвестиционной программы.</t>
  </si>
  <si>
    <t>6.1.3</t>
  </si>
  <si>
    <t>Реконструкция ирригационных систем и сооружений в Кордайском районе</t>
  </si>
  <si>
    <t>4950 / 131,35</t>
  </si>
  <si>
    <t xml:space="preserve"> Контракт ТОО «Элитстройсервис-Актобе» №SKIP_Z03 от 30.12.2019 г. Подрядчик приступил к выполнению работ 10 марта 2020 года. Работы были приостановлены с 6 апреля. Письмом от 20 мая подрядчик уведомил о возобновлении строительно-монтажных работ. Работы не ведутся. Освоение в отчетном периоде без изменений.100 % исполнение ожидается до конца года реализации</t>
  </si>
  <si>
    <t>В Кордайском районе Жамбылской области Подрядчик приступил к выполнению работ по контракту в марте 2020 г. Факт за 2020 год – 228 901,97 тыс. тенге. Из-за приостановок на период карантина Ковид-2019 и вегетационного периода 100 % исполнение данного мероприятия ожидается до реализации инвестиционной программы.</t>
  </si>
  <si>
    <t>6.1.4</t>
  </si>
  <si>
    <t>Реконструкция ирригационных систем и сооружений в Меркенском районе</t>
  </si>
  <si>
    <t>4449 / 145,96</t>
  </si>
  <si>
    <t>По объекту «Реконструкция оросительных каналов, дренажных систем и сооружений в Меркенском районе  Жамбылской области: МХК «АПТП» и МХК «Майлыбай»  подписан контракт с ТОО «ТрейдИнтерКом»  №SKIP_Z04.1 от 28.02.2020 г. Срок контракта 28.02.2020 – 28.08.2021 г.Работы не начаты. По объекту "Реконструкция оросительных каналов, дренажных систем и сооружений в Меркенском районе Жамбылской области: МХК «АПТП» и МХК «Майлыбай»" №SKIP_Z04.2 от 28.02.2020 г ТОО АктобеНефтеГазСтрой,  Мобилизация начата 15 мая 2020 года. Факт за 7 месяцев 2020 года составил 181 020,74 тыс. тенге (без НДС). «По объекту «Реконструкция оросительных каналов, дренажных систем и сооружений в Меркенском районе Жамбылской области: Восстановление водозаборных скважин» подрядчик не определен. Задержка в предоставлении ПСД Консультантом по проектированию. Объявление о проведении тендера запланировано на июнь 2020 года</t>
  </si>
  <si>
    <t>В Меркенском районе Жамбылской области по двум контрактам работы были начаты в феврале 2020 г. По одному контракту объявлены торги, идет оценка тендерных заявок. Факт за 2020 год – 429 781,034 тыс. тенге. Из-за приостановок на период карантина Ковид-2019 и вегетационного периода 100 % исполнение данного мероприятия ожидается до реализации инвестиционной программы.</t>
  </si>
  <si>
    <t>6.1.5</t>
  </si>
  <si>
    <t>Реконструкция ирригационных систем и сооружений в Жуалинском районе</t>
  </si>
  <si>
    <t>1386 / 44,64</t>
  </si>
  <si>
    <t xml:space="preserve">По объекту «Реконструкция оросительных каналов, дренажных систем и сооружений в Жуалынском районе Жамбылской области: МК «Коксай» и МК «Тихий» подписан контракт с АО «Павлодарский речной порт» №SKIP_Z05.1 от 30.12.2019 г. Работы не начаты. Освоение в отчетном периоде без изменений.По объекту «Реконструкция оросительных каналов, дренажных систем и сооружений в Жуалынском районе Жамбылской области: МК «Аксай», МК «Таракул» подписан контракт с ТОО «Фирма ЕЛАМАН» №SKIP_Z05.2 от  30.12.2019г. Факт за месяцев 2020 г. 99 035,78 тыс. тенге
</t>
  </si>
  <si>
    <t xml:space="preserve"> В Жуалинском районе Жамбылской области по одному контракту работы были начаты в феврале 2020г, по второму – в марте 2020г. Завершение всех строительно-монтажных работ намечается на конец 2022 года. Факт за 2020 год – 99 035,78 тыс. тенге. Из-за приостановок на период карантина Ковид-2019 и вегетационного периода 100 % исполнение данного мероприятия ожидается до реализации инвестиционной программы.</t>
  </si>
  <si>
    <t>Туркестанская область</t>
  </si>
  <si>
    <t>Строительство водовода и насосной станции в Жаушыумском массиве Шардаринского района</t>
  </si>
  <si>
    <t>6096 / 23,31</t>
  </si>
  <si>
    <t xml:space="preserve">Приглашение к участию в торгах размещено на сайте Банка 20 июля 2020 года.
Срок для предоставления и вскрытия конкурсных заявок 20 сентября 2020 года.
</t>
  </si>
  <si>
    <t xml:space="preserve">Контракт №SKIP_S03.2 подписан с ТОО «ORIONCONSTRUCTIONLTD» 14.11.2020г. Сумма Контракта: финансирование ЕБРР – 2 537 686 851,37 тенге. Дата начала работ – 21.12.2020г. Выполняется мобилизация.
</t>
  </si>
  <si>
    <t>Реконструкция межхозяйственного канала Р-5 в едином комплексе с подпитывающем каналом к Р-5 и его новым отводом в Ордабасинском районе</t>
  </si>
  <si>
    <t>750 / 4,75</t>
  </si>
  <si>
    <t xml:space="preserve">По объекту ««Реконструкция межхозяйственного канала 
Р-5 в едином комплексе с подпитывающем каналом к 
Р-5 и его новым отводам в Ордабасинском районе»  подписан контракт с ТОО «Реал-билдинг» №SKIP_S02 от 13.05.2019 г на общую сумму 560 457,728 тыс. тенге (финансирование ЕБРР – 500 408,686 тыс. тенге, софинансирование из РБ – 60 049,042 тыс. тенге).
Срок контракта 13.05.2019 – 07.07.2020 г.
Выполнено всего СМР – 198 748,431 тыс. тенге (что составляет 35,46 % от общей стоимости контракта). Оплачено всего – 178 873,588 тыс. тенге.
Подрядчик обратился с запросом о продлении срока завершения контракта на 38 дней после окончания вегетационного периода в Туркестанской области.
В настоящее время работы не ведутся.
</t>
  </si>
  <si>
    <t>Выполнение СМР в завершающей стадии. Ведется работа по продлению срока завершения работ из-за приостановок на период карантина Ковид-2019 и вегетационного периода. выполнение работ будет завершено в 1 квартале 2021 года. Ожидается изменение объема работ.</t>
  </si>
  <si>
    <t>Реконструкция Шаульдерского подпитывающего канала в Отырарском районе, Реконструкция внутренних коллекторно-дренажных сетей Шаульдерского массива в Отырарском районе</t>
  </si>
  <si>
    <t>6000 / 14,85</t>
  </si>
  <si>
    <t>Конкурс проведен, оценочный отчет направлен в РГП «Казводхоз».Заключен контракт. В настоящее время работы не ведутся.</t>
  </si>
  <si>
    <t xml:space="preserve">Контракт №SKIP_S03.1 подписан с ТОО «ORIONCONSTRUCTIONLTD» 14.11.2020г. Сумма Контракта: финансирование ЕБРР – 3 932 791 098,39 тенге Дата начала работ – 21.12.2020г. Выполняется мобилизация.
</t>
  </si>
  <si>
    <t>Актюбинская область</t>
  </si>
  <si>
    <t>Реконструкция ирригационных систем и сооружений в г. Актобе</t>
  </si>
  <si>
    <t>1164 / 16,18</t>
  </si>
  <si>
    <t xml:space="preserve">По объекту «Реконструкция объектов поливочного водоснабжения (регулярное орошение), расположенных в сельских округах города Актобе» подписан контракт с подрядчиком ТОО «ТрейдИнтерКом» №SKIP_А01.1 от 15.03.2018 г. на общую сумму 1 995 596,202 тыс. тенге, в том числе 1 781 782,323 тыс. тенге за счет Европейского Банка Реконструкции и Развития, 213 813,878 тыс. тенге за счет софинансирования из Республиканского бюджета. Срок контракта 15.03.2018 – 30.07.2019 г. Выполнено СМР на общую сумму – 1 737 777,44 тыс. тенге, что составляет 97% от общей суммы контракта). Оплачено всего 1 750 671,662 тыс. тенге.
10% от общей суммы выполненных работ удерживается Банком в качестве гарантии исполнения гарантийных обязательств. Строительно-монтажные работы завершены. Готовится проведение независимого технического обследования объектов.
</t>
  </si>
  <si>
    <t xml:space="preserve">СМР завершены (2018-2019), испытания проведены, проведено независимое техническое обследование объектов, завершен процесс приемки объектов.
</t>
  </si>
  <si>
    <t>Реконструкция ирригационных систем и сооружений в Хромтауском и Алгинском районах, а также восстановление системы лиманного орошения,</t>
  </si>
  <si>
    <t>448 / 4,49</t>
  </si>
  <si>
    <t>По объекту «Реконструкция объектов ирригации в Хромтауском, Аглинском и Уилском районах» подписан контракт с подрядчиком ТОО «Элитстройсервис-Актобе» №SKIP_А01.2 от 15.03.2018 г на общую сумму 518 344,117 тыс. тенге, в том числе 462 807,247 тыс. тенге - финансирование за счет ЕБРР, и 55 536,870 тыс. тенге - софинансирование из Республиканского бюджета. Выполнено СМР на общую сумму – 462 807,25 тыс. тенге (без НДС), что составляет 100% от общей суммы контракта. Срок контракта 15.03.2018 – 31.07.2019 г. Все строительно-монтажные работы завершены. Испытания проведены. Выявленные недостатки устранены. Объекты сданы в эксплуатацию.</t>
  </si>
  <si>
    <t xml:space="preserve">Все СМР завершены (2018-2019). Испытания проведены. Выявленные недостатки устранены. Объекты сданы в эксплуатацию </t>
  </si>
  <si>
    <t>Реконструкция ирригационных систем и сооружений в Каргалинском районе</t>
  </si>
  <si>
    <t>2123 / 12,395</t>
  </si>
  <si>
    <t>По объекту «Реконструкция объектов поливочного водоснабжения для орошаемых участков (регулярное орошение) расположенных в Каргалинском районе» подписан контракт с подрядчиком ТОО «Актобе НефтеГазСтрой» №SKIP_А01.3 от 15.03.2018 г на общую сумму 1 910 973,663 тыс. тенге, в том числе 1 706 226,484 тыс. тенге – финансирование за счет ЕБРР, и 204 747,178 тыс. тенге - софинансирование из Республиканского бюджета. Срок контракта 15.03.2018 – 30.07.2019 г. Выполнено СМР на общую сумму – 1 674 132,38 тыс. тенге без НДС, что составляет 98% от общей суммы контракта.  Строительно-монтажные работы завершены. Готовится проведение независимого технического обследования объектов.</t>
  </si>
  <si>
    <t>Все СМР завершены (2018-2019). Испытания проведены. Выявленные недостатки устранены. Объекты сданы в эксплуатацию Заказчику (Акты ввода объектов в эксплуатацию от 27.08.2019г.). Проведено независимое техническое обследование объектов.</t>
  </si>
  <si>
    <t>6.3.4</t>
  </si>
  <si>
    <t>Реконструкция ирригационных систем и сооружений в Мартукском районе</t>
  </si>
  <si>
    <t>900 / 8,48</t>
  </si>
  <si>
    <t xml:space="preserve">По объекту «Реконструкция объектов внешней инфраструктуры для орошаемых участков Мартукского района» подписан контракт с подрядчиком ТОО «Энергия XXI век» №SKIP_А01.4 от 15.03.2018 г. на общую сумму 1 273 641,372 тыс. тенге, в том числе 1 137 179,797 тыс. тенге за счет Европейского Банка Реконструкции и Развития, 136 461,576 тыс. тенге за счет софинансирования из Республиканского бюджета. Срок контракта 15.03.2018 – 06.07.2019 г. Выполнено СМР на общую сумму – 1 070 412,67 тыс. тенге (без НДС), что составляет 94 % от общей суммы контракта. Оплачено всего – 1 078 975,973 тыс. тенге. Испытания и пуско-наладочные работы проведены. Строительно-монтажные работы выполнены. Готовится проведение независимого технического обследования объектов. </t>
  </si>
  <si>
    <t xml:space="preserve">Контракт№SKIP_А01.4 от 15.03.2018 г. подписан с подрядчиком ТОО «Энергия XXI век».
- Сумма Контракта: 1 137 179 796,83 тенге за счет ЕБРР
Испытания и пуско-наладочные работы проведены, выявленные недостатки устранены. Проведено независимое техническое обследование объектов.Для сдачи объектов в эксплуатацию необходимо подписание дополнительного соглашения. Ведется работа по его согласованию и подписанию.
</t>
  </si>
  <si>
    <t>6.3.5</t>
  </si>
  <si>
    <t>Развитие объектов инфракструктуры зеленой зоны г. Актобе путем строительства водовода с Актюбинского водохранилища в русло р. Сазды</t>
  </si>
  <si>
    <t>7 994,5 / 47,05</t>
  </si>
  <si>
    <t xml:space="preserve">По объекту  «Развитие объектов инфраструктуры зеленой зоны г.Актобе путем строительства водовода с Актюбинского водохранилища в русло р.Сазды» подписан контракт с подрядчиком (Консорциум Жаса) ТОО «Техника РемСтрой» №SKIP_А01.5 от 15.03.2018 г. на общую сумму - 1 525 011,468 тыс. тенге, в том числе 1 361 617,382 тыс. тенге за счет Европейского Банка Реконструкции и Развития, 163 394,086 тыс. тенге за счет софинансирования из Республиканского бюджета.
Срок контракта 15.03.2018 – 06.12.2019 г.
Выполнено СМР на общую сумму – 1 070 917,680 тыс. тенге (что составляет 70 % от общей суммы контракта). Оплачено всего  - 963 825,912 тыс. тенге.
СМР за май месяц 2020 года выполнено работ на 143 591,509 тыс. тенге оплачено в мае 2020 года – 129 232,358 тыс. тенге.
Разница в сравнении 61 % за апрель. Освоение составило 9% или 129 232,358 тыс. тенге.
Работы по 3-ей очереди строительства завершены. Получено положительное заключение госэкспертизы.
По 1-ой и 2-ой очередям строительно-монтажные работы не ведутся. Проводится корректировка проекта с прохождением госэкспертизы. 
</t>
  </si>
  <si>
    <t xml:space="preserve">Контракт№SKIP_А01.5 от 15.03.2018 г. подписан с подрядчиком (Консорциум Жаса) ТОО «Техника РемСтрой».Сумма Контракта:  1 361 617 382,31 тенге за счет ЕБРР, 163 394 085,87. Работы по 3-ей очереди строительства завершены. По 1-ой и 2-ой очередям проведена корректировка ПСД и ее повторное утверждение в Госэкспертизе. Рассматривается вопрос по необходимости подготовки дополнительного соглашения к контракту на изменение состава работ и продление срока завершения работ. Факт за 2020 год – 128 206,7 тыс. тенге
</t>
  </si>
  <si>
    <t>6.4</t>
  </si>
  <si>
    <t>Помощь в подготовке тендеров, Проектирование, Инженерное сопровождение (ПИР, авторский и технический надзор)</t>
  </si>
  <si>
    <t xml:space="preserve">услуга </t>
  </si>
  <si>
    <t>Контракт на оказание консультационных услуг №QCBS-01 от 06.03.2018г. подписан с Филиалом ООО «СЕСТ Инфраструктурный Консалтинг». Факт за 7 месяцев 2020 года составил 177 273, 096 тыс. тенге(без НДС).  Контракт на предоставление услуг по разработке ПСД для объектов в Жамбылской и Турскестанской областях №QCBS-02 от 09.04.2018 г. подписан с ТОО «Казюжгипроводстройпроект». Факт за 7 месяцев 2020 года составил 114 443,239 тыс. тенге(без НДС). Консультант проекта по надзору за строительством СП «Темельсу – Су-Япы», консультант по финансовому аудиту проекта (ТОО «Казахстанаудит). Ожидается дальнейшее исполнение</t>
  </si>
  <si>
    <t>100 % исполнение данного мероприятия ожидается до конца реализации инвестиционной программы</t>
  </si>
  <si>
    <t>Реконструкция ОРУ подстанции 220 кВ для насосной станции 18 Канала имени Каныша Сатпаева, в т.ч. технический и авторский надзор.</t>
  </si>
  <si>
    <t>работа/услуга</t>
  </si>
  <si>
    <t>2\2</t>
  </si>
  <si>
    <t>с 1 года реализации</t>
  </si>
  <si>
    <t>Подрядной организацией работы на объекте выполнены на 95%. В связи с введением ранее ЧП и усилением карантийных мер по недопущению распространения коронавирусной инфекции, отсутствует шеф-инженер из России, для проведения пуско-наладочных работ. После проведения данных работ, объект будет принят в эксплуатацию.</t>
  </si>
  <si>
    <t>100 % исполнение</t>
  </si>
  <si>
    <t>Реконструкция ОРУ подстанций 110 кВ для внешнего электроснабжения насосных станций №20,21,22 филиала Канал имени К.Сатпаева" расположенных в Карагандинской области, в т.ч. технический и авторский надзор.</t>
  </si>
  <si>
    <t>Строительно-монтажные работы выполнены на 100%, ведутся пуско-наладочные работы, подготавливается исполнительная документация для сдачи комиссии по приемке объекта в эксплуатацию.</t>
  </si>
  <si>
    <t>Капитальный ремонт канала Курайлы Кармакшинского района</t>
  </si>
  <si>
    <t>48,2/20</t>
  </si>
  <si>
    <t>с 2 года реализации</t>
  </si>
  <si>
    <t>Мероприятие утверждено в действующей инвестиционной программе на сумму  168 531,98 тыс.тенге. В связи с дефицитом финансовых средств работы по ремонту канала Курайлы начались в январе 2020 года, на 1 полугодие 2020 года выполнен капитальный ремонт на общую сумму 94 515,63 тыс. тенге (без НДС). Предусмотренные в инвестиционном проекте работы выполнены силами ПУ «Ремводпроект». В связи с пандемией COVID-19 и как следствие введения режима чрезвычайного положения в Республики Казахстан на основании Указа Президента №306 от 14 апреля 2020 года работы были приостановлены. 100 % исполнение по данному мероприятию планируется до окончания текущего года.</t>
  </si>
  <si>
    <t>Итого</t>
  </si>
  <si>
    <t>Дополнительные мероприятия</t>
  </si>
  <si>
    <t>Филиал БАК им. Кунаева</t>
  </si>
  <si>
    <t>0</t>
  </si>
  <si>
    <t>1.1</t>
  </si>
  <si>
    <t>ЗМ-50-2000 ВК Молоток отбойный "Бетонолом" ЗУБР Профессионал 50Дж,20кг,1400 уд/мин,160</t>
  </si>
  <si>
    <t>1.2</t>
  </si>
  <si>
    <t>Перфоратор электрический DeWolk D25762k</t>
  </si>
  <si>
    <t>1.3</t>
  </si>
  <si>
    <t>Угловая шлифмашина Bosch GWS 22-180H</t>
  </si>
  <si>
    <t>1.4</t>
  </si>
  <si>
    <t>Консальный насос К100-65-200а с эл,двиг 18,5*3000 об/мин</t>
  </si>
  <si>
    <t>Алматинский филиал</t>
  </si>
  <si>
    <t>2.1</t>
  </si>
  <si>
    <t>Аппарат кассовый</t>
  </si>
  <si>
    <t>2.2</t>
  </si>
  <si>
    <t>Сирена тип С-03</t>
  </si>
  <si>
    <t>Филиал Канал им.К. Сатпаева</t>
  </si>
  <si>
    <t>3.1</t>
  </si>
  <si>
    <t xml:space="preserve">Затраты на работы по вводу в промышленную эксплуатацию объекта "Автоматизированная система коммерческого учета электроэнергии филиала " Канал им. К. Сатпаева" </t>
  </si>
  <si>
    <t>Проведены опытно-промышленные испытания. Во второй декаде июля планируется работа межведомственной комиссии с участием АО "KEGOK" по сдаче системы АСКУЭ в промышленную эксплуатацию</t>
  </si>
  <si>
    <t>3.2</t>
  </si>
  <si>
    <t>Пуско-наладочные работы по объекту "Реконструкция ОРУ подстанции 220 кВ для насосной станции 18 Канала имени Каныша Сатпаева"</t>
  </si>
  <si>
    <t>3.3</t>
  </si>
  <si>
    <t>Водосброс №28. Водовыпуск №29.  Ремонт здания. Наружные работы.</t>
  </si>
  <si>
    <t>3.4</t>
  </si>
  <si>
    <t>Насосная станция №18 в комплексе с сооружениями. Напорный  трубопровод д. 2,6м агр. №1,2,3 НС №18. Ремонт (ремонт кровель. покраска напорного трубопровода, внутренние и наружные отделочные работы)</t>
  </si>
  <si>
    <t>3.5</t>
  </si>
  <si>
    <t>Аппарат летательный</t>
  </si>
  <si>
    <t>3.6</t>
  </si>
  <si>
    <t>Электростанция</t>
  </si>
  <si>
    <t>3.7</t>
  </si>
  <si>
    <t>Влагомер</t>
  </si>
  <si>
    <t>3.8</t>
  </si>
  <si>
    <t>Аппарта подводный автономный</t>
  </si>
  <si>
    <t>3.9</t>
  </si>
  <si>
    <t>Радиостанция</t>
  </si>
  <si>
    <t>3.10</t>
  </si>
  <si>
    <t>Водолазное снаряжение</t>
  </si>
  <si>
    <t>Всего по дополнительным мероприятиям</t>
  </si>
  <si>
    <t>ИТОГО</t>
  </si>
  <si>
    <t>Генеральный директор РГП "Казводхоз"                                                                                                                                                                А. Елжасов</t>
  </si>
</sst>
</file>

<file path=xl/styles.xml><?xml version="1.0" encoding="utf-8"?>
<styleSheet xmlns="http://schemas.openxmlformats.org/spreadsheetml/2006/main">
  <numFmts count="1">
    <numFmt numFmtId="164" formatCode="#,##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u/>
      <sz val="2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color rgb="FF2B2B2B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7" fillId="0" borderId="0"/>
    <xf numFmtId="0" fontId="32" fillId="0" borderId="0"/>
    <xf numFmtId="0" fontId="1" fillId="0" borderId="0"/>
    <xf numFmtId="0" fontId="32" fillId="0" borderId="0">
      <alignment horizontal="center"/>
    </xf>
  </cellStyleXfs>
  <cellXfs count="148">
    <xf numFmtId="0" fontId="0" fillId="0" borderId="0" xfId="0"/>
    <xf numFmtId="0" fontId="2" fillId="2" borderId="0" xfId="0" applyFont="1" applyFill="1" applyAlignment="1">
      <alignment horizontal="right" vertical="center" wrapText="1"/>
    </xf>
    <xf numFmtId="0" fontId="0" fillId="2" borderId="0" xfId="0" applyFill="1"/>
    <xf numFmtId="49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4" fontId="5" fillId="2" borderId="0" xfId="1" applyNumberFormat="1" applyFont="1" applyFill="1" applyAlignment="1">
      <alignment horizontal="left" vertical="center"/>
    </xf>
    <xf numFmtId="4" fontId="4" fillId="2" borderId="0" xfId="1" applyNumberFormat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8" fillId="2" borderId="0" xfId="0" applyFont="1" applyFill="1"/>
    <xf numFmtId="49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left" vertical="center" wrapText="1"/>
    </xf>
    <xf numFmtId="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4" fontId="9" fillId="2" borderId="0" xfId="0" applyNumberFormat="1" applyFont="1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0" xfId="0" applyFont="1" applyFill="1"/>
    <xf numFmtId="0" fontId="10" fillId="2" borderId="2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4" fontId="10" fillId="2" borderId="3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left" vertical="center"/>
    </xf>
    <xf numFmtId="4" fontId="15" fillId="2" borderId="2" xfId="0" applyNumberFormat="1" applyFont="1" applyFill="1" applyBorder="1" applyAlignment="1">
      <alignment horizontal="left" vertical="center" wrapText="1"/>
    </xf>
    <xf numFmtId="4" fontId="15" fillId="2" borderId="3" xfId="0" applyNumberFormat="1" applyFont="1" applyFill="1" applyBorder="1" applyAlignment="1">
      <alignment horizontal="left" vertical="center" wrapText="1"/>
    </xf>
    <xf numFmtId="4" fontId="15" fillId="2" borderId="4" xfId="0" applyNumberFormat="1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4" fontId="18" fillId="2" borderId="1" xfId="0" applyNumberFormat="1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4" fontId="22" fillId="2" borderId="1" xfId="0" applyNumberFormat="1" applyFont="1" applyFill="1" applyBorder="1" applyAlignment="1">
      <alignment horizontal="left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left" vertical="center" wrapText="1"/>
    </xf>
    <xf numFmtId="49" fontId="24" fillId="2" borderId="5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49" fontId="24" fillId="2" borderId="7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left" vertical="center"/>
    </xf>
    <xf numFmtId="4" fontId="15" fillId="2" borderId="2" xfId="0" applyNumberFormat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/>
    </xf>
    <xf numFmtId="4" fontId="15" fillId="2" borderId="2" xfId="0" applyNumberFormat="1" applyFont="1" applyFill="1" applyBorder="1" applyAlignment="1">
      <alignment horizontal="left"/>
    </xf>
    <xf numFmtId="4" fontId="22" fillId="2" borderId="1" xfId="0" applyNumberFormat="1" applyFont="1" applyFill="1" applyBorder="1" applyAlignment="1">
      <alignment horizontal="left" vertical="center" wrapText="1"/>
    </xf>
    <xf numFmtId="164" fontId="22" fillId="2" borderId="1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left" vertical="center" wrapText="1"/>
    </xf>
    <xf numFmtId="49" fontId="18" fillId="2" borderId="6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/>
    </xf>
    <xf numFmtId="49" fontId="18" fillId="2" borderId="1" xfId="0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horizontal="left" vertical="center"/>
    </xf>
    <xf numFmtId="49" fontId="28" fillId="2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/>
    <xf numFmtId="4" fontId="0" fillId="2" borderId="0" xfId="0" applyNumberFormat="1" applyFill="1"/>
    <xf numFmtId="0" fontId="18" fillId="2" borderId="1" xfId="0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49" fontId="15" fillId="2" borderId="0" xfId="0" applyNumberFormat="1" applyFont="1" applyFill="1" applyAlignment="1">
      <alignment horizontal="center" vertical="center"/>
    </xf>
    <xf numFmtId="0" fontId="15" fillId="2" borderId="0" xfId="0" applyFont="1" applyFill="1"/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4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/>
    </xf>
    <xf numFmtId="4" fontId="15" fillId="2" borderId="0" xfId="0" applyNumberFormat="1" applyFont="1" applyFill="1" applyAlignment="1">
      <alignment horizontal="left"/>
    </xf>
    <xf numFmtId="4" fontId="29" fillId="2" borderId="0" xfId="0" applyNumberFormat="1" applyFont="1" applyFill="1" applyAlignment="1">
      <alignment horizontal="center" wrapText="1"/>
    </xf>
    <xf numFmtId="0" fontId="18" fillId="2" borderId="0" xfId="0" applyFont="1" applyFill="1" applyAlignment="1">
      <alignment wrapText="1"/>
    </xf>
    <xf numFmtId="49" fontId="15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4" fontId="15" fillId="2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</cellXfs>
  <cellStyles count="6">
    <cellStyle name="Гиперссылка" xfId="1" builtinId="8"/>
    <cellStyle name="Обычный" xfId="0" builtinId="0"/>
    <cellStyle name="Обычный 2 2" xfId="3"/>
    <cellStyle name="Обычный 3" xfId="4"/>
    <cellStyle name="Обычный 33" xfId="2"/>
    <cellStyle name="Обычный 6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103;&#1079;&#1079;&#1072;&#1090;\&#1076;&#1072;&#1085;&#1080;&#1103;&#1088;&#1091;\&#1087;&#1088;&#1080;&#1083;&#1086;&#1078;&#1077;&#1085;&#1080;&#1077;%203%20&#1054;&#1058;&#1063;&#1045;&#1058;%20&#1055;&#1054;%20&#1048;&#1057;&#1055;&#1054;&#1051;&#1053;&#1045;&#1053;&#1048;&#1070;%20&#1048;&#1053;&#1042;&#1045;&#1057;&#1058;&#1055;&#1056;&#1054;&#1043;&#1056;&#1040;&#1052;&#1052;&#1067;%20&#1047;&#1040;%202018&#1043;&#1054;&#1044;!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72;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\AppData\Roaming\Microsoft\Excel\&#1080;&#1073;&#1088;%20&#1077;&#1073;&#1088;&#108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\AppData\Roaming\Microsoft\Excel\&#1050;&#1048;&#1050;&#1057;%20&#1079;&#1072;%2001.08.2020%20&#1087;&#1086;%2031.12.2020&#1075;\&#1080;&#1089;&#1087;%20&#1080;&#1085;&#1074;&#1077;&#1089;&#1090;&#1082;&#1080;%20&#1087;&#1086;%20&#1092;&#1086;&#1088;&#1084;&#1077;%20&#8470;%203%20&#1079;&#1072;%202020%20&#1075;&#1086;&#1076;%205%20&#1084;&#1077;&#1089;%20&#1089;%2001.08-31.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год"/>
      <sheetName val="1 год реализации"/>
      <sheetName val="2019 год"/>
      <sheetName val="реестр"/>
      <sheetName val="2 год реализации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38312.370999999999</v>
          </cell>
        </row>
        <row r="11">
          <cell r="D11">
            <v>857.22064</v>
          </cell>
        </row>
        <row r="46">
          <cell r="D46">
            <v>87141.152499999997</v>
          </cell>
        </row>
        <row r="51">
          <cell r="D51">
            <v>133483.54389</v>
          </cell>
        </row>
        <row r="66">
          <cell r="D66">
            <v>93142.051529999997</v>
          </cell>
        </row>
        <row r="72">
          <cell r="D72">
            <v>79823.588380000001</v>
          </cell>
        </row>
        <row r="82">
          <cell r="D82">
            <v>9296.2219999999998</v>
          </cell>
        </row>
        <row r="83">
          <cell r="D83">
            <v>55833.351269999999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1"/>
      <sheetName val="форма"/>
      <sheetName val="реестр"/>
      <sheetName val="план-факт"/>
      <sheetName val="7 месяцев"/>
      <sheetName val="реестр счет-фактур"/>
      <sheetName val="2020 год"/>
      <sheetName val="реестр счет-фактур 7 мес 2020 г"/>
      <sheetName val="реестр 2020 год"/>
      <sheetName val="2021 год"/>
      <sheetName val="форма 22"/>
      <sheetName val="реестр (2)"/>
      <sheetName val="реестр счет-фактур (2)"/>
      <sheetName val="актобе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7">
          <cell r="P77">
            <v>33066849.312499996</v>
          </cell>
        </row>
        <row r="85">
          <cell r="P85">
            <v>393642566.82142901</v>
          </cell>
        </row>
        <row r="103">
          <cell r="P103">
            <v>114175712.67857142</v>
          </cell>
        </row>
        <row r="119">
          <cell r="E119">
            <v>99035782.799999997</v>
          </cell>
        </row>
        <row r="120">
          <cell r="P120">
            <v>77920874</v>
          </cell>
        </row>
        <row r="124">
          <cell r="E124">
            <v>10405334.310000001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БРР, ИБР"/>
      <sheetName val="Лист3"/>
    </sheetNames>
    <sheetDataSet>
      <sheetData sheetId="0">
        <row r="6">
          <cell r="K6">
            <v>363806557.36607134</v>
          </cell>
        </row>
        <row r="17">
          <cell r="K17">
            <v>228901973.1517857</v>
          </cell>
        </row>
        <row r="48">
          <cell r="K48">
            <v>865781981.25</v>
          </cell>
        </row>
        <row r="53">
          <cell r="K53">
            <v>156182186.48821425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</sheetNames>
    <sheetDataSet>
      <sheetData sheetId="0">
        <row r="19">
          <cell r="J19">
            <v>45552.168579999998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view="pageBreakPreview" topLeftCell="A24" zoomScale="40" zoomScaleNormal="60" zoomScaleSheetLayoutView="40" workbookViewId="0">
      <selection activeCell="E40" sqref="E40"/>
    </sheetView>
  </sheetViews>
  <sheetFormatPr defaultColWidth="8.85546875" defaultRowHeight="30.75"/>
  <cols>
    <col min="1" max="1" width="11.140625" style="133" customWidth="1"/>
    <col min="2" max="2" width="16.140625" style="134" hidden="1" customWidth="1"/>
    <col min="3" max="3" width="114.42578125" style="135" customWidth="1"/>
    <col min="4" max="4" width="16.5703125" style="136" customWidth="1"/>
    <col min="5" max="5" width="23.5703125" style="136" customWidth="1"/>
    <col min="6" max="6" width="10.28515625" style="136" customWidth="1"/>
    <col min="7" max="7" width="29.28515625" style="136" customWidth="1"/>
    <col min="8" max="8" width="13.5703125" style="136" customWidth="1"/>
    <col min="9" max="9" width="33.42578125" style="137" customWidth="1"/>
    <col min="10" max="10" width="51.5703125" style="137" hidden="1" customWidth="1"/>
    <col min="11" max="11" width="23.28515625" style="137" hidden="1" customWidth="1"/>
    <col min="12" max="12" width="29.5703125" style="147" customWidth="1"/>
    <col min="13" max="13" width="36.42578125" style="138" hidden="1" customWidth="1"/>
    <col min="14" max="14" width="4.28515625" style="138" hidden="1" customWidth="1"/>
    <col min="15" max="15" width="31.28515625" style="138" customWidth="1"/>
    <col min="16" max="16" width="13.28515625" style="139" hidden="1" customWidth="1"/>
    <col min="17" max="17" width="28.140625" style="140" customWidth="1"/>
    <col min="18" max="18" width="16.42578125" style="141" customWidth="1"/>
    <col min="19" max="19" width="30.7109375" style="138" customWidth="1"/>
    <col min="20" max="20" width="16.85546875" style="140" customWidth="1"/>
    <col min="21" max="21" width="17.7109375" style="140" customWidth="1"/>
    <col min="22" max="22" width="19.42578125" style="140" bestFit="1" customWidth="1"/>
    <col min="23" max="23" width="14" style="140" customWidth="1"/>
    <col min="24" max="26" width="10.7109375" style="140" customWidth="1"/>
    <col min="27" max="27" width="10.28515625" style="140" customWidth="1"/>
    <col min="28" max="28" width="11.42578125" style="140" customWidth="1"/>
    <col min="29" max="29" width="104" style="140" customWidth="1"/>
    <col min="30" max="30" width="30.140625" style="120" hidden="1" customWidth="1"/>
    <col min="31" max="31" width="17.140625" style="2" bestFit="1" customWidth="1"/>
    <col min="32" max="32" width="24.42578125" style="2" customWidth="1"/>
    <col min="33" max="33" width="11.85546875" style="2" bestFit="1" customWidth="1"/>
    <col min="34" max="16384" width="8.85546875" style="2"/>
  </cols>
  <sheetData>
    <row r="1" spans="1:3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12" customFormat="1" ht="30" customHeight="1">
      <c r="A2" s="3"/>
      <c r="B2" s="4"/>
      <c r="C2" s="5"/>
      <c r="D2" s="6"/>
      <c r="E2" s="6"/>
      <c r="F2" s="6"/>
      <c r="G2" s="6"/>
      <c r="H2" s="7"/>
      <c r="I2" s="5"/>
      <c r="J2" s="5"/>
      <c r="K2" s="8" t="s">
        <v>1</v>
      </c>
      <c r="L2" s="8"/>
      <c r="M2" s="8"/>
      <c r="N2" s="8"/>
      <c r="O2" s="9"/>
      <c r="P2" s="10"/>
      <c r="Q2" s="5"/>
      <c r="R2" s="9"/>
      <c r="S2" s="9"/>
      <c r="T2" s="5"/>
      <c r="U2" s="5"/>
      <c r="V2" s="5"/>
      <c r="W2" s="5"/>
      <c r="X2" s="5"/>
      <c r="Y2" s="5"/>
      <c r="Z2" s="5"/>
      <c r="AA2" s="5"/>
      <c r="AB2" s="5"/>
      <c r="AC2" s="5"/>
      <c r="AD2" s="11"/>
    </row>
    <row r="3" spans="1:30" s="12" customFormat="1" ht="30" customHeight="1">
      <c r="A3" s="13"/>
      <c r="B3" s="14"/>
      <c r="C3" s="15"/>
      <c r="D3" s="16"/>
      <c r="E3" s="16"/>
      <c r="F3" s="16"/>
      <c r="G3" s="16"/>
      <c r="H3" s="16"/>
      <c r="I3" s="15"/>
      <c r="J3" s="15"/>
      <c r="K3" s="15"/>
      <c r="L3" s="15"/>
      <c r="M3" s="17"/>
      <c r="N3" s="17"/>
      <c r="O3" s="18" t="s">
        <v>2</v>
      </c>
      <c r="P3" s="15"/>
      <c r="Q3" s="19"/>
      <c r="R3" s="17"/>
      <c r="S3" s="17"/>
      <c r="T3" s="15"/>
      <c r="U3" s="15"/>
      <c r="V3" s="15"/>
      <c r="W3" s="15"/>
      <c r="X3" s="15"/>
      <c r="Y3" s="15"/>
      <c r="Z3" s="15"/>
      <c r="AA3" s="15"/>
      <c r="AB3" s="15"/>
      <c r="AC3" s="15"/>
      <c r="AD3" s="20"/>
    </row>
    <row r="4" spans="1:30" s="12" customFormat="1" ht="30" customHeight="1">
      <c r="A4" s="13"/>
      <c r="B4" s="14"/>
      <c r="C4" s="15"/>
      <c r="D4" s="16"/>
      <c r="E4" s="16"/>
      <c r="F4" s="16"/>
      <c r="G4" s="16"/>
      <c r="H4" s="16"/>
      <c r="I4" s="15"/>
      <c r="J4" s="15"/>
      <c r="K4" s="15"/>
      <c r="L4" s="15"/>
      <c r="M4" s="17"/>
      <c r="N4" s="17"/>
      <c r="O4" s="18" t="s">
        <v>3</v>
      </c>
      <c r="P4" s="15"/>
      <c r="Q4" s="19"/>
      <c r="R4" s="17"/>
      <c r="S4" s="17"/>
      <c r="T4" s="15"/>
      <c r="U4" s="15"/>
      <c r="V4" s="15"/>
      <c r="W4" s="15"/>
      <c r="X4" s="15"/>
      <c r="Y4" s="15"/>
      <c r="Z4" s="15"/>
      <c r="AA4" s="15"/>
      <c r="AB4" s="15"/>
      <c r="AC4" s="15"/>
      <c r="AD4" s="20"/>
    </row>
    <row r="5" spans="1:30" s="12" customFormat="1" ht="30" customHeight="1">
      <c r="A5" s="13"/>
      <c r="B5" s="14"/>
      <c r="C5" s="15"/>
      <c r="D5" s="16"/>
      <c r="E5" s="16"/>
      <c r="F5" s="16"/>
      <c r="G5" s="16"/>
      <c r="H5" s="16"/>
      <c r="I5" s="19"/>
      <c r="J5" s="19"/>
      <c r="K5" s="19"/>
      <c r="L5" s="19"/>
      <c r="M5" s="21"/>
      <c r="N5" s="21"/>
      <c r="O5" s="18" t="s">
        <v>4</v>
      </c>
      <c r="P5" s="15"/>
      <c r="Q5" s="19"/>
      <c r="R5" s="21"/>
      <c r="S5" s="21"/>
      <c r="T5" s="15"/>
      <c r="U5" s="15"/>
      <c r="V5" s="15"/>
      <c r="W5" s="15"/>
      <c r="X5" s="15"/>
      <c r="Y5" s="15"/>
      <c r="Z5" s="15"/>
      <c r="AA5" s="15"/>
      <c r="AB5" s="15"/>
      <c r="AC5" s="15"/>
      <c r="AD5" s="20"/>
    </row>
    <row r="6" spans="1:30" s="26" customFormat="1" ht="172.5" customHeight="1">
      <c r="A6" s="22" t="s">
        <v>5</v>
      </c>
      <c r="B6" s="23" t="s">
        <v>6</v>
      </c>
      <c r="C6" s="23"/>
      <c r="D6" s="23"/>
      <c r="E6" s="23"/>
      <c r="F6" s="23"/>
      <c r="G6" s="23"/>
      <c r="H6" s="23" t="s">
        <v>7</v>
      </c>
      <c r="I6" s="24" t="s">
        <v>8</v>
      </c>
      <c r="J6" s="24"/>
      <c r="K6" s="24"/>
      <c r="L6" s="24"/>
      <c r="M6" s="24"/>
      <c r="N6" s="24"/>
      <c r="O6" s="24"/>
      <c r="P6" s="24"/>
      <c r="Q6" s="24" t="s">
        <v>9</v>
      </c>
      <c r="R6" s="24"/>
      <c r="S6" s="24"/>
      <c r="T6" s="24"/>
      <c r="U6" s="24" t="s">
        <v>10</v>
      </c>
      <c r="V6" s="24"/>
      <c r="W6" s="24"/>
      <c r="X6" s="24"/>
      <c r="Y6" s="24"/>
      <c r="Z6" s="24"/>
      <c r="AA6" s="24"/>
      <c r="AB6" s="24"/>
      <c r="AC6" s="24" t="s">
        <v>11</v>
      </c>
      <c r="AD6" s="25" t="s">
        <v>12</v>
      </c>
    </row>
    <row r="7" spans="1:30" s="26" customFormat="1" ht="126.75" customHeight="1">
      <c r="A7" s="22"/>
      <c r="B7" s="23" t="s">
        <v>13</v>
      </c>
      <c r="C7" s="24" t="s">
        <v>14</v>
      </c>
      <c r="D7" s="23" t="s">
        <v>15</v>
      </c>
      <c r="E7" s="23" t="s">
        <v>16</v>
      </c>
      <c r="F7" s="23"/>
      <c r="G7" s="23" t="s">
        <v>17</v>
      </c>
      <c r="H7" s="23"/>
      <c r="I7" s="24" t="s">
        <v>18</v>
      </c>
      <c r="J7" s="27" t="s">
        <v>19</v>
      </c>
      <c r="K7" s="27" t="s">
        <v>20</v>
      </c>
      <c r="L7" s="27" t="s">
        <v>21</v>
      </c>
      <c r="M7" s="28" t="s">
        <v>22</v>
      </c>
      <c r="N7" s="29" t="s">
        <v>23</v>
      </c>
      <c r="O7" s="28" t="s">
        <v>24</v>
      </c>
      <c r="P7" s="27" t="s">
        <v>25</v>
      </c>
      <c r="Q7" s="24" t="s">
        <v>26</v>
      </c>
      <c r="R7" s="24"/>
      <c r="S7" s="28" t="s">
        <v>27</v>
      </c>
      <c r="T7" s="24" t="s">
        <v>28</v>
      </c>
      <c r="U7" s="24" t="s">
        <v>29</v>
      </c>
      <c r="V7" s="24"/>
      <c r="W7" s="24" t="s">
        <v>30</v>
      </c>
      <c r="X7" s="24"/>
      <c r="Y7" s="24" t="s">
        <v>31</v>
      </c>
      <c r="Z7" s="24"/>
      <c r="AA7" s="24" t="s">
        <v>32</v>
      </c>
      <c r="AB7" s="24"/>
      <c r="AC7" s="24"/>
      <c r="AD7" s="25"/>
    </row>
    <row r="8" spans="1:30" s="26" customFormat="1" ht="55.9" customHeight="1">
      <c r="A8" s="22"/>
      <c r="B8" s="23"/>
      <c r="C8" s="24"/>
      <c r="D8" s="23"/>
      <c r="E8" s="23"/>
      <c r="F8" s="23"/>
      <c r="G8" s="23"/>
      <c r="H8" s="23"/>
      <c r="I8" s="24"/>
      <c r="J8" s="30"/>
      <c r="K8" s="30"/>
      <c r="L8" s="30"/>
      <c r="M8" s="28"/>
      <c r="N8" s="31"/>
      <c r="O8" s="28"/>
      <c r="P8" s="30"/>
      <c r="Q8" s="24" t="s">
        <v>33</v>
      </c>
      <c r="R8" s="28" t="s">
        <v>34</v>
      </c>
      <c r="S8" s="28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1:30" s="26" customFormat="1" ht="126.75" customHeight="1">
      <c r="A9" s="22"/>
      <c r="B9" s="23"/>
      <c r="C9" s="24"/>
      <c r="D9" s="23"/>
      <c r="E9" s="32" t="s">
        <v>35</v>
      </c>
      <c r="F9" s="32" t="s">
        <v>36</v>
      </c>
      <c r="G9" s="23"/>
      <c r="H9" s="23"/>
      <c r="I9" s="24"/>
      <c r="J9" s="33"/>
      <c r="K9" s="33"/>
      <c r="L9" s="33"/>
      <c r="M9" s="28"/>
      <c r="N9" s="34"/>
      <c r="O9" s="28"/>
      <c r="P9" s="33"/>
      <c r="Q9" s="24"/>
      <c r="R9" s="28"/>
      <c r="S9" s="28"/>
      <c r="T9" s="24"/>
      <c r="U9" s="35" t="s">
        <v>37</v>
      </c>
      <c r="V9" s="35" t="s">
        <v>38</v>
      </c>
      <c r="W9" s="35" t="s">
        <v>37</v>
      </c>
      <c r="X9" s="35" t="s">
        <v>38</v>
      </c>
      <c r="Y9" s="35" t="s">
        <v>35</v>
      </c>
      <c r="Z9" s="35" t="s">
        <v>36</v>
      </c>
      <c r="AA9" s="35" t="s">
        <v>37</v>
      </c>
      <c r="AB9" s="35" t="s">
        <v>38</v>
      </c>
      <c r="AC9" s="24"/>
      <c r="AD9" s="25"/>
    </row>
    <row r="10" spans="1:30" s="26" customFormat="1" ht="30">
      <c r="A10" s="36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/>
      <c r="K10" s="32"/>
      <c r="L10" s="37">
        <v>10</v>
      </c>
      <c r="M10" s="38"/>
      <c r="N10" s="39"/>
      <c r="O10" s="40">
        <v>11</v>
      </c>
      <c r="P10" s="32">
        <v>12</v>
      </c>
      <c r="Q10" s="32">
        <v>13</v>
      </c>
      <c r="R10" s="40">
        <v>14</v>
      </c>
      <c r="S10" s="40">
        <v>15</v>
      </c>
      <c r="T10" s="32">
        <v>16</v>
      </c>
      <c r="U10" s="32">
        <v>17</v>
      </c>
      <c r="V10" s="32">
        <v>18</v>
      </c>
      <c r="W10" s="32">
        <v>19</v>
      </c>
      <c r="X10" s="32">
        <v>20</v>
      </c>
      <c r="Y10" s="32">
        <v>21</v>
      </c>
      <c r="Z10" s="32">
        <v>22</v>
      </c>
      <c r="AA10" s="32">
        <v>23</v>
      </c>
      <c r="AB10" s="32">
        <v>24</v>
      </c>
      <c r="AC10" s="32">
        <v>25</v>
      </c>
      <c r="AD10" s="41">
        <v>26</v>
      </c>
    </row>
    <row r="11" spans="1:30" s="26" customFormat="1" ht="31.5" customHeight="1">
      <c r="A11" s="42"/>
      <c r="B11" s="43" t="s">
        <v>39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46"/>
      <c r="R11" s="47"/>
      <c r="S11" s="47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9"/>
    </row>
    <row r="12" spans="1:30" s="26" customFormat="1" ht="162" customHeight="1">
      <c r="A12" s="42" t="s">
        <v>40</v>
      </c>
      <c r="B12" s="50" t="s">
        <v>41</v>
      </c>
      <c r="C12" s="51" t="s">
        <v>42</v>
      </c>
      <c r="D12" s="52" t="s">
        <v>43</v>
      </c>
      <c r="E12" s="53" t="s">
        <v>44</v>
      </c>
      <c r="F12" s="53"/>
      <c r="G12" s="54" t="s">
        <v>45</v>
      </c>
      <c r="H12" s="53"/>
      <c r="I12" s="46">
        <v>46030.27</v>
      </c>
      <c r="J12" s="46">
        <f>K12+M12</f>
        <v>19186.32562</v>
      </c>
      <c r="K12" s="46">
        <v>0</v>
      </c>
      <c r="L12" s="46">
        <v>0</v>
      </c>
      <c r="M12" s="46">
        <v>19186.32562</v>
      </c>
      <c r="N12" s="46">
        <f>32238602.01/1000</f>
        <v>32238.602010000002</v>
      </c>
      <c r="O12" s="46">
        <f>L12-I12</f>
        <v>-46030.27</v>
      </c>
      <c r="P12" s="46" t="s">
        <v>46</v>
      </c>
      <c r="Q12" s="46">
        <v>51424.927530000001</v>
      </c>
      <c r="R12" s="47"/>
      <c r="S12" s="47"/>
      <c r="T12" s="48"/>
      <c r="U12" s="48"/>
      <c r="V12" s="48"/>
      <c r="W12" s="48"/>
      <c r="X12" s="48"/>
      <c r="Y12" s="48"/>
      <c r="Z12" s="48"/>
      <c r="AA12" s="48"/>
      <c r="AB12" s="48"/>
      <c r="AC12" s="46" t="s">
        <v>47</v>
      </c>
      <c r="AD12" s="55"/>
    </row>
    <row r="13" spans="1:30" s="26" customFormat="1" ht="103.5" customHeight="1">
      <c r="A13" s="42" t="s">
        <v>48</v>
      </c>
      <c r="B13" s="50" t="s">
        <v>41</v>
      </c>
      <c r="C13" s="51" t="s">
        <v>49</v>
      </c>
      <c r="D13" s="56" t="s">
        <v>50</v>
      </c>
      <c r="E13" s="57" t="s">
        <v>51</v>
      </c>
      <c r="F13" s="58"/>
      <c r="G13" s="54"/>
      <c r="H13" s="58"/>
      <c r="I13" s="59">
        <v>133980.71</v>
      </c>
      <c r="J13" s="59">
        <v>0</v>
      </c>
      <c r="K13" s="59">
        <v>0</v>
      </c>
      <c r="L13" s="59">
        <f>M13+N13</f>
        <v>0</v>
      </c>
      <c r="M13" s="46">
        <v>0</v>
      </c>
      <c r="N13" s="46">
        <v>0</v>
      </c>
      <c r="O13" s="46">
        <f>J13-I13</f>
        <v>-133980.71</v>
      </c>
      <c r="P13" s="46" t="s">
        <v>52</v>
      </c>
      <c r="Q13" s="46">
        <v>0</v>
      </c>
      <c r="R13" s="47"/>
      <c r="S13" s="47"/>
      <c r="T13" s="48"/>
      <c r="U13" s="48"/>
      <c r="V13" s="48"/>
      <c r="W13" s="48"/>
      <c r="X13" s="48"/>
      <c r="Y13" s="48"/>
      <c r="Z13" s="48"/>
      <c r="AA13" s="48"/>
      <c r="AB13" s="48"/>
      <c r="AC13" s="46" t="s">
        <v>53</v>
      </c>
      <c r="AD13" s="55"/>
    </row>
    <row r="14" spans="1:30" s="26" customFormat="1" ht="123">
      <c r="A14" s="60" t="s">
        <v>54</v>
      </c>
      <c r="B14" s="50" t="s">
        <v>41</v>
      </c>
      <c r="C14" s="61" t="s">
        <v>55</v>
      </c>
      <c r="D14" s="58" t="s">
        <v>56</v>
      </c>
      <c r="E14" s="42" t="s">
        <v>57</v>
      </c>
      <c r="F14" s="62"/>
      <c r="G14" s="54"/>
      <c r="H14" s="62"/>
      <c r="I14" s="46">
        <v>150974.87</v>
      </c>
      <c r="J14" s="59"/>
      <c r="K14" s="59"/>
      <c r="L14" s="59">
        <f>M14+N14</f>
        <v>0</v>
      </c>
      <c r="M14" s="46">
        <v>0</v>
      </c>
      <c r="N14" s="46">
        <v>0</v>
      </c>
      <c r="O14" s="46">
        <f>L14-I14</f>
        <v>-150974.87</v>
      </c>
      <c r="P14" s="46"/>
      <c r="Q14" s="46">
        <v>0</v>
      </c>
      <c r="R14" s="63"/>
      <c r="S14" s="63"/>
      <c r="T14" s="64"/>
      <c r="U14" s="64"/>
      <c r="V14" s="64"/>
      <c r="W14" s="64"/>
      <c r="X14" s="64"/>
      <c r="Y14" s="64"/>
      <c r="Z14" s="64"/>
      <c r="AA14" s="64"/>
      <c r="AB14" s="64"/>
      <c r="AC14" s="46" t="s">
        <v>53</v>
      </c>
      <c r="AD14" s="55"/>
    </row>
    <row r="15" spans="1:30" s="26" customFormat="1" ht="103.5" customHeight="1">
      <c r="A15" s="60" t="s">
        <v>58</v>
      </c>
      <c r="B15" s="50"/>
      <c r="C15" s="61" t="s">
        <v>59</v>
      </c>
      <c r="D15" s="58" t="s">
        <v>50</v>
      </c>
      <c r="E15" s="42" t="s">
        <v>60</v>
      </c>
      <c r="F15" s="62"/>
      <c r="G15" s="54"/>
      <c r="H15" s="62"/>
      <c r="I15" s="46">
        <v>1030500</v>
      </c>
      <c r="J15" s="59"/>
      <c r="K15" s="59"/>
      <c r="L15" s="59">
        <v>0</v>
      </c>
      <c r="M15" s="46"/>
      <c r="N15" s="46"/>
      <c r="O15" s="46">
        <f>L15-I15</f>
        <v>-1030500</v>
      </c>
      <c r="P15" s="46"/>
      <c r="Q15" s="46">
        <v>1030500</v>
      </c>
      <c r="R15" s="63"/>
      <c r="S15" s="63"/>
      <c r="T15" s="64"/>
      <c r="U15" s="64"/>
      <c r="V15" s="64"/>
      <c r="W15" s="64"/>
      <c r="X15" s="64"/>
      <c r="Y15" s="64"/>
      <c r="Z15" s="64"/>
      <c r="AA15" s="64"/>
      <c r="AB15" s="64"/>
      <c r="AC15" s="46" t="s">
        <v>61</v>
      </c>
      <c r="AD15" s="55"/>
    </row>
    <row r="16" spans="1:30" s="26" customFormat="1" ht="122.25" customHeight="1">
      <c r="A16" s="60" t="s">
        <v>62</v>
      </c>
      <c r="B16" s="50"/>
      <c r="C16" s="61" t="s">
        <v>63</v>
      </c>
      <c r="D16" s="58" t="s">
        <v>64</v>
      </c>
      <c r="E16" s="42" t="s">
        <v>40</v>
      </c>
      <c r="F16" s="62"/>
      <c r="G16" s="54"/>
      <c r="H16" s="62"/>
      <c r="I16" s="46">
        <v>597566.46699999995</v>
      </c>
      <c r="J16" s="59"/>
      <c r="K16" s="59"/>
      <c r="L16" s="59">
        <v>0</v>
      </c>
      <c r="M16" s="46"/>
      <c r="N16" s="46"/>
      <c r="O16" s="46">
        <f>L16-I16</f>
        <v>-597566.46699999995</v>
      </c>
      <c r="P16" s="46"/>
      <c r="Q16" s="46">
        <v>597566.46699999995</v>
      </c>
      <c r="R16" s="63"/>
      <c r="S16" s="63"/>
      <c r="T16" s="64"/>
      <c r="U16" s="64"/>
      <c r="V16" s="64"/>
      <c r="W16" s="64"/>
      <c r="X16" s="64"/>
      <c r="Y16" s="64"/>
      <c r="Z16" s="64"/>
      <c r="AA16" s="64"/>
      <c r="AB16" s="64"/>
      <c r="AC16" s="46" t="s">
        <v>65</v>
      </c>
      <c r="AD16" s="55"/>
    </row>
    <row r="17" spans="1:30" s="26" customFormat="1" ht="123">
      <c r="A17" s="60" t="s">
        <v>66</v>
      </c>
      <c r="B17" s="50" t="s">
        <v>41</v>
      </c>
      <c r="C17" s="65" t="s">
        <v>67</v>
      </c>
      <c r="D17" s="56" t="s">
        <v>64</v>
      </c>
      <c r="E17" s="57">
        <v>1</v>
      </c>
      <c r="F17" s="66"/>
      <c r="G17" s="54"/>
      <c r="H17" s="66"/>
      <c r="I17" s="67">
        <f>I18+I21+I26</f>
        <v>13120444.600000001</v>
      </c>
      <c r="J17" s="68" t="e">
        <f>J18+J21+#REF!+#REF!+#REF!</f>
        <v>#REF!</v>
      </c>
      <c r="K17" s="68" t="e">
        <f>K18+K21+#REF!+#REF!+#REF!</f>
        <v>#REF!</v>
      </c>
      <c r="L17" s="67">
        <f>L18+L21+L26</f>
        <v>33066.849312499995</v>
      </c>
      <c r="M17" s="67">
        <f>M18+M21+M26</f>
        <v>413722.31412999996</v>
      </c>
      <c r="N17" s="67">
        <f>N18+N21+N26</f>
        <v>1021964.1677382141</v>
      </c>
      <c r="O17" s="67">
        <f>O18+O21+O26</f>
        <v>-12619581.133370001</v>
      </c>
      <c r="P17" s="69"/>
      <c r="Q17" s="69"/>
      <c r="R17" s="63"/>
      <c r="S17" s="67">
        <f>S18+S21+S26</f>
        <v>33066.849312499995</v>
      </c>
      <c r="T17" s="64"/>
      <c r="U17" s="63"/>
      <c r="V17" s="64"/>
      <c r="W17" s="64"/>
      <c r="X17" s="64"/>
      <c r="Y17" s="64"/>
      <c r="Z17" s="64"/>
      <c r="AA17" s="64"/>
      <c r="AB17" s="64"/>
      <c r="AC17" s="64"/>
      <c r="AD17" s="55"/>
    </row>
    <row r="18" spans="1:30" s="26" customFormat="1" ht="72" customHeight="1">
      <c r="A18" s="42" t="s">
        <v>68</v>
      </c>
      <c r="B18" s="50" t="s">
        <v>41</v>
      </c>
      <c r="C18" s="70" t="s">
        <v>69</v>
      </c>
      <c r="D18" s="71"/>
      <c r="E18" s="72"/>
      <c r="F18" s="32"/>
      <c r="G18" s="54"/>
      <c r="H18" s="32"/>
      <c r="I18" s="73">
        <f>I19+I20</f>
        <v>11430692.300000001</v>
      </c>
      <c r="J18" s="73">
        <f>J19+J20</f>
        <v>0</v>
      </c>
      <c r="K18" s="73">
        <f>K19+K20</f>
        <v>0</v>
      </c>
      <c r="L18" s="73">
        <f t="shared" ref="L18:L25" si="0">M18+N18</f>
        <v>0</v>
      </c>
      <c r="M18" s="73">
        <f>M19+M20</f>
        <v>0</v>
      </c>
      <c r="N18" s="73">
        <f>N19+N20</f>
        <v>0</v>
      </c>
      <c r="O18" s="46">
        <f>L18-I18</f>
        <v>-11430692.300000001</v>
      </c>
      <c r="P18" s="74" t="s">
        <v>70</v>
      </c>
      <c r="Q18" s="35"/>
      <c r="R18" s="47"/>
      <c r="S18" s="73">
        <v>0</v>
      </c>
      <c r="T18" s="48"/>
      <c r="U18" s="48"/>
      <c r="V18" s="48"/>
      <c r="W18" s="48"/>
      <c r="X18" s="48"/>
      <c r="Y18" s="48"/>
      <c r="Z18" s="48"/>
      <c r="AA18" s="48"/>
      <c r="AB18" s="48"/>
      <c r="AC18" s="46"/>
      <c r="AD18" s="55"/>
    </row>
    <row r="19" spans="1:30" s="26" customFormat="1" ht="75.75" customHeight="1">
      <c r="A19" s="42" t="s">
        <v>71</v>
      </c>
      <c r="B19" s="50" t="s">
        <v>41</v>
      </c>
      <c r="C19" s="51" t="s">
        <v>72</v>
      </c>
      <c r="D19" s="56" t="s">
        <v>73</v>
      </c>
      <c r="E19" s="53" t="s">
        <v>74</v>
      </c>
      <c r="F19" s="32"/>
      <c r="G19" s="54"/>
      <c r="H19" s="32"/>
      <c r="I19" s="47">
        <v>4221419.5</v>
      </c>
      <c r="J19" s="59"/>
      <c r="K19" s="59"/>
      <c r="L19" s="73">
        <f t="shared" si="0"/>
        <v>0</v>
      </c>
      <c r="M19" s="59">
        <v>0</v>
      </c>
      <c r="N19" s="59">
        <v>0</v>
      </c>
      <c r="O19" s="46">
        <f>L19-I19</f>
        <v>-4221419.5</v>
      </c>
      <c r="P19" s="75"/>
      <c r="Q19" s="48"/>
      <c r="R19" s="47"/>
      <c r="S19" s="59">
        <v>0</v>
      </c>
      <c r="T19" s="48"/>
      <c r="U19" s="48"/>
      <c r="V19" s="48"/>
      <c r="W19" s="48"/>
      <c r="X19" s="48"/>
      <c r="Y19" s="48"/>
      <c r="Z19" s="48"/>
      <c r="AA19" s="48"/>
      <c r="AB19" s="48"/>
      <c r="AC19" s="74" t="s">
        <v>75</v>
      </c>
      <c r="AD19" s="55"/>
    </row>
    <row r="20" spans="1:30" s="26" customFormat="1" ht="83.25" customHeight="1">
      <c r="A20" s="42" t="s">
        <v>76</v>
      </c>
      <c r="B20" s="50" t="s">
        <v>41</v>
      </c>
      <c r="C20" s="51" t="s">
        <v>77</v>
      </c>
      <c r="D20" s="56" t="s">
        <v>73</v>
      </c>
      <c r="E20" s="53" t="s">
        <v>78</v>
      </c>
      <c r="F20" s="32"/>
      <c r="G20" s="54"/>
      <c r="H20" s="32"/>
      <c r="I20" s="47">
        <v>7209272.7999999998</v>
      </c>
      <c r="J20" s="59"/>
      <c r="K20" s="59"/>
      <c r="L20" s="73">
        <f t="shared" si="0"/>
        <v>0</v>
      </c>
      <c r="M20" s="59">
        <v>0</v>
      </c>
      <c r="N20" s="59">
        <v>0</v>
      </c>
      <c r="O20" s="46">
        <f>L20-I20</f>
        <v>-7209272.7999999998</v>
      </c>
      <c r="P20" s="76"/>
      <c r="Q20" s="35"/>
      <c r="R20" s="47"/>
      <c r="S20" s="59">
        <v>0</v>
      </c>
      <c r="T20" s="48"/>
      <c r="U20" s="48"/>
      <c r="V20" s="48"/>
      <c r="W20" s="48"/>
      <c r="X20" s="48"/>
      <c r="Y20" s="48"/>
      <c r="Z20" s="48"/>
      <c r="AA20" s="48"/>
      <c r="AB20" s="48"/>
      <c r="AC20" s="76"/>
      <c r="AD20" s="55"/>
    </row>
    <row r="21" spans="1:30" s="26" customFormat="1" ht="75" customHeight="1">
      <c r="A21" s="60" t="s">
        <v>79</v>
      </c>
      <c r="B21" s="50" t="s">
        <v>41</v>
      </c>
      <c r="C21" s="70" t="s">
        <v>80</v>
      </c>
      <c r="D21" s="71"/>
      <c r="E21" s="77"/>
      <c r="F21" s="58"/>
      <c r="G21" s="54"/>
      <c r="H21" s="58"/>
      <c r="I21" s="73">
        <f>I22+I23+I24+I25</f>
        <v>1465421.4999999998</v>
      </c>
      <c r="J21" s="73">
        <f t="shared" ref="J21:L21" si="1">J22+J23+J24+J25</f>
        <v>500863.46662999992</v>
      </c>
      <c r="K21" s="73">
        <f t="shared" si="1"/>
        <v>87141.152499999997</v>
      </c>
      <c r="L21" s="73">
        <f t="shared" si="1"/>
        <v>33066.849312499995</v>
      </c>
      <c r="M21" s="73">
        <f>M22+M23+M24+M25</f>
        <v>413722.31412999996</v>
      </c>
      <c r="N21" s="73">
        <f>N22+N23+N24+N25</f>
        <v>1021964.1677382141</v>
      </c>
      <c r="O21" s="46">
        <f>J21-I21</f>
        <v>-964558.03336999984</v>
      </c>
      <c r="P21" s="46"/>
      <c r="Q21" s="48"/>
      <c r="R21" s="47"/>
      <c r="S21" s="73">
        <f t="shared" ref="S21" si="2">S22+S23+S24+S25</f>
        <v>33066.849312499995</v>
      </c>
      <c r="T21" s="48"/>
      <c r="U21" s="48"/>
      <c r="V21" s="48"/>
      <c r="W21" s="48"/>
      <c r="X21" s="48"/>
      <c r="Y21" s="48"/>
      <c r="Z21" s="48"/>
      <c r="AA21" s="48"/>
      <c r="AB21" s="48"/>
      <c r="AC21" s="46"/>
      <c r="AD21" s="55"/>
    </row>
    <row r="22" spans="1:30" s="26" customFormat="1" ht="125.25" customHeight="1">
      <c r="A22" s="60" t="s">
        <v>81</v>
      </c>
      <c r="B22" s="50" t="s">
        <v>41</v>
      </c>
      <c r="C22" s="51" t="s">
        <v>82</v>
      </c>
      <c r="D22" s="56" t="s">
        <v>83</v>
      </c>
      <c r="E22" s="53" t="s">
        <v>84</v>
      </c>
      <c r="F22" s="58"/>
      <c r="G22" s="54"/>
      <c r="H22" s="58"/>
      <c r="I22" s="47">
        <v>621173.19999999995</v>
      </c>
      <c r="J22" s="59">
        <f>K22+M22</f>
        <v>0</v>
      </c>
      <c r="K22" s="59">
        <v>0</v>
      </c>
      <c r="L22" s="59">
        <f t="shared" si="0"/>
        <v>0</v>
      </c>
      <c r="M22" s="59">
        <v>0</v>
      </c>
      <c r="N22" s="59">
        <v>0</v>
      </c>
      <c r="O22" s="46">
        <f>L22-I22</f>
        <v>-621173.19999999995</v>
      </c>
      <c r="P22" s="46" t="s">
        <v>85</v>
      </c>
      <c r="Q22" s="48"/>
      <c r="R22" s="47"/>
      <c r="S22" s="59">
        <v>0</v>
      </c>
      <c r="T22" s="48"/>
      <c r="U22" s="48"/>
      <c r="V22" s="48"/>
      <c r="W22" s="48"/>
      <c r="X22" s="48"/>
      <c r="Y22" s="48"/>
      <c r="Z22" s="48"/>
      <c r="AA22" s="48"/>
      <c r="AB22" s="48"/>
      <c r="AC22" s="46" t="s">
        <v>86</v>
      </c>
      <c r="AD22" s="55"/>
    </row>
    <row r="23" spans="1:30" s="26" customFormat="1" ht="79.5" customHeight="1">
      <c r="A23" s="60" t="s">
        <v>87</v>
      </c>
      <c r="B23" s="50" t="s">
        <v>41</v>
      </c>
      <c r="C23" s="51" t="s">
        <v>88</v>
      </c>
      <c r="D23" s="56" t="s">
        <v>83</v>
      </c>
      <c r="E23" s="53" t="s">
        <v>89</v>
      </c>
      <c r="F23" s="58"/>
      <c r="G23" s="54"/>
      <c r="H23" s="58"/>
      <c r="I23" s="47">
        <v>589351.6</v>
      </c>
      <c r="J23" s="59">
        <f>K23+M23</f>
        <v>500863.46662999992</v>
      </c>
      <c r="K23" s="59">
        <f>[1]реестр!$D$46</f>
        <v>87141.152499999997</v>
      </c>
      <c r="L23" s="59">
        <f>'[2]реестр 2020 год'!P77/1000</f>
        <v>33066.849312499995</v>
      </c>
      <c r="M23" s="59">
        <f>79717.05177+124688.78704+146433.13496+62883.34036</f>
        <v>413722.31412999996</v>
      </c>
      <c r="N23" s="59">
        <f>'[3]ЕБРР, ИБР'!$K$48/1000+'[3]ЕБРР, ИБР'!$K$53/1000</f>
        <v>1021964.1677382141</v>
      </c>
      <c r="O23" s="46">
        <f>L23-I23</f>
        <v>-556284.7506875</v>
      </c>
      <c r="P23" s="78" t="s">
        <v>90</v>
      </c>
      <c r="Q23" s="48"/>
      <c r="R23" s="47"/>
      <c r="S23" s="59">
        <f>L23</f>
        <v>33066.849312499995</v>
      </c>
      <c r="T23" s="48"/>
      <c r="U23" s="48"/>
      <c r="V23" s="48"/>
      <c r="W23" s="48"/>
      <c r="X23" s="48"/>
      <c r="Y23" s="48"/>
      <c r="Z23" s="48"/>
      <c r="AA23" s="48"/>
      <c r="AB23" s="48"/>
      <c r="AC23" s="46" t="s">
        <v>91</v>
      </c>
      <c r="AD23" s="55"/>
    </row>
    <row r="24" spans="1:30" s="26" customFormat="1" ht="140.25" customHeight="1">
      <c r="A24" s="42" t="s">
        <v>92</v>
      </c>
      <c r="B24" s="50" t="s">
        <v>41</v>
      </c>
      <c r="C24" s="51" t="s">
        <v>93</v>
      </c>
      <c r="D24" s="56" t="s">
        <v>83</v>
      </c>
      <c r="E24" s="53" t="s">
        <v>94</v>
      </c>
      <c r="F24" s="58"/>
      <c r="G24" s="54"/>
      <c r="H24" s="58"/>
      <c r="I24" s="46">
        <v>146273.20000000001</v>
      </c>
      <c r="J24" s="59">
        <v>0</v>
      </c>
      <c r="K24" s="59">
        <v>0</v>
      </c>
      <c r="L24" s="59">
        <f t="shared" si="0"/>
        <v>0</v>
      </c>
      <c r="M24" s="59">
        <v>0</v>
      </c>
      <c r="N24" s="59">
        <v>0</v>
      </c>
      <c r="O24" s="46">
        <f>L24-I24</f>
        <v>-146273.20000000001</v>
      </c>
      <c r="P24" s="46" t="s">
        <v>95</v>
      </c>
      <c r="Q24" s="48"/>
      <c r="R24" s="47"/>
      <c r="S24" s="59">
        <v>0</v>
      </c>
      <c r="T24" s="48"/>
      <c r="U24" s="48"/>
      <c r="V24" s="48"/>
      <c r="W24" s="48"/>
      <c r="X24" s="48"/>
      <c r="Y24" s="48"/>
      <c r="Z24" s="48"/>
      <c r="AA24" s="48"/>
      <c r="AB24" s="48"/>
      <c r="AC24" s="46" t="s">
        <v>96</v>
      </c>
      <c r="AD24" s="79"/>
    </row>
    <row r="25" spans="1:30" s="26" customFormat="1" ht="211.5" customHeight="1">
      <c r="A25" s="42" t="s">
        <v>97</v>
      </c>
      <c r="B25" s="50" t="s">
        <v>41</v>
      </c>
      <c r="C25" s="51" t="s">
        <v>98</v>
      </c>
      <c r="D25" s="56" t="s">
        <v>83</v>
      </c>
      <c r="E25" s="53" t="s">
        <v>99</v>
      </c>
      <c r="F25" s="58"/>
      <c r="G25" s="54"/>
      <c r="H25" s="58"/>
      <c r="I25" s="46">
        <v>108623.5</v>
      </c>
      <c r="J25" s="59">
        <v>0</v>
      </c>
      <c r="K25" s="59">
        <v>0</v>
      </c>
      <c r="L25" s="59">
        <f t="shared" si="0"/>
        <v>0</v>
      </c>
      <c r="M25" s="59">
        <v>0</v>
      </c>
      <c r="N25" s="59">
        <v>0</v>
      </c>
      <c r="O25" s="46">
        <f>L25-I25</f>
        <v>-108623.5</v>
      </c>
      <c r="P25" s="46" t="s">
        <v>100</v>
      </c>
      <c r="Q25" s="48"/>
      <c r="R25" s="47"/>
      <c r="S25" s="59">
        <v>0</v>
      </c>
      <c r="T25" s="48"/>
      <c r="U25" s="48"/>
      <c r="V25" s="48"/>
      <c r="W25" s="48"/>
      <c r="X25" s="48"/>
      <c r="Y25" s="48"/>
      <c r="Z25" s="48"/>
      <c r="AA25" s="48"/>
      <c r="AB25" s="48"/>
      <c r="AC25" s="46" t="s">
        <v>101</v>
      </c>
      <c r="AD25" s="79"/>
    </row>
    <row r="26" spans="1:30" s="26" customFormat="1" ht="162" customHeight="1">
      <c r="A26" s="80" t="s">
        <v>102</v>
      </c>
      <c r="B26" s="50" t="s">
        <v>41</v>
      </c>
      <c r="C26" s="48" t="s">
        <v>103</v>
      </c>
      <c r="D26" s="81" t="s">
        <v>64</v>
      </c>
      <c r="E26" s="42">
        <v>1</v>
      </c>
      <c r="F26" s="56"/>
      <c r="G26" s="54"/>
      <c r="H26" s="56"/>
      <c r="I26" s="82">
        <f>I27+I31</f>
        <v>224330.8</v>
      </c>
      <c r="J26" s="73">
        <f>J27+J29</f>
        <v>0</v>
      </c>
      <c r="K26" s="73">
        <f>K27+K29</f>
        <v>0</v>
      </c>
      <c r="L26" s="73">
        <v>0</v>
      </c>
      <c r="M26" s="73">
        <v>0</v>
      </c>
      <c r="N26" s="73">
        <v>0</v>
      </c>
      <c r="O26" s="46">
        <f t="shared" ref="O26:O36" si="3">J26-I26</f>
        <v>-224330.8</v>
      </c>
      <c r="P26" s="51"/>
      <c r="Q26" s="81"/>
      <c r="R26" s="59"/>
      <c r="S26" s="73">
        <v>0</v>
      </c>
      <c r="T26" s="81"/>
      <c r="U26" s="81"/>
      <c r="V26" s="81"/>
      <c r="W26" s="81"/>
      <c r="X26" s="81"/>
      <c r="Y26" s="81"/>
      <c r="Z26" s="81"/>
      <c r="AA26" s="81"/>
      <c r="AB26" s="81"/>
      <c r="AC26" s="83" t="s">
        <v>104</v>
      </c>
      <c r="AD26" s="84"/>
    </row>
    <row r="27" spans="1:30" s="26" customFormat="1" ht="59.25" customHeight="1">
      <c r="A27" s="80" t="s">
        <v>105</v>
      </c>
      <c r="B27" s="50" t="s">
        <v>41</v>
      </c>
      <c r="C27" s="48" t="s">
        <v>106</v>
      </c>
      <c r="D27" s="81" t="s">
        <v>64</v>
      </c>
      <c r="E27" s="42">
        <v>1</v>
      </c>
      <c r="F27" s="56"/>
      <c r="G27" s="54"/>
      <c r="H27" s="56"/>
      <c r="I27" s="82">
        <f>I28+I29+I30</f>
        <v>16670</v>
      </c>
      <c r="J27" s="85">
        <f>J28</f>
        <v>0</v>
      </c>
      <c r="K27" s="85">
        <f>K28</f>
        <v>0</v>
      </c>
      <c r="L27" s="85"/>
      <c r="M27" s="85">
        <v>0</v>
      </c>
      <c r="N27" s="85">
        <v>0</v>
      </c>
      <c r="O27" s="46">
        <f t="shared" si="3"/>
        <v>-16670</v>
      </c>
      <c r="P27" s="51"/>
      <c r="Q27" s="81"/>
      <c r="R27" s="59"/>
      <c r="S27" s="85">
        <v>0</v>
      </c>
      <c r="T27" s="81"/>
      <c r="U27" s="81"/>
      <c r="V27" s="81"/>
      <c r="W27" s="81"/>
      <c r="X27" s="81"/>
      <c r="Y27" s="81"/>
      <c r="Z27" s="81"/>
      <c r="AA27" s="81"/>
      <c r="AB27" s="81"/>
      <c r="AC27" s="46"/>
      <c r="AD27" s="84"/>
    </row>
    <row r="28" spans="1:30" s="26" customFormat="1" ht="69" customHeight="1">
      <c r="A28" s="80" t="s">
        <v>107</v>
      </c>
      <c r="B28" s="50" t="s">
        <v>41</v>
      </c>
      <c r="C28" s="48" t="s">
        <v>108</v>
      </c>
      <c r="D28" s="81" t="s">
        <v>43</v>
      </c>
      <c r="E28" s="42">
        <v>1</v>
      </c>
      <c r="F28" s="56"/>
      <c r="G28" s="54"/>
      <c r="H28" s="56"/>
      <c r="I28" s="46">
        <v>8966</v>
      </c>
      <c r="J28" s="59"/>
      <c r="K28" s="59"/>
      <c r="L28" s="59"/>
      <c r="M28" s="59">
        <v>0</v>
      </c>
      <c r="N28" s="59">
        <v>0</v>
      </c>
      <c r="O28" s="46">
        <f t="shared" si="3"/>
        <v>-8966</v>
      </c>
      <c r="P28" s="51"/>
      <c r="Q28" s="81"/>
      <c r="R28" s="59"/>
      <c r="S28" s="59">
        <v>0</v>
      </c>
      <c r="T28" s="81"/>
      <c r="U28" s="81"/>
      <c r="V28" s="81"/>
      <c r="W28" s="81"/>
      <c r="X28" s="81"/>
      <c r="Y28" s="81"/>
      <c r="Z28" s="81"/>
      <c r="AA28" s="81"/>
      <c r="AB28" s="81"/>
      <c r="AC28" s="46"/>
      <c r="AD28" s="84"/>
    </row>
    <row r="29" spans="1:30" s="26" customFormat="1" ht="60.75" customHeight="1">
      <c r="A29" s="80" t="s">
        <v>109</v>
      </c>
      <c r="B29" s="50" t="s">
        <v>41</v>
      </c>
      <c r="C29" s="65" t="s">
        <v>110</v>
      </c>
      <c r="D29" s="65" t="s">
        <v>43</v>
      </c>
      <c r="E29" s="86">
        <v>1</v>
      </c>
      <c r="F29" s="56"/>
      <c r="G29" s="54"/>
      <c r="H29" s="56"/>
      <c r="I29" s="46">
        <v>4000</v>
      </c>
      <c r="J29" s="85">
        <f>J30</f>
        <v>0</v>
      </c>
      <c r="K29" s="85">
        <f>K30</f>
        <v>0</v>
      </c>
      <c r="L29" s="85"/>
      <c r="M29" s="85">
        <v>0</v>
      </c>
      <c r="N29" s="85">
        <v>0</v>
      </c>
      <c r="O29" s="46">
        <f t="shared" si="3"/>
        <v>-4000</v>
      </c>
      <c r="P29" s="51"/>
      <c r="Q29" s="81"/>
      <c r="R29" s="59"/>
      <c r="S29" s="85">
        <v>0</v>
      </c>
      <c r="T29" s="81"/>
      <c r="U29" s="81"/>
      <c r="V29" s="81"/>
      <c r="W29" s="81"/>
      <c r="X29" s="81"/>
      <c r="Y29" s="81"/>
      <c r="Z29" s="81"/>
      <c r="AA29" s="81"/>
      <c r="AB29" s="81"/>
      <c r="AC29" s="46"/>
      <c r="AD29" s="84"/>
    </row>
    <row r="30" spans="1:30" s="26" customFormat="1" ht="33" customHeight="1">
      <c r="A30" s="80"/>
      <c r="B30" s="50" t="s">
        <v>41</v>
      </c>
      <c r="C30" s="61" t="s">
        <v>111</v>
      </c>
      <c r="D30" s="48" t="s">
        <v>112</v>
      </c>
      <c r="E30" s="42">
        <v>1</v>
      </c>
      <c r="F30" s="56"/>
      <c r="G30" s="54"/>
      <c r="H30" s="56"/>
      <c r="I30" s="47">
        <v>3704</v>
      </c>
      <c r="J30" s="59"/>
      <c r="K30" s="59"/>
      <c r="L30" s="59"/>
      <c r="M30" s="59">
        <v>0</v>
      </c>
      <c r="N30" s="59">
        <v>0</v>
      </c>
      <c r="O30" s="46">
        <f t="shared" si="3"/>
        <v>-3704</v>
      </c>
      <c r="P30" s="51"/>
      <c r="Q30" s="81"/>
      <c r="R30" s="59"/>
      <c r="S30" s="59">
        <v>0</v>
      </c>
      <c r="T30" s="81"/>
      <c r="U30" s="81"/>
      <c r="V30" s="81"/>
      <c r="W30" s="81"/>
      <c r="X30" s="81"/>
      <c r="Y30" s="81"/>
      <c r="Z30" s="81"/>
      <c r="AA30" s="81"/>
      <c r="AB30" s="81"/>
      <c r="AC30" s="46"/>
      <c r="AD30" s="84"/>
    </row>
    <row r="31" spans="1:30" s="26" customFormat="1" ht="78" customHeight="1">
      <c r="A31" s="80" t="s">
        <v>113</v>
      </c>
      <c r="B31" s="50" t="s">
        <v>41</v>
      </c>
      <c r="C31" s="61" t="s">
        <v>114</v>
      </c>
      <c r="D31" s="48" t="s">
        <v>115</v>
      </c>
      <c r="E31" s="42">
        <v>1</v>
      </c>
      <c r="F31" s="56"/>
      <c r="G31" s="54"/>
      <c r="H31" s="56"/>
      <c r="I31" s="67">
        <f>I32</f>
        <v>207660.79999999999</v>
      </c>
      <c r="J31" s="59"/>
      <c r="K31" s="59"/>
      <c r="L31" s="59"/>
      <c r="M31" s="85">
        <v>0</v>
      </c>
      <c r="N31" s="85">
        <v>0</v>
      </c>
      <c r="O31" s="46">
        <f t="shared" si="3"/>
        <v>-207660.79999999999</v>
      </c>
      <c r="P31" s="51"/>
      <c r="Q31" s="81"/>
      <c r="R31" s="59"/>
      <c r="S31" s="85">
        <v>0</v>
      </c>
      <c r="T31" s="81"/>
      <c r="U31" s="81"/>
      <c r="V31" s="81"/>
      <c r="W31" s="81"/>
      <c r="X31" s="81"/>
      <c r="Y31" s="81"/>
      <c r="Z31" s="81"/>
      <c r="AA31" s="81"/>
      <c r="AB31" s="81"/>
      <c r="AC31" s="46"/>
      <c r="AD31" s="84"/>
    </row>
    <row r="32" spans="1:30" s="26" customFormat="1" ht="65.25" customHeight="1">
      <c r="A32" s="80" t="s">
        <v>116</v>
      </c>
      <c r="B32" s="50" t="s">
        <v>41</v>
      </c>
      <c r="C32" s="61" t="s">
        <v>117</v>
      </c>
      <c r="D32" s="48"/>
      <c r="E32" s="42"/>
      <c r="F32" s="56"/>
      <c r="G32" s="54"/>
      <c r="H32" s="56"/>
      <c r="I32" s="67">
        <f>I33+I34+I35+I36</f>
        <v>207660.79999999999</v>
      </c>
      <c r="J32" s="59"/>
      <c r="K32" s="59"/>
      <c r="L32" s="59"/>
      <c r="M32" s="59">
        <v>0</v>
      </c>
      <c r="N32" s="59">
        <v>0</v>
      </c>
      <c r="O32" s="46">
        <f t="shared" si="3"/>
        <v>-207660.79999999999</v>
      </c>
      <c r="P32" s="51"/>
      <c r="Q32" s="81"/>
      <c r="R32" s="59"/>
      <c r="S32" s="59">
        <v>0</v>
      </c>
      <c r="T32" s="81"/>
      <c r="U32" s="81"/>
      <c r="V32" s="81"/>
      <c r="W32" s="81"/>
      <c r="X32" s="81"/>
      <c r="Y32" s="81"/>
      <c r="Z32" s="81"/>
      <c r="AA32" s="81"/>
      <c r="AB32" s="81"/>
      <c r="AC32" s="46"/>
      <c r="AD32" s="84"/>
    </row>
    <row r="33" spans="1:30" s="26" customFormat="1" ht="123">
      <c r="A33" s="80" t="s">
        <v>118</v>
      </c>
      <c r="B33" s="50" t="s">
        <v>41</v>
      </c>
      <c r="C33" s="61" t="s">
        <v>119</v>
      </c>
      <c r="D33" s="48" t="s">
        <v>43</v>
      </c>
      <c r="E33" s="42" t="s">
        <v>120</v>
      </c>
      <c r="F33" s="56"/>
      <c r="G33" s="54"/>
      <c r="H33" s="56"/>
      <c r="I33" s="47">
        <v>99616.4</v>
      </c>
      <c r="J33" s="85"/>
      <c r="K33" s="85"/>
      <c r="L33" s="85"/>
      <c r="M33" s="85">
        <v>0</v>
      </c>
      <c r="N33" s="85">
        <v>0</v>
      </c>
      <c r="O33" s="46">
        <f t="shared" si="3"/>
        <v>-99616.4</v>
      </c>
      <c r="P33" s="51"/>
      <c r="Q33" s="81"/>
      <c r="R33" s="59"/>
      <c r="S33" s="85">
        <v>0</v>
      </c>
      <c r="T33" s="81"/>
      <c r="U33" s="81"/>
      <c r="V33" s="81"/>
      <c r="W33" s="81"/>
      <c r="X33" s="81"/>
      <c r="Y33" s="81"/>
      <c r="Z33" s="81"/>
      <c r="AA33" s="81"/>
      <c r="AB33" s="81"/>
      <c r="AC33" s="46"/>
      <c r="AD33" s="84"/>
    </row>
    <row r="34" spans="1:30" s="26" customFormat="1" ht="35.25" customHeight="1">
      <c r="A34" s="80" t="s">
        <v>121</v>
      </c>
      <c r="B34" s="50" t="s">
        <v>41</v>
      </c>
      <c r="C34" s="87" t="s">
        <v>122</v>
      </c>
      <c r="D34" s="48" t="s">
        <v>43</v>
      </c>
      <c r="E34" s="42" t="s">
        <v>120</v>
      </c>
      <c r="F34" s="56"/>
      <c r="G34" s="54"/>
      <c r="H34" s="56"/>
      <c r="I34" s="47">
        <v>68544</v>
      </c>
      <c r="J34" s="59"/>
      <c r="K34" s="59"/>
      <c r="L34" s="59"/>
      <c r="M34" s="59">
        <v>0</v>
      </c>
      <c r="N34" s="59">
        <v>0</v>
      </c>
      <c r="O34" s="46">
        <f t="shared" si="3"/>
        <v>-68544</v>
      </c>
      <c r="P34" s="51"/>
      <c r="Q34" s="81"/>
      <c r="R34" s="59"/>
      <c r="S34" s="59">
        <v>0</v>
      </c>
      <c r="T34" s="81"/>
      <c r="U34" s="81"/>
      <c r="V34" s="81"/>
      <c r="W34" s="81"/>
      <c r="X34" s="81"/>
      <c r="Y34" s="81"/>
      <c r="Z34" s="81"/>
      <c r="AA34" s="81"/>
      <c r="AB34" s="81"/>
      <c r="AC34" s="46"/>
      <c r="AD34" s="84"/>
    </row>
    <row r="35" spans="1:30" s="26" customFormat="1" ht="38.25" customHeight="1">
      <c r="A35" s="80" t="s">
        <v>123</v>
      </c>
      <c r="B35" s="50" t="s">
        <v>41</v>
      </c>
      <c r="C35" s="87" t="s">
        <v>124</v>
      </c>
      <c r="D35" s="48" t="s">
        <v>43</v>
      </c>
      <c r="E35" s="42" t="s">
        <v>120</v>
      </c>
      <c r="F35" s="56"/>
      <c r="G35" s="54"/>
      <c r="H35" s="56"/>
      <c r="I35" s="47">
        <v>34272</v>
      </c>
      <c r="J35" s="59"/>
      <c r="K35" s="59"/>
      <c r="L35" s="59"/>
      <c r="M35" s="85">
        <v>0</v>
      </c>
      <c r="N35" s="85">
        <v>0</v>
      </c>
      <c r="O35" s="46">
        <f t="shared" si="3"/>
        <v>-34272</v>
      </c>
      <c r="P35" s="51"/>
      <c r="Q35" s="81"/>
      <c r="R35" s="59"/>
      <c r="S35" s="85">
        <v>0</v>
      </c>
      <c r="T35" s="81"/>
      <c r="U35" s="81"/>
      <c r="V35" s="81"/>
      <c r="W35" s="81"/>
      <c r="X35" s="81"/>
      <c r="Y35" s="81"/>
      <c r="Z35" s="81"/>
      <c r="AA35" s="81"/>
      <c r="AB35" s="81"/>
      <c r="AC35" s="46"/>
      <c r="AD35" s="84"/>
    </row>
    <row r="36" spans="1:30" s="26" customFormat="1" ht="45" customHeight="1">
      <c r="A36" s="80" t="s">
        <v>125</v>
      </c>
      <c r="B36" s="50" t="s">
        <v>41</v>
      </c>
      <c r="C36" s="87" t="s">
        <v>126</v>
      </c>
      <c r="D36" s="48" t="s">
        <v>43</v>
      </c>
      <c r="E36" s="42" t="s">
        <v>120</v>
      </c>
      <c r="F36" s="56"/>
      <c r="G36" s="54"/>
      <c r="H36" s="56"/>
      <c r="I36" s="47">
        <v>5228.3999999999996</v>
      </c>
      <c r="J36" s="59"/>
      <c r="K36" s="59"/>
      <c r="L36" s="59"/>
      <c r="M36" s="59">
        <v>0</v>
      </c>
      <c r="N36" s="59">
        <v>0</v>
      </c>
      <c r="O36" s="46">
        <f t="shared" si="3"/>
        <v>-5228.3999999999996</v>
      </c>
      <c r="P36" s="51"/>
      <c r="Q36" s="81"/>
      <c r="R36" s="59"/>
      <c r="S36" s="59">
        <v>0</v>
      </c>
      <c r="T36" s="81"/>
      <c r="U36" s="81"/>
      <c r="V36" s="81"/>
      <c r="W36" s="81"/>
      <c r="X36" s="81"/>
      <c r="Y36" s="81"/>
      <c r="Z36" s="81"/>
      <c r="AA36" s="81"/>
      <c r="AB36" s="81"/>
      <c r="AC36" s="46"/>
      <c r="AD36" s="84"/>
    </row>
    <row r="37" spans="1:30" s="26" customFormat="1" ht="117.75" customHeight="1">
      <c r="A37" s="88"/>
      <c r="B37" s="89"/>
      <c r="C37" s="90" t="s">
        <v>127</v>
      </c>
      <c r="D37" s="35"/>
      <c r="E37" s="36"/>
      <c r="F37" s="91"/>
      <c r="G37" s="92" t="s">
        <v>45</v>
      </c>
      <c r="H37" s="91"/>
      <c r="I37" s="67">
        <f>I12+I13+I14+I17+I15+I16</f>
        <v>15079496.917000001</v>
      </c>
      <c r="J37" s="67" t="e">
        <f t="shared" ref="J37:AB37" si="4">J12+J13+J14+J17</f>
        <v>#REF!</v>
      </c>
      <c r="K37" s="67" t="e">
        <f t="shared" si="4"/>
        <v>#REF!</v>
      </c>
      <c r="L37" s="67">
        <f t="shared" si="4"/>
        <v>33066.849312499995</v>
      </c>
      <c r="M37" s="67">
        <f t="shared" si="4"/>
        <v>432908.63974999997</v>
      </c>
      <c r="N37" s="67">
        <f t="shared" si="4"/>
        <v>1054202.7697482142</v>
      </c>
      <c r="O37" s="67">
        <f t="shared" si="4"/>
        <v>-12950566.98337</v>
      </c>
      <c r="P37" s="67" t="e">
        <f t="shared" si="4"/>
        <v>#VALUE!</v>
      </c>
      <c r="Q37" s="67">
        <f t="shared" si="4"/>
        <v>51424.927530000001</v>
      </c>
      <c r="R37" s="67">
        <f t="shared" si="4"/>
        <v>0</v>
      </c>
      <c r="S37" s="67">
        <f t="shared" si="4"/>
        <v>33066.849312499995</v>
      </c>
      <c r="T37" s="67">
        <f t="shared" si="4"/>
        <v>0</v>
      </c>
      <c r="U37" s="67">
        <f t="shared" si="4"/>
        <v>0</v>
      </c>
      <c r="V37" s="67">
        <f t="shared" si="4"/>
        <v>0</v>
      </c>
      <c r="W37" s="67">
        <f t="shared" si="4"/>
        <v>0</v>
      </c>
      <c r="X37" s="67">
        <f t="shared" si="4"/>
        <v>0</v>
      </c>
      <c r="Y37" s="67">
        <f t="shared" si="4"/>
        <v>0</v>
      </c>
      <c r="Z37" s="67">
        <f t="shared" si="4"/>
        <v>0</v>
      </c>
      <c r="AA37" s="67">
        <f t="shared" si="4"/>
        <v>0</v>
      </c>
      <c r="AB37" s="67">
        <f t="shared" si="4"/>
        <v>0</v>
      </c>
      <c r="AC37" s="67"/>
      <c r="AD37" s="93">
        <f>AD12+AD13+AD14+AD17</f>
        <v>0</v>
      </c>
    </row>
    <row r="38" spans="1:30" s="26" customFormat="1" ht="46.5" customHeight="1">
      <c r="A38" s="94" t="s">
        <v>128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6"/>
    </row>
    <row r="39" spans="1:30" s="26" customFormat="1" ht="123">
      <c r="A39" s="80" t="s">
        <v>66</v>
      </c>
      <c r="B39" s="50" t="s">
        <v>41</v>
      </c>
      <c r="C39" s="70" t="s">
        <v>129</v>
      </c>
      <c r="D39" s="97"/>
      <c r="E39" s="98"/>
      <c r="F39" s="56"/>
      <c r="G39" s="54"/>
      <c r="H39" s="56"/>
      <c r="I39" s="73"/>
      <c r="J39" s="73">
        <f>J40+J46+J50+J56</f>
        <v>2535260.4160900004</v>
      </c>
      <c r="K39" s="73">
        <f>K40+K46+K50+K56</f>
        <v>371578.75706999999</v>
      </c>
      <c r="L39" s="73">
        <f>L40</f>
        <v>585739.15350000036</v>
      </c>
      <c r="M39" s="73">
        <f>M40+M46+M50+M56</f>
        <v>2163681.6590200001</v>
      </c>
      <c r="N39" s="73">
        <f>N40+N46+N50+N56</f>
        <v>1521771.5915417857</v>
      </c>
      <c r="O39" s="82">
        <f>L39-I39</f>
        <v>585739.15350000036</v>
      </c>
      <c r="P39" s="51"/>
      <c r="Q39" s="99"/>
      <c r="R39" s="99"/>
      <c r="S39" s="73">
        <f>S40</f>
        <v>585739.15350000036</v>
      </c>
      <c r="T39" s="100"/>
      <c r="U39" s="100"/>
      <c r="V39" s="100"/>
      <c r="W39" s="100"/>
      <c r="X39" s="100"/>
      <c r="Y39" s="100"/>
      <c r="Z39" s="100"/>
      <c r="AA39" s="100"/>
      <c r="AB39" s="100"/>
      <c r="AC39" s="81"/>
      <c r="AD39" s="101"/>
    </row>
    <row r="40" spans="1:30" s="26" customFormat="1" ht="123">
      <c r="A40" s="80" t="s">
        <v>68</v>
      </c>
      <c r="B40" s="50" t="s">
        <v>41</v>
      </c>
      <c r="C40" s="102" t="s">
        <v>130</v>
      </c>
      <c r="D40" s="97"/>
      <c r="E40" s="98"/>
      <c r="F40" s="56"/>
      <c r="G40" s="54"/>
      <c r="H40" s="56"/>
      <c r="I40" s="73"/>
      <c r="J40" s="73">
        <f>J41+J42+J43+J44+J45</f>
        <v>1792930.2589700001</v>
      </c>
      <c r="K40" s="73">
        <f>K41+K42+K43+K44+K45</f>
        <v>133483.54389</v>
      </c>
      <c r="L40" s="73">
        <f>L41+L42+L43+L44+L45</f>
        <v>585739.15350000036</v>
      </c>
      <c r="M40" s="73">
        <f>M41+M42+M43+M44+M45</f>
        <v>1659446.71508</v>
      </c>
      <c r="N40" s="73">
        <f>N41+N42+N43+N44+N45</f>
        <v>1463227.9572317856</v>
      </c>
      <c r="O40" s="46">
        <f>L40-I40</f>
        <v>585739.15350000036</v>
      </c>
      <c r="P40" s="51"/>
      <c r="Q40" s="100"/>
      <c r="R40" s="99"/>
      <c r="S40" s="73">
        <f>S41+S42+S43+S44+S45</f>
        <v>585739.15350000036</v>
      </c>
      <c r="T40" s="100"/>
      <c r="U40" s="100"/>
      <c r="V40" s="100"/>
      <c r="W40" s="100"/>
      <c r="X40" s="100"/>
      <c r="Y40" s="100"/>
      <c r="Z40" s="100"/>
      <c r="AA40" s="100"/>
      <c r="AB40" s="100"/>
      <c r="AC40" s="81"/>
      <c r="AD40" s="101"/>
    </row>
    <row r="41" spans="1:30" s="26" customFormat="1" ht="307.5" customHeight="1">
      <c r="A41" s="103" t="s">
        <v>71</v>
      </c>
      <c r="B41" s="104" t="s">
        <v>41</v>
      </c>
      <c r="C41" s="105" t="s">
        <v>131</v>
      </c>
      <c r="D41" s="106" t="s">
        <v>83</v>
      </c>
      <c r="E41" s="107" t="s">
        <v>132</v>
      </c>
      <c r="F41" s="106"/>
      <c r="G41" s="108"/>
      <c r="H41" s="106"/>
      <c r="I41" s="109"/>
      <c r="J41" s="109">
        <f>K41+M41</f>
        <v>1258975.9210700002</v>
      </c>
      <c r="K41" s="109">
        <f>[1]реестр!$D$51</f>
        <v>133483.54389</v>
      </c>
      <c r="L41" s="109">
        <f>'[2]реестр 2020 год'!P85/1000</f>
        <v>393642.56682142901</v>
      </c>
      <c r="M41" s="109">
        <v>1125492.3771800001</v>
      </c>
      <c r="N41" s="109">
        <v>477590.36079000001</v>
      </c>
      <c r="O41" s="110">
        <f>L41-I41</f>
        <v>393642.56682142901</v>
      </c>
      <c r="P41" s="105" t="s">
        <v>133</v>
      </c>
      <c r="Q41" s="111"/>
      <c r="R41" s="112"/>
      <c r="S41" s="110">
        <f>L41</f>
        <v>393642.56682142901</v>
      </c>
      <c r="T41" s="111"/>
      <c r="U41" s="100"/>
      <c r="V41" s="100"/>
      <c r="W41" s="100"/>
      <c r="X41" s="100"/>
      <c r="Y41" s="100"/>
      <c r="Z41" s="100"/>
      <c r="AA41" s="100"/>
      <c r="AB41" s="100"/>
      <c r="AC41" s="51" t="s">
        <v>134</v>
      </c>
      <c r="AD41" s="101"/>
    </row>
    <row r="42" spans="1:30" s="26" customFormat="1" ht="222" customHeight="1">
      <c r="A42" s="80" t="s">
        <v>76</v>
      </c>
      <c r="B42" s="50" t="s">
        <v>41</v>
      </c>
      <c r="C42" s="51" t="s">
        <v>135</v>
      </c>
      <c r="D42" s="56" t="s">
        <v>83</v>
      </c>
      <c r="E42" s="53" t="s">
        <v>136</v>
      </c>
      <c r="F42" s="56"/>
      <c r="G42" s="54"/>
      <c r="H42" s="56"/>
      <c r="I42" s="59"/>
      <c r="J42" s="59">
        <f>K42+M42</f>
        <v>434918.55509999994</v>
      </c>
      <c r="K42" s="59">
        <v>0</v>
      </c>
      <c r="L42" s="59">
        <f>'[2]реестр 2020 год'!P103/1000</f>
        <v>114175.71267857142</v>
      </c>
      <c r="M42" s="46">
        <v>434918.55509999994</v>
      </c>
      <c r="N42" s="46">
        <v>326954.58945000003</v>
      </c>
      <c r="O42" s="46">
        <f t="shared" ref="O42:O59" si="5">L42-I42</f>
        <v>114175.71267857142</v>
      </c>
      <c r="P42" s="51" t="s">
        <v>137</v>
      </c>
      <c r="Q42" s="100"/>
      <c r="R42" s="99"/>
      <c r="S42" s="110">
        <f t="shared" ref="S42:S45" si="6">L42</f>
        <v>114175.71267857142</v>
      </c>
      <c r="T42" s="100"/>
      <c r="U42" s="100"/>
      <c r="V42" s="100"/>
      <c r="W42" s="100"/>
      <c r="X42" s="100"/>
      <c r="Y42" s="100"/>
      <c r="Z42" s="100"/>
      <c r="AA42" s="100"/>
      <c r="AB42" s="100"/>
      <c r="AC42" s="51" t="s">
        <v>138</v>
      </c>
      <c r="AD42" s="101"/>
    </row>
    <row r="43" spans="1:30" s="26" customFormat="1" ht="238.5" customHeight="1">
      <c r="A43" s="80" t="s">
        <v>139</v>
      </c>
      <c r="B43" s="50" t="s">
        <v>41</v>
      </c>
      <c r="C43" s="51" t="s">
        <v>140</v>
      </c>
      <c r="D43" s="56" t="s">
        <v>83</v>
      </c>
      <c r="E43" s="53" t="s">
        <v>141</v>
      </c>
      <c r="F43" s="56"/>
      <c r="G43" s="54"/>
      <c r="H43" s="56"/>
      <c r="I43" s="59"/>
      <c r="J43" s="59">
        <f>K43+M43</f>
        <v>0</v>
      </c>
      <c r="K43" s="59"/>
      <c r="L43" s="59"/>
      <c r="M43" s="46">
        <v>0</v>
      </c>
      <c r="N43" s="46">
        <f>'[3]ЕБРР, ИБР'!$K$17/1000</f>
        <v>228901.9731517857</v>
      </c>
      <c r="O43" s="46">
        <f t="shared" si="5"/>
        <v>0</v>
      </c>
      <c r="P43" s="51" t="s">
        <v>142</v>
      </c>
      <c r="Q43" s="100"/>
      <c r="R43" s="99"/>
      <c r="S43" s="110">
        <f t="shared" si="6"/>
        <v>0</v>
      </c>
      <c r="T43" s="100"/>
      <c r="U43" s="100"/>
      <c r="V43" s="100"/>
      <c r="W43" s="100"/>
      <c r="X43" s="100"/>
      <c r="Y43" s="100"/>
      <c r="Z43" s="100"/>
      <c r="AA43" s="100"/>
      <c r="AB43" s="100"/>
      <c r="AC43" s="51" t="s">
        <v>143</v>
      </c>
      <c r="AD43" s="101"/>
    </row>
    <row r="44" spans="1:30" s="26" customFormat="1" ht="263.25" customHeight="1">
      <c r="A44" s="80" t="s">
        <v>144</v>
      </c>
      <c r="B44" s="50" t="s">
        <v>41</v>
      </c>
      <c r="C44" s="51" t="s">
        <v>145</v>
      </c>
      <c r="D44" s="56" t="s">
        <v>83</v>
      </c>
      <c r="E44" s="53" t="s">
        <v>146</v>
      </c>
      <c r="F44" s="56"/>
      <c r="G44" s="54"/>
      <c r="H44" s="56"/>
      <c r="I44" s="59"/>
      <c r="J44" s="59">
        <f>K44+M44</f>
        <v>0</v>
      </c>
      <c r="K44" s="59">
        <v>0</v>
      </c>
      <c r="L44" s="59"/>
      <c r="M44" s="46"/>
      <c r="N44" s="46">
        <v>429781.03383999999</v>
      </c>
      <c r="O44" s="46">
        <f t="shared" si="5"/>
        <v>0</v>
      </c>
      <c r="P44" s="51" t="s">
        <v>147</v>
      </c>
      <c r="Q44" s="100"/>
      <c r="R44" s="99"/>
      <c r="S44" s="110">
        <f t="shared" si="6"/>
        <v>0</v>
      </c>
      <c r="T44" s="100"/>
      <c r="U44" s="100"/>
      <c r="V44" s="100"/>
      <c r="W44" s="100"/>
      <c r="X44" s="100"/>
      <c r="Y44" s="100"/>
      <c r="Z44" s="100"/>
      <c r="AA44" s="100"/>
      <c r="AB44" s="100"/>
      <c r="AC44" s="51" t="s">
        <v>148</v>
      </c>
      <c r="AD44" s="101"/>
    </row>
    <row r="45" spans="1:30" s="26" customFormat="1" ht="302.25" customHeight="1">
      <c r="A45" s="80" t="s">
        <v>149</v>
      </c>
      <c r="B45" s="50" t="s">
        <v>41</v>
      </c>
      <c r="C45" s="51" t="s">
        <v>150</v>
      </c>
      <c r="D45" s="52" t="s">
        <v>83</v>
      </c>
      <c r="E45" s="57" t="s">
        <v>151</v>
      </c>
      <c r="F45" s="56"/>
      <c r="G45" s="54"/>
      <c r="H45" s="56"/>
      <c r="I45" s="59"/>
      <c r="J45" s="59">
        <f>K45+M45</f>
        <v>99035.782800000001</v>
      </c>
      <c r="K45" s="59"/>
      <c r="L45" s="59">
        <f>'[2]реестр 2020 год'!P120/1000</f>
        <v>77920.873999999996</v>
      </c>
      <c r="M45" s="46">
        <f>'[2]реестр 2020 год'!E119/1000</f>
        <v>99035.782800000001</v>
      </c>
      <c r="N45" s="46">
        <f>0</f>
        <v>0</v>
      </c>
      <c r="O45" s="46">
        <f>L45-I45</f>
        <v>77920.873999999996</v>
      </c>
      <c r="P45" s="51" t="s">
        <v>152</v>
      </c>
      <c r="Q45" s="100"/>
      <c r="R45" s="99"/>
      <c r="S45" s="110">
        <f t="shared" si="6"/>
        <v>77920.873999999996</v>
      </c>
      <c r="T45" s="100"/>
      <c r="U45" s="100"/>
      <c r="V45" s="100"/>
      <c r="W45" s="100"/>
      <c r="X45" s="100"/>
      <c r="Y45" s="100"/>
      <c r="Z45" s="100"/>
      <c r="AA45" s="100"/>
      <c r="AB45" s="100"/>
      <c r="AC45" s="51" t="s">
        <v>153</v>
      </c>
      <c r="AD45" s="101"/>
    </row>
    <row r="46" spans="1:30" s="26" customFormat="1" ht="61.5" hidden="1" customHeight="1">
      <c r="A46" s="80" t="s">
        <v>79</v>
      </c>
      <c r="B46" s="50" t="s">
        <v>41</v>
      </c>
      <c r="C46" s="102" t="s">
        <v>154</v>
      </c>
      <c r="D46" s="52"/>
      <c r="E46" s="57"/>
      <c r="F46" s="56"/>
      <c r="G46" s="54"/>
      <c r="H46" s="56"/>
      <c r="I46" s="113"/>
      <c r="J46" s="113">
        <f>J47+J48+J49</f>
        <v>177453.95637999999</v>
      </c>
      <c r="K46" s="113">
        <f>K47+K48+K49</f>
        <v>93142.051529999997</v>
      </c>
      <c r="L46" s="113">
        <f t="shared" ref="L46:L48" si="7">M46+N46</f>
        <v>84311.904849999992</v>
      </c>
      <c r="M46" s="113">
        <f>M47+M48+M49</f>
        <v>84311.904849999992</v>
      </c>
      <c r="N46" s="113"/>
      <c r="O46" s="46">
        <f t="shared" si="5"/>
        <v>84311.904849999992</v>
      </c>
      <c r="P46" s="51"/>
      <c r="Q46" s="100"/>
      <c r="R46" s="99"/>
      <c r="S46" s="113">
        <f>S47+S48+S49</f>
        <v>84311.904849999992</v>
      </c>
      <c r="T46" s="100"/>
      <c r="U46" s="100"/>
      <c r="V46" s="100"/>
      <c r="W46" s="100"/>
      <c r="X46" s="100"/>
      <c r="Y46" s="100"/>
      <c r="Z46" s="100"/>
      <c r="AA46" s="100"/>
      <c r="AB46" s="100"/>
      <c r="AC46" s="81"/>
      <c r="AD46" s="101"/>
    </row>
    <row r="47" spans="1:30" s="26" customFormat="1" ht="179.25" hidden="1" customHeight="1">
      <c r="A47" s="80" t="s">
        <v>81</v>
      </c>
      <c r="B47" s="50" t="s">
        <v>41</v>
      </c>
      <c r="C47" s="51" t="s">
        <v>155</v>
      </c>
      <c r="D47" s="52" t="s">
        <v>83</v>
      </c>
      <c r="E47" s="57" t="s">
        <v>156</v>
      </c>
      <c r="F47" s="56"/>
      <c r="G47" s="54"/>
      <c r="H47" s="56"/>
      <c r="I47" s="46"/>
      <c r="J47" s="46">
        <v>0</v>
      </c>
      <c r="K47" s="46">
        <v>0</v>
      </c>
      <c r="L47" s="46">
        <f t="shared" si="7"/>
        <v>0</v>
      </c>
      <c r="M47" s="113">
        <v>0</v>
      </c>
      <c r="N47" s="113"/>
      <c r="O47" s="46">
        <f t="shared" si="5"/>
        <v>0</v>
      </c>
      <c r="P47" s="51" t="s">
        <v>157</v>
      </c>
      <c r="Q47" s="100"/>
      <c r="R47" s="99"/>
      <c r="S47" s="113">
        <v>0</v>
      </c>
      <c r="T47" s="100"/>
      <c r="U47" s="100"/>
      <c r="V47" s="100"/>
      <c r="W47" s="100"/>
      <c r="X47" s="100"/>
      <c r="Y47" s="100"/>
      <c r="Z47" s="100"/>
      <c r="AA47" s="100"/>
      <c r="AB47" s="100"/>
      <c r="AC47" s="51" t="s">
        <v>158</v>
      </c>
      <c r="AD47" s="101"/>
    </row>
    <row r="48" spans="1:30" s="26" customFormat="1" ht="207.75" hidden="1" customHeight="1">
      <c r="A48" s="80" t="s">
        <v>87</v>
      </c>
      <c r="B48" s="50" t="s">
        <v>41</v>
      </c>
      <c r="C48" s="51" t="s">
        <v>159</v>
      </c>
      <c r="D48" s="52" t="s">
        <v>83</v>
      </c>
      <c r="E48" s="57" t="s">
        <v>160</v>
      </c>
      <c r="F48" s="56"/>
      <c r="G48" s="54"/>
      <c r="H48" s="56"/>
      <c r="I48" s="46"/>
      <c r="J48" s="46">
        <f>K48+M48</f>
        <v>177453.95637999999</v>
      </c>
      <c r="K48" s="46">
        <f>[1]реестр!$D$66</f>
        <v>93142.051529999997</v>
      </c>
      <c r="L48" s="46">
        <f t="shared" si="7"/>
        <v>84311.904849999992</v>
      </c>
      <c r="M48" s="113">
        <v>84311.904849999992</v>
      </c>
      <c r="N48" s="113"/>
      <c r="O48" s="46">
        <f t="shared" si="5"/>
        <v>84311.904849999992</v>
      </c>
      <c r="P48" s="51" t="s">
        <v>161</v>
      </c>
      <c r="Q48" s="100"/>
      <c r="R48" s="99"/>
      <c r="S48" s="114">
        <f>L48</f>
        <v>84311.904849999992</v>
      </c>
      <c r="T48" s="100"/>
      <c r="U48" s="100"/>
      <c r="V48" s="100"/>
      <c r="W48" s="100"/>
      <c r="X48" s="100"/>
      <c r="Y48" s="100"/>
      <c r="Z48" s="100"/>
      <c r="AA48" s="100"/>
      <c r="AB48" s="100"/>
      <c r="AC48" s="51" t="s">
        <v>162</v>
      </c>
      <c r="AD48" s="101"/>
    </row>
    <row r="49" spans="1:32" s="26" customFormat="1" ht="170.25" hidden="1" customHeight="1">
      <c r="A49" s="80" t="s">
        <v>92</v>
      </c>
      <c r="B49" s="50" t="s">
        <v>41</v>
      </c>
      <c r="C49" s="51" t="s">
        <v>163</v>
      </c>
      <c r="D49" s="52" t="s">
        <v>83</v>
      </c>
      <c r="E49" s="57" t="s">
        <v>164</v>
      </c>
      <c r="F49" s="56"/>
      <c r="G49" s="54"/>
      <c r="H49" s="56"/>
      <c r="I49" s="46"/>
      <c r="J49" s="46">
        <v>0</v>
      </c>
      <c r="K49" s="46">
        <v>0</v>
      </c>
      <c r="L49" s="46">
        <v>0</v>
      </c>
      <c r="M49" s="113">
        <v>0</v>
      </c>
      <c r="N49" s="113">
        <v>0</v>
      </c>
      <c r="O49" s="46">
        <f t="shared" si="5"/>
        <v>0</v>
      </c>
      <c r="P49" s="51" t="s">
        <v>165</v>
      </c>
      <c r="Q49" s="100"/>
      <c r="R49" s="99"/>
      <c r="S49" s="113">
        <v>0</v>
      </c>
      <c r="T49" s="100"/>
      <c r="U49" s="100"/>
      <c r="V49" s="100"/>
      <c r="W49" s="100"/>
      <c r="X49" s="100"/>
      <c r="Y49" s="100"/>
      <c r="Z49" s="100"/>
      <c r="AA49" s="100"/>
      <c r="AB49" s="100"/>
      <c r="AC49" s="51" t="s">
        <v>166</v>
      </c>
      <c r="AD49" s="101"/>
    </row>
    <row r="50" spans="1:32" s="26" customFormat="1" ht="69.75" hidden="1" customHeight="1">
      <c r="A50" s="80" t="s">
        <v>102</v>
      </c>
      <c r="B50" s="50" t="s">
        <v>41</v>
      </c>
      <c r="C50" s="51" t="s">
        <v>167</v>
      </c>
      <c r="D50" s="52"/>
      <c r="E50" s="57"/>
      <c r="F50" s="56"/>
      <c r="G50" s="54"/>
      <c r="H50" s="56"/>
      <c r="I50" s="113"/>
      <c r="J50" s="113">
        <f>J51+J52+J53+J54+J55</f>
        <v>208030.29256</v>
      </c>
      <c r="K50" s="113">
        <f>K51+K52+K53+K54+K55</f>
        <v>79823.588380000001</v>
      </c>
      <c r="L50" s="113">
        <f t="shared" ref="L50:L59" si="8">M50+N50</f>
        <v>138612.03849000001</v>
      </c>
      <c r="M50" s="113">
        <f>M51+M52+M53+M54+M55</f>
        <v>128206.70418</v>
      </c>
      <c r="N50" s="113">
        <f>N51+N52+N53+N54+N55</f>
        <v>10405.33431</v>
      </c>
      <c r="O50" s="46">
        <f t="shared" si="5"/>
        <v>138612.03849000001</v>
      </c>
      <c r="P50" s="51"/>
      <c r="Q50" s="100"/>
      <c r="R50" s="99"/>
      <c r="S50" s="113">
        <f>L50</f>
        <v>138612.03849000001</v>
      </c>
      <c r="T50" s="100"/>
      <c r="U50" s="100"/>
      <c r="V50" s="100"/>
      <c r="W50" s="100"/>
      <c r="X50" s="100"/>
      <c r="Y50" s="100"/>
      <c r="Z50" s="100"/>
      <c r="AA50" s="100"/>
      <c r="AB50" s="100"/>
      <c r="AC50" s="81"/>
      <c r="AD50" s="101"/>
    </row>
    <row r="51" spans="1:32" s="26" customFormat="1" ht="138.75" hidden="1" customHeight="1">
      <c r="A51" s="80" t="s">
        <v>105</v>
      </c>
      <c r="B51" s="50" t="s">
        <v>41</v>
      </c>
      <c r="C51" s="51" t="s">
        <v>168</v>
      </c>
      <c r="D51" s="52" t="s">
        <v>83</v>
      </c>
      <c r="E51" s="53" t="s">
        <v>169</v>
      </c>
      <c r="F51" s="53" t="s">
        <v>169</v>
      </c>
      <c r="G51" s="54"/>
      <c r="H51" s="56"/>
      <c r="I51" s="46"/>
      <c r="J51" s="46"/>
      <c r="K51" s="46"/>
      <c r="L51" s="46">
        <f t="shared" si="8"/>
        <v>10405.33431</v>
      </c>
      <c r="M51" s="113">
        <v>0</v>
      </c>
      <c r="N51" s="113">
        <f>'[2]реестр 2020 год'!E124/1000</f>
        <v>10405.33431</v>
      </c>
      <c r="O51" s="46">
        <f t="shared" si="5"/>
        <v>10405.33431</v>
      </c>
      <c r="P51" s="51" t="s">
        <v>170</v>
      </c>
      <c r="Q51" s="100"/>
      <c r="R51" s="99"/>
      <c r="S51" s="113">
        <f>L51</f>
        <v>10405.33431</v>
      </c>
      <c r="T51" s="100"/>
      <c r="U51" s="100"/>
      <c r="V51" s="100"/>
      <c r="W51" s="100"/>
      <c r="X51" s="100"/>
      <c r="Y51" s="100"/>
      <c r="Z51" s="100"/>
      <c r="AA51" s="100"/>
      <c r="AB51" s="100"/>
      <c r="AC51" s="51" t="s">
        <v>171</v>
      </c>
      <c r="AD51" s="101"/>
    </row>
    <row r="52" spans="1:32" s="26" customFormat="1" ht="151.5" hidden="1" customHeight="1">
      <c r="A52" s="80" t="s">
        <v>107</v>
      </c>
      <c r="B52" s="50" t="s">
        <v>41</v>
      </c>
      <c r="C52" s="51" t="s">
        <v>172</v>
      </c>
      <c r="D52" s="52" t="s">
        <v>83</v>
      </c>
      <c r="E52" s="53" t="s">
        <v>173</v>
      </c>
      <c r="F52" s="53" t="s">
        <v>173</v>
      </c>
      <c r="G52" s="54"/>
      <c r="H52" s="56"/>
      <c r="I52" s="46"/>
      <c r="J52" s="46"/>
      <c r="K52" s="46"/>
      <c r="L52" s="46">
        <f t="shared" si="8"/>
        <v>0</v>
      </c>
      <c r="M52" s="46">
        <v>0</v>
      </c>
      <c r="N52" s="46">
        <v>0</v>
      </c>
      <c r="O52" s="46">
        <f t="shared" si="5"/>
        <v>0</v>
      </c>
      <c r="P52" s="51" t="s">
        <v>174</v>
      </c>
      <c r="Q52" s="100"/>
      <c r="R52" s="99"/>
      <c r="S52" s="46">
        <v>0</v>
      </c>
      <c r="T52" s="100"/>
      <c r="U52" s="100"/>
      <c r="V52" s="100"/>
      <c r="W52" s="100"/>
      <c r="X52" s="100"/>
      <c r="Y52" s="100"/>
      <c r="Z52" s="100"/>
      <c r="AA52" s="100"/>
      <c r="AB52" s="100"/>
      <c r="AC52" s="51" t="s">
        <v>175</v>
      </c>
      <c r="AD52" s="101"/>
    </row>
    <row r="53" spans="1:32" s="26" customFormat="1" ht="192" hidden="1" customHeight="1">
      <c r="A53" s="80" t="s">
        <v>109</v>
      </c>
      <c r="B53" s="50" t="s">
        <v>41</v>
      </c>
      <c r="C53" s="51" t="s">
        <v>176</v>
      </c>
      <c r="D53" s="52" t="s">
        <v>83</v>
      </c>
      <c r="E53" s="53" t="s">
        <v>177</v>
      </c>
      <c r="F53" s="53" t="s">
        <v>177</v>
      </c>
      <c r="G53" s="54"/>
      <c r="H53" s="56"/>
      <c r="I53" s="46"/>
      <c r="J53" s="46"/>
      <c r="K53" s="46"/>
      <c r="L53" s="46">
        <f t="shared" si="8"/>
        <v>0</v>
      </c>
      <c r="M53" s="46">
        <v>0</v>
      </c>
      <c r="N53" s="46">
        <v>0</v>
      </c>
      <c r="O53" s="46">
        <f t="shared" si="5"/>
        <v>0</v>
      </c>
      <c r="P53" s="51" t="s">
        <v>178</v>
      </c>
      <c r="Q53" s="100"/>
      <c r="R53" s="99"/>
      <c r="S53" s="46">
        <v>0</v>
      </c>
      <c r="T53" s="100"/>
      <c r="U53" s="100"/>
      <c r="V53" s="100"/>
      <c r="W53" s="100"/>
      <c r="X53" s="100"/>
      <c r="Y53" s="100"/>
      <c r="Z53" s="100"/>
      <c r="AA53" s="100"/>
      <c r="AB53" s="100"/>
      <c r="AC53" s="51" t="s">
        <v>179</v>
      </c>
      <c r="AD53" s="101"/>
    </row>
    <row r="54" spans="1:32" s="26" customFormat="1" ht="341.25" hidden="1" customHeight="1">
      <c r="A54" s="80" t="s">
        <v>180</v>
      </c>
      <c r="B54" s="50" t="s">
        <v>41</v>
      </c>
      <c r="C54" s="51" t="s">
        <v>181</v>
      </c>
      <c r="D54" s="52" t="s">
        <v>83</v>
      </c>
      <c r="E54" s="53" t="s">
        <v>182</v>
      </c>
      <c r="F54" s="53" t="s">
        <v>182</v>
      </c>
      <c r="G54" s="54"/>
      <c r="H54" s="56"/>
      <c r="I54" s="46"/>
      <c r="J54" s="46"/>
      <c r="K54" s="46"/>
      <c r="L54" s="46">
        <f t="shared" si="8"/>
        <v>0</v>
      </c>
      <c r="M54" s="46">
        <v>0</v>
      </c>
      <c r="N54" s="46">
        <v>0</v>
      </c>
      <c r="O54" s="46">
        <f t="shared" si="5"/>
        <v>0</v>
      </c>
      <c r="P54" s="51" t="s">
        <v>183</v>
      </c>
      <c r="Q54" s="100"/>
      <c r="R54" s="99"/>
      <c r="S54" s="46">
        <v>0</v>
      </c>
      <c r="T54" s="100"/>
      <c r="U54" s="100"/>
      <c r="V54" s="100"/>
      <c r="W54" s="100"/>
      <c r="X54" s="100"/>
      <c r="Y54" s="100"/>
      <c r="Z54" s="100"/>
      <c r="AA54" s="100"/>
      <c r="AB54" s="100"/>
      <c r="AC54" s="51" t="s">
        <v>184</v>
      </c>
      <c r="AD54" s="101"/>
    </row>
    <row r="55" spans="1:32" s="26" customFormat="1" ht="382.5" hidden="1" customHeight="1">
      <c r="A55" s="80" t="s">
        <v>185</v>
      </c>
      <c r="B55" s="50" t="s">
        <v>41</v>
      </c>
      <c r="C55" s="51" t="s">
        <v>186</v>
      </c>
      <c r="D55" s="56" t="s">
        <v>83</v>
      </c>
      <c r="E55" s="53" t="s">
        <v>187</v>
      </c>
      <c r="F55" s="53" t="s">
        <v>187</v>
      </c>
      <c r="G55" s="54"/>
      <c r="H55" s="56"/>
      <c r="I55" s="59"/>
      <c r="J55" s="59">
        <f>K55+M55</f>
        <v>208030.29256</v>
      </c>
      <c r="K55" s="59">
        <f>[1]реестр!$D$72</f>
        <v>79823.588380000001</v>
      </c>
      <c r="L55" s="59">
        <f t="shared" si="8"/>
        <v>128206.70418</v>
      </c>
      <c r="M55" s="59">
        <v>128206.70418</v>
      </c>
      <c r="N55" s="59">
        <v>0</v>
      </c>
      <c r="O55" s="46">
        <f t="shared" si="5"/>
        <v>128206.70418</v>
      </c>
      <c r="P55" s="51" t="s">
        <v>188</v>
      </c>
      <c r="Q55" s="100"/>
      <c r="R55" s="99"/>
      <c r="S55" s="59">
        <f>L55</f>
        <v>128206.70418</v>
      </c>
      <c r="T55" s="100"/>
      <c r="U55" s="100"/>
      <c r="V55" s="100"/>
      <c r="W55" s="100"/>
      <c r="X55" s="100"/>
      <c r="Y55" s="100"/>
      <c r="Z55" s="100"/>
      <c r="AA55" s="100"/>
      <c r="AB55" s="100"/>
      <c r="AC55" s="51" t="s">
        <v>189</v>
      </c>
      <c r="AD55" s="101"/>
    </row>
    <row r="56" spans="1:32" s="26" customFormat="1" ht="252" hidden="1" customHeight="1">
      <c r="A56" s="80" t="s">
        <v>190</v>
      </c>
      <c r="B56" s="50" t="s">
        <v>41</v>
      </c>
      <c r="C56" s="51" t="s">
        <v>191</v>
      </c>
      <c r="D56" s="56" t="s">
        <v>192</v>
      </c>
      <c r="E56" s="57">
        <v>1</v>
      </c>
      <c r="F56" s="56"/>
      <c r="G56" s="54"/>
      <c r="H56" s="56"/>
      <c r="I56" s="73"/>
      <c r="J56" s="73">
        <f>K56+M56</f>
        <v>356845.90818000003</v>
      </c>
      <c r="K56" s="73">
        <f>[1]реестр!$D$82+[1]реестр!$D$83</f>
        <v>65129.573270000001</v>
      </c>
      <c r="L56" s="73">
        <f t="shared" si="8"/>
        <v>339854.63491000002</v>
      </c>
      <c r="M56" s="73">
        <v>291716.33491000003</v>
      </c>
      <c r="N56" s="73">
        <f>48138300/1000</f>
        <v>48138.3</v>
      </c>
      <c r="O56" s="46">
        <f t="shared" si="5"/>
        <v>339854.63491000002</v>
      </c>
      <c r="P56" s="51" t="s">
        <v>193</v>
      </c>
      <c r="Q56" s="100"/>
      <c r="R56" s="99"/>
      <c r="S56" s="73">
        <f>L56</f>
        <v>339854.63491000002</v>
      </c>
      <c r="T56" s="100"/>
      <c r="U56" s="100"/>
      <c r="V56" s="100"/>
      <c r="W56" s="100"/>
      <c r="X56" s="100"/>
      <c r="Y56" s="100"/>
      <c r="Z56" s="100"/>
      <c r="AA56" s="100"/>
      <c r="AB56" s="100"/>
      <c r="AC56" s="51" t="s">
        <v>194</v>
      </c>
      <c r="AD56" s="101"/>
    </row>
    <row r="57" spans="1:32" s="26" customFormat="1" ht="252" hidden="1" customHeight="1">
      <c r="A57" s="80" t="s">
        <v>40</v>
      </c>
      <c r="B57" s="50" t="s">
        <v>41</v>
      </c>
      <c r="C57" s="115" t="s">
        <v>195</v>
      </c>
      <c r="D57" s="52" t="s">
        <v>196</v>
      </c>
      <c r="E57" s="53" t="s">
        <v>197</v>
      </c>
      <c r="F57" s="53" t="s">
        <v>197</v>
      </c>
      <c r="G57" s="52" t="s">
        <v>198</v>
      </c>
      <c r="H57" s="56"/>
      <c r="I57" s="46"/>
      <c r="J57" s="46">
        <f>K57+M57</f>
        <v>66960.75503</v>
      </c>
      <c r="K57" s="46">
        <f>[1]реестр!$D$9+[1]реестр!$D$11</f>
        <v>39169.591639999999</v>
      </c>
      <c r="L57" s="46">
        <f t="shared" si="8"/>
        <v>34407.125335000004</v>
      </c>
      <c r="M57" s="46">
        <v>27791.163390000002</v>
      </c>
      <c r="N57" s="46">
        <v>6615.961945</v>
      </c>
      <c r="O57" s="46">
        <f t="shared" si="5"/>
        <v>34407.125335000004</v>
      </c>
      <c r="P57" s="116" t="s">
        <v>199</v>
      </c>
      <c r="Q57" s="46">
        <f>L57</f>
        <v>34407.125335000004</v>
      </c>
      <c r="R57" s="99"/>
      <c r="S57" s="59"/>
      <c r="T57" s="100"/>
      <c r="U57" s="100"/>
      <c r="V57" s="100"/>
      <c r="W57" s="100"/>
      <c r="X57" s="100"/>
      <c r="Y57" s="100"/>
      <c r="Z57" s="100"/>
      <c r="AA57" s="100"/>
      <c r="AB57" s="100"/>
      <c r="AC57" s="116" t="s">
        <v>200</v>
      </c>
      <c r="AD57" s="101"/>
    </row>
    <row r="58" spans="1:32" s="26" customFormat="1" ht="252" hidden="1" customHeight="1">
      <c r="A58" s="42" t="s">
        <v>48</v>
      </c>
      <c r="B58" s="50" t="s">
        <v>41</v>
      </c>
      <c r="C58" s="51" t="s">
        <v>201</v>
      </c>
      <c r="D58" s="52" t="s">
        <v>196</v>
      </c>
      <c r="E58" s="53" t="s">
        <v>197</v>
      </c>
      <c r="F58" s="53" t="s">
        <v>197</v>
      </c>
      <c r="G58" s="52" t="s">
        <v>198</v>
      </c>
      <c r="H58" s="53"/>
      <c r="I58" s="46"/>
      <c r="J58" s="46">
        <v>578278.27570999996</v>
      </c>
      <c r="K58" s="46">
        <v>250093.23374</v>
      </c>
      <c r="L58" s="46">
        <f t="shared" si="8"/>
        <v>381555.94170999998</v>
      </c>
      <c r="M58" s="46">
        <v>219850.11072</v>
      </c>
      <c r="N58" s="46">
        <v>161705.83098999999</v>
      </c>
      <c r="O58" s="46">
        <f t="shared" si="5"/>
        <v>381555.94170999998</v>
      </c>
      <c r="P58" s="116" t="s">
        <v>202</v>
      </c>
      <c r="Q58" s="46">
        <f>L58</f>
        <v>381555.94170999998</v>
      </c>
      <c r="R58" s="47"/>
      <c r="S58" s="47"/>
      <c r="T58" s="48"/>
      <c r="U58" s="100"/>
      <c r="V58" s="100"/>
      <c r="W58" s="100"/>
      <c r="X58" s="100"/>
      <c r="Y58" s="100"/>
      <c r="Z58" s="100"/>
      <c r="AA58" s="100"/>
      <c r="AB58" s="100"/>
      <c r="AC58" s="116" t="s">
        <v>200</v>
      </c>
      <c r="AD58" s="101"/>
    </row>
    <row r="59" spans="1:32" s="26" customFormat="1" ht="252" hidden="1" customHeight="1">
      <c r="A59" s="80" t="s">
        <v>54</v>
      </c>
      <c r="B59" s="50" t="s">
        <v>41</v>
      </c>
      <c r="C59" s="115" t="s">
        <v>203</v>
      </c>
      <c r="D59" s="52" t="s">
        <v>56</v>
      </c>
      <c r="E59" s="53" t="s">
        <v>204</v>
      </c>
      <c r="F59" s="117" t="s">
        <v>204</v>
      </c>
      <c r="G59" s="52" t="s">
        <v>205</v>
      </c>
      <c r="H59" s="56"/>
      <c r="I59" s="46"/>
      <c r="J59" s="46">
        <v>94515.625</v>
      </c>
      <c r="K59" s="46">
        <v>0</v>
      </c>
      <c r="L59" s="46">
        <f t="shared" si="8"/>
        <v>159665.63260000001</v>
      </c>
      <c r="M59" s="46">
        <v>94515.625</v>
      </c>
      <c r="N59" s="46">
        <v>65150.007599999997</v>
      </c>
      <c r="O59" s="46">
        <f t="shared" si="5"/>
        <v>159665.63260000001</v>
      </c>
      <c r="P59" s="116" t="s">
        <v>206</v>
      </c>
      <c r="Q59" s="46">
        <f>L59</f>
        <v>159665.63260000001</v>
      </c>
      <c r="R59" s="99"/>
      <c r="S59" s="59"/>
      <c r="T59" s="100"/>
      <c r="U59" s="81">
        <v>19.3</v>
      </c>
      <c r="V59" s="81">
        <v>17.5</v>
      </c>
      <c r="W59" s="81">
        <v>2</v>
      </c>
      <c r="X59" s="81">
        <v>1.9</v>
      </c>
      <c r="Y59" s="81">
        <v>19.3</v>
      </c>
      <c r="Z59" s="81">
        <v>17.5</v>
      </c>
      <c r="AA59" s="100"/>
      <c r="AB59" s="100"/>
      <c r="AC59" s="116" t="s">
        <v>200</v>
      </c>
      <c r="AD59" s="101"/>
    </row>
    <row r="60" spans="1:32" s="26" customFormat="1" hidden="1">
      <c r="A60" s="80"/>
      <c r="B60" s="50"/>
      <c r="C60" s="65" t="s">
        <v>207</v>
      </c>
      <c r="D60" s="52"/>
      <c r="E60" s="53"/>
      <c r="F60" s="56"/>
      <c r="G60" s="56"/>
      <c r="H60" s="56"/>
      <c r="I60" s="46"/>
      <c r="J60" s="46"/>
      <c r="K60" s="46"/>
      <c r="L60" s="82">
        <f>L39+L57+L58+L59</f>
        <v>1161367.8531450005</v>
      </c>
      <c r="M60" s="82">
        <f>M39+M57+M58</f>
        <v>2411322.9331299998</v>
      </c>
      <c r="N60" s="82">
        <f>N39+N57+N58</f>
        <v>1690093.3844767858</v>
      </c>
      <c r="O60" s="82">
        <f>O39+O57+O58</f>
        <v>1001702.2205450004</v>
      </c>
      <c r="P60" s="82" t="e">
        <f>P39+P57+P58</f>
        <v>#VALUE!</v>
      </c>
      <c r="Q60" s="82">
        <f>Q57+Q58+Q59</f>
        <v>575628.69964500004</v>
      </c>
      <c r="R60" s="82">
        <f t="shared" ref="R60:AB60" si="9">R39+R57+R58</f>
        <v>0</v>
      </c>
      <c r="S60" s="82">
        <f t="shared" si="9"/>
        <v>585739.15350000036</v>
      </c>
      <c r="T60" s="82">
        <f t="shared" si="9"/>
        <v>0</v>
      </c>
      <c r="U60" s="82">
        <f t="shared" si="9"/>
        <v>0</v>
      </c>
      <c r="V60" s="82">
        <f t="shared" si="9"/>
        <v>0</v>
      </c>
      <c r="W60" s="82">
        <f t="shared" si="9"/>
        <v>0</v>
      </c>
      <c r="X60" s="82">
        <f t="shared" si="9"/>
        <v>0</v>
      </c>
      <c r="Y60" s="82">
        <f t="shared" si="9"/>
        <v>0</v>
      </c>
      <c r="Z60" s="82">
        <f t="shared" si="9"/>
        <v>0</v>
      </c>
      <c r="AA60" s="82">
        <f t="shared" si="9"/>
        <v>0</v>
      </c>
      <c r="AB60" s="82">
        <f t="shared" si="9"/>
        <v>0</v>
      </c>
      <c r="AC60" s="82"/>
      <c r="AD60" s="118">
        <f>AD39+AD57+AD58</f>
        <v>0</v>
      </c>
    </row>
    <row r="61" spans="1:32" s="26" customFormat="1">
      <c r="A61" s="80"/>
      <c r="B61" s="58"/>
      <c r="C61" s="65" t="s">
        <v>127</v>
      </c>
      <c r="D61" s="52"/>
      <c r="E61" s="53"/>
      <c r="F61" s="56"/>
      <c r="G61" s="56"/>
      <c r="H61" s="56"/>
      <c r="I61" s="82">
        <f>I37</f>
        <v>15079496.917000001</v>
      </c>
      <c r="J61" s="46"/>
      <c r="K61" s="46"/>
      <c r="L61" s="82">
        <f>L39+L37</f>
        <v>618806.00281250034</v>
      </c>
      <c r="M61" s="82">
        <f t="shared" ref="M61:S61" si="10">M39+M37</f>
        <v>2596590.2987700002</v>
      </c>
      <c r="N61" s="82">
        <f t="shared" si="10"/>
        <v>2575974.3612899999</v>
      </c>
      <c r="O61" s="82">
        <f t="shared" si="10"/>
        <v>-12364827.82987</v>
      </c>
      <c r="P61" s="82" t="e">
        <f t="shared" si="10"/>
        <v>#VALUE!</v>
      </c>
      <c r="Q61" s="82">
        <f t="shared" si="10"/>
        <v>51424.927530000001</v>
      </c>
      <c r="R61" s="82">
        <f t="shared" si="10"/>
        <v>0</v>
      </c>
      <c r="S61" s="82">
        <f t="shared" si="10"/>
        <v>618806.00281250034</v>
      </c>
      <c r="T61" s="82">
        <f t="shared" ref="T61:AB61" si="11">T37+T60</f>
        <v>0</v>
      </c>
      <c r="U61" s="82">
        <f t="shared" si="11"/>
        <v>0</v>
      </c>
      <c r="V61" s="82">
        <f t="shared" si="11"/>
        <v>0</v>
      </c>
      <c r="W61" s="82">
        <f t="shared" si="11"/>
        <v>0</v>
      </c>
      <c r="X61" s="82">
        <f t="shared" si="11"/>
        <v>0</v>
      </c>
      <c r="Y61" s="82">
        <f t="shared" si="11"/>
        <v>0</v>
      </c>
      <c r="Z61" s="82">
        <f t="shared" si="11"/>
        <v>0</v>
      </c>
      <c r="AA61" s="82">
        <f t="shared" si="11"/>
        <v>0</v>
      </c>
      <c r="AB61" s="82">
        <f t="shared" si="11"/>
        <v>0</v>
      </c>
      <c r="AC61" s="82"/>
      <c r="AD61" s="118">
        <f>AD37+AD60</f>
        <v>0</v>
      </c>
    </row>
    <row r="62" spans="1:32" ht="26.25" hidden="1" customHeight="1">
      <c r="A62" s="119" t="s">
        <v>208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</row>
    <row r="63" spans="1:32" ht="94.5" hidden="1" customHeight="1">
      <c r="A63" s="88" t="s">
        <v>40</v>
      </c>
      <c r="B63" s="50" t="s">
        <v>41</v>
      </c>
      <c r="C63" s="121" t="s">
        <v>209</v>
      </c>
      <c r="D63" s="122"/>
      <c r="E63" s="122"/>
      <c r="F63" s="122"/>
      <c r="G63" s="122"/>
      <c r="H63" s="122"/>
      <c r="I63" s="123"/>
      <c r="J63" s="68">
        <f>K63+M63</f>
        <v>775.73299999999995</v>
      </c>
      <c r="K63" s="123" t="s">
        <v>210</v>
      </c>
      <c r="L63" s="68">
        <f>M63+N63</f>
        <v>775.73299999999995</v>
      </c>
      <c r="M63" s="68">
        <f>M64+M65+M66+M67</f>
        <v>775.73299999999995</v>
      </c>
      <c r="N63" s="68">
        <v>0</v>
      </c>
      <c r="O63" s="68">
        <f>L63-I63</f>
        <v>775.73299999999995</v>
      </c>
      <c r="P63" s="123"/>
      <c r="Q63" s="68">
        <f>SUM(Q64:Q67)</f>
        <v>775.73299999999995</v>
      </c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4"/>
    </row>
    <row r="64" spans="1:32" ht="180" hidden="1" customHeight="1">
      <c r="A64" s="80" t="s">
        <v>211</v>
      </c>
      <c r="B64" s="125"/>
      <c r="C64" s="51" t="s">
        <v>212</v>
      </c>
      <c r="D64" s="56"/>
      <c r="E64" s="56"/>
      <c r="F64" s="56"/>
      <c r="G64" s="56"/>
      <c r="H64" s="56"/>
      <c r="I64" s="81"/>
      <c r="J64" s="59">
        <f t="shared" ref="J64:J82" si="12">K64+M64</f>
        <v>165</v>
      </c>
      <c r="K64" s="81">
        <v>0</v>
      </c>
      <c r="L64" s="59">
        <f t="shared" ref="L64:L73" si="13">M64+N64</f>
        <v>165</v>
      </c>
      <c r="M64" s="59">
        <f>165000/1000</f>
        <v>165</v>
      </c>
      <c r="N64" s="59">
        <v>0</v>
      </c>
      <c r="O64" s="68">
        <f t="shared" ref="O64:O82" si="14">L64-I64</f>
        <v>165</v>
      </c>
      <c r="P64" s="51" t="s">
        <v>200</v>
      </c>
      <c r="Q64" s="59">
        <v>165</v>
      </c>
      <c r="R64" s="99"/>
      <c r="S64" s="59"/>
      <c r="T64" s="100"/>
      <c r="U64" s="100"/>
      <c r="V64" s="100"/>
      <c r="W64" s="100"/>
      <c r="X64" s="100"/>
      <c r="Y64" s="100"/>
      <c r="Z64" s="100"/>
      <c r="AA64" s="100"/>
      <c r="AB64" s="100"/>
      <c r="AC64" s="81" t="s">
        <v>200</v>
      </c>
      <c r="AD64" s="101"/>
      <c r="AF64" s="126"/>
    </row>
    <row r="65" spans="1:31" ht="98.25" hidden="1" customHeight="1">
      <c r="A65" s="80" t="s">
        <v>213</v>
      </c>
      <c r="B65" s="125"/>
      <c r="C65" s="51" t="s">
        <v>214</v>
      </c>
      <c r="D65" s="56"/>
      <c r="E65" s="56"/>
      <c r="F65" s="56"/>
      <c r="G65" s="56"/>
      <c r="H65" s="56"/>
      <c r="I65" s="81"/>
      <c r="J65" s="59">
        <f t="shared" si="12"/>
        <v>268.483</v>
      </c>
      <c r="K65" s="81">
        <v>0</v>
      </c>
      <c r="L65" s="59">
        <f t="shared" si="13"/>
        <v>268.483</v>
      </c>
      <c r="M65" s="59">
        <f>268483/1000</f>
        <v>268.483</v>
      </c>
      <c r="N65" s="59">
        <v>0</v>
      </c>
      <c r="O65" s="68">
        <f t="shared" si="14"/>
        <v>268.483</v>
      </c>
      <c r="P65" s="51" t="s">
        <v>200</v>
      </c>
      <c r="Q65" s="59">
        <v>268.483</v>
      </c>
      <c r="R65" s="99"/>
      <c r="S65" s="59"/>
      <c r="T65" s="100"/>
      <c r="U65" s="100"/>
      <c r="V65" s="100"/>
      <c r="W65" s="100"/>
      <c r="X65" s="100"/>
      <c r="Y65" s="100"/>
      <c r="Z65" s="100"/>
      <c r="AA65" s="100"/>
      <c r="AB65" s="100"/>
      <c r="AC65" s="81" t="s">
        <v>200</v>
      </c>
      <c r="AD65" s="101"/>
    </row>
    <row r="66" spans="1:31" ht="72.75" hidden="1" customHeight="1">
      <c r="A66" s="80" t="s">
        <v>215</v>
      </c>
      <c r="B66" s="125"/>
      <c r="C66" s="51" t="s">
        <v>216</v>
      </c>
      <c r="D66" s="56"/>
      <c r="E66" s="56"/>
      <c r="F66" s="56"/>
      <c r="G66" s="56"/>
      <c r="H66" s="56"/>
      <c r="I66" s="81"/>
      <c r="J66" s="59">
        <f t="shared" si="12"/>
        <v>48</v>
      </c>
      <c r="K66" s="81">
        <v>0</v>
      </c>
      <c r="L66" s="59">
        <f t="shared" si="13"/>
        <v>48</v>
      </c>
      <c r="M66" s="59">
        <f>48000/1000</f>
        <v>48</v>
      </c>
      <c r="N66" s="59">
        <v>0</v>
      </c>
      <c r="O66" s="68">
        <f t="shared" si="14"/>
        <v>48</v>
      </c>
      <c r="P66" s="51" t="s">
        <v>200</v>
      </c>
      <c r="Q66" s="59">
        <v>48</v>
      </c>
      <c r="R66" s="99"/>
      <c r="S66" s="59"/>
      <c r="T66" s="100"/>
      <c r="U66" s="100"/>
      <c r="V66" s="100"/>
      <c r="W66" s="99"/>
      <c r="X66" s="100"/>
      <c r="Y66" s="100"/>
      <c r="Z66" s="100"/>
      <c r="AA66" s="100"/>
      <c r="AB66" s="100"/>
      <c r="AC66" s="81" t="s">
        <v>200</v>
      </c>
      <c r="AD66" s="101"/>
    </row>
    <row r="67" spans="1:31" ht="117.75" hidden="1" customHeight="1">
      <c r="A67" s="80" t="s">
        <v>217</v>
      </c>
      <c r="B67" s="125"/>
      <c r="C67" s="51" t="s">
        <v>218</v>
      </c>
      <c r="D67" s="56"/>
      <c r="E67" s="56"/>
      <c r="F67" s="56"/>
      <c r="G67" s="56"/>
      <c r="H67" s="56"/>
      <c r="I67" s="81"/>
      <c r="J67" s="59">
        <f t="shared" si="12"/>
        <v>294.25</v>
      </c>
      <c r="K67" s="81">
        <v>0</v>
      </c>
      <c r="L67" s="59">
        <f t="shared" si="13"/>
        <v>294.25</v>
      </c>
      <c r="M67" s="59">
        <f>294250/1000</f>
        <v>294.25</v>
      </c>
      <c r="N67" s="59">
        <v>0</v>
      </c>
      <c r="O67" s="68">
        <f t="shared" si="14"/>
        <v>294.25</v>
      </c>
      <c r="P67" s="51" t="s">
        <v>200</v>
      </c>
      <c r="Q67" s="59">
        <v>294.25</v>
      </c>
      <c r="R67" s="99"/>
      <c r="S67" s="59"/>
      <c r="T67" s="100"/>
      <c r="U67" s="100"/>
      <c r="V67" s="100"/>
      <c r="W67" s="100"/>
      <c r="X67" s="100"/>
      <c r="Y67" s="100"/>
      <c r="Z67" s="100"/>
      <c r="AA67" s="100"/>
      <c r="AB67" s="100"/>
      <c r="AC67" s="81" t="s">
        <v>200</v>
      </c>
      <c r="AD67" s="101"/>
    </row>
    <row r="68" spans="1:31" ht="81" hidden="1" customHeight="1">
      <c r="A68" s="88" t="s">
        <v>48</v>
      </c>
      <c r="B68" s="89" t="s">
        <v>41</v>
      </c>
      <c r="C68" s="65" t="s">
        <v>219</v>
      </c>
      <c r="D68" s="91"/>
      <c r="E68" s="91"/>
      <c r="F68" s="91"/>
      <c r="G68" s="91"/>
      <c r="H68" s="91"/>
      <c r="I68" s="127"/>
      <c r="J68" s="68">
        <f t="shared" si="12"/>
        <v>1196.0757100000001</v>
      </c>
      <c r="K68" s="68">
        <f>K69+K70</f>
        <v>954.15571</v>
      </c>
      <c r="L68" s="68">
        <f t="shared" si="13"/>
        <v>241.92</v>
      </c>
      <c r="M68" s="68">
        <f>M69+M70</f>
        <v>241.92</v>
      </c>
      <c r="N68" s="68">
        <v>0</v>
      </c>
      <c r="O68" s="68">
        <f>L68-I68</f>
        <v>241.92</v>
      </c>
      <c r="P68" s="65"/>
      <c r="Q68" s="68">
        <v>241.92</v>
      </c>
      <c r="R68" s="68"/>
      <c r="S68" s="68"/>
      <c r="T68" s="127"/>
      <c r="U68" s="100"/>
      <c r="V68" s="100"/>
      <c r="W68" s="100"/>
      <c r="X68" s="100"/>
      <c r="Y68" s="100"/>
      <c r="Z68" s="100"/>
      <c r="AA68" s="100"/>
      <c r="AB68" s="100"/>
      <c r="AC68" s="81" t="s">
        <v>200</v>
      </c>
      <c r="AD68" s="101"/>
    </row>
    <row r="69" spans="1:31" ht="68.25" hidden="1" customHeight="1">
      <c r="A69" s="80" t="s">
        <v>220</v>
      </c>
      <c r="B69" s="89"/>
      <c r="C69" s="51" t="s">
        <v>221</v>
      </c>
      <c r="D69" s="91"/>
      <c r="E69" s="91"/>
      <c r="F69" s="91"/>
      <c r="G69" s="91"/>
      <c r="H69" s="91"/>
      <c r="I69" s="127"/>
      <c r="J69" s="59">
        <f t="shared" si="12"/>
        <v>954.15571</v>
      </c>
      <c r="K69" s="59">
        <v>954.15571</v>
      </c>
      <c r="L69" s="59">
        <f t="shared" si="13"/>
        <v>0</v>
      </c>
      <c r="M69" s="59">
        <v>0</v>
      </c>
      <c r="N69" s="59"/>
      <c r="O69" s="68">
        <v>241.92</v>
      </c>
      <c r="P69" s="51" t="s">
        <v>200</v>
      </c>
      <c r="Q69" s="59">
        <f>J69</f>
        <v>954.15571</v>
      </c>
      <c r="R69" s="68"/>
      <c r="S69" s="68"/>
      <c r="T69" s="127"/>
      <c r="U69" s="100"/>
      <c r="V69" s="100"/>
      <c r="W69" s="100"/>
      <c r="X69" s="100"/>
      <c r="Y69" s="100"/>
      <c r="Z69" s="100"/>
      <c r="AA69" s="100"/>
      <c r="AB69" s="100"/>
      <c r="AC69" s="81" t="s">
        <v>200</v>
      </c>
      <c r="AD69" s="101"/>
    </row>
    <row r="70" spans="1:31" ht="30" hidden="1" customHeight="1">
      <c r="A70" s="80" t="s">
        <v>222</v>
      </c>
      <c r="B70" s="125"/>
      <c r="C70" s="63" t="s">
        <v>223</v>
      </c>
      <c r="D70" s="56"/>
      <c r="E70" s="56"/>
      <c r="F70" s="56"/>
      <c r="G70" s="56"/>
      <c r="H70" s="56"/>
      <c r="I70" s="81"/>
      <c r="J70" s="59">
        <f t="shared" si="12"/>
        <v>241.92</v>
      </c>
      <c r="K70" s="81">
        <v>0</v>
      </c>
      <c r="L70" s="59">
        <f t="shared" si="13"/>
        <v>241.92</v>
      </c>
      <c r="M70" s="128">
        <v>241.92</v>
      </c>
      <c r="N70" s="128">
        <f>N68+N63</f>
        <v>0</v>
      </c>
      <c r="O70" s="68">
        <f t="shared" si="14"/>
        <v>241.92</v>
      </c>
      <c r="P70" s="51" t="s">
        <v>200</v>
      </c>
      <c r="Q70" s="128">
        <v>241.92</v>
      </c>
      <c r="R70" s="99"/>
      <c r="S70" s="59"/>
      <c r="T70" s="100"/>
      <c r="U70" s="100"/>
      <c r="V70" s="100"/>
      <c r="W70" s="100"/>
      <c r="X70" s="100"/>
      <c r="Y70" s="100"/>
      <c r="Z70" s="100"/>
      <c r="AA70" s="100"/>
      <c r="AB70" s="100"/>
      <c r="AC70" s="81" t="s">
        <v>200</v>
      </c>
      <c r="AD70" s="101"/>
    </row>
    <row r="71" spans="1:31" ht="120" hidden="1">
      <c r="A71" s="88" t="s">
        <v>54</v>
      </c>
      <c r="B71" s="89" t="s">
        <v>41</v>
      </c>
      <c r="C71" s="65" t="s">
        <v>224</v>
      </c>
      <c r="D71" s="56"/>
      <c r="E71" s="56"/>
      <c r="F71" s="56"/>
      <c r="G71" s="56"/>
      <c r="H71" s="56"/>
      <c r="I71" s="81"/>
      <c r="J71" s="68">
        <f t="shared" si="12"/>
        <v>9833.4</v>
      </c>
      <c r="K71" s="127">
        <v>0</v>
      </c>
      <c r="L71" s="68">
        <f>M71+N71+L76+L77+L78+L79+L80+L81</f>
        <v>82201.357639999987</v>
      </c>
      <c r="M71" s="68">
        <f>M72+M73</f>
        <v>9833.4</v>
      </c>
      <c r="N71" s="68">
        <f>N72+N73+N74+N75</f>
        <v>69160.928580000007</v>
      </c>
      <c r="O71" s="68">
        <f t="shared" si="14"/>
        <v>82201.357639999987</v>
      </c>
      <c r="P71" s="51"/>
      <c r="Q71" s="59">
        <f>L71</f>
        <v>82201.357639999987</v>
      </c>
      <c r="R71" s="99"/>
      <c r="S71" s="59"/>
      <c r="T71" s="100"/>
      <c r="U71" s="100"/>
      <c r="V71" s="100"/>
      <c r="W71" s="100"/>
      <c r="X71" s="100"/>
      <c r="Y71" s="100"/>
      <c r="Z71" s="100"/>
      <c r="AA71" s="100"/>
      <c r="AB71" s="100"/>
      <c r="AC71" s="81" t="s">
        <v>200</v>
      </c>
      <c r="AD71" s="101"/>
    </row>
    <row r="72" spans="1:31" ht="279" hidden="1" customHeight="1">
      <c r="A72" s="80" t="s">
        <v>225</v>
      </c>
      <c r="B72" s="125"/>
      <c r="C72" s="129" t="s">
        <v>226</v>
      </c>
      <c r="D72" s="56"/>
      <c r="E72" s="56"/>
      <c r="F72" s="56"/>
      <c r="G72" s="56"/>
      <c r="H72" s="56"/>
      <c r="I72" s="81"/>
      <c r="J72" s="59">
        <f t="shared" si="12"/>
        <v>4820</v>
      </c>
      <c r="K72" s="81">
        <v>0</v>
      </c>
      <c r="L72" s="59">
        <f t="shared" si="13"/>
        <v>9640</v>
      </c>
      <c r="M72" s="128">
        <v>4820</v>
      </c>
      <c r="N72" s="128">
        <v>4820</v>
      </c>
      <c r="O72" s="68">
        <f t="shared" si="14"/>
        <v>9640</v>
      </c>
      <c r="P72" s="51" t="s">
        <v>227</v>
      </c>
      <c r="Q72" s="128">
        <f>L72</f>
        <v>9640</v>
      </c>
      <c r="R72" s="99"/>
      <c r="S72" s="59"/>
      <c r="T72" s="100"/>
      <c r="U72" s="100"/>
      <c r="V72" s="100"/>
      <c r="W72" s="100"/>
      <c r="X72" s="100"/>
      <c r="Y72" s="100"/>
      <c r="Z72" s="100"/>
      <c r="AA72" s="100"/>
      <c r="AB72" s="100"/>
      <c r="AC72" s="81" t="s">
        <v>200</v>
      </c>
      <c r="AD72" s="101"/>
    </row>
    <row r="73" spans="1:31" ht="123" hidden="1">
      <c r="A73" s="80" t="s">
        <v>228</v>
      </c>
      <c r="B73" s="125"/>
      <c r="C73" s="129" t="s">
        <v>229</v>
      </c>
      <c r="D73" s="56"/>
      <c r="E73" s="56"/>
      <c r="F73" s="56"/>
      <c r="G73" s="56"/>
      <c r="H73" s="56"/>
      <c r="I73" s="81"/>
      <c r="J73" s="59">
        <f t="shared" si="12"/>
        <v>5013.3999999999996</v>
      </c>
      <c r="K73" s="81">
        <v>0</v>
      </c>
      <c r="L73" s="59">
        <f t="shared" si="13"/>
        <v>10026.799999999999</v>
      </c>
      <c r="M73" s="128">
        <v>5013.3999999999996</v>
      </c>
      <c r="N73" s="128">
        <v>5013.3999999999996</v>
      </c>
      <c r="O73" s="68">
        <f t="shared" si="14"/>
        <v>10026.799999999999</v>
      </c>
      <c r="P73" s="51" t="s">
        <v>200</v>
      </c>
      <c r="Q73" s="128">
        <f>L73</f>
        <v>10026.799999999999</v>
      </c>
      <c r="R73" s="99"/>
      <c r="S73" s="59"/>
      <c r="T73" s="100"/>
      <c r="U73" s="100"/>
      <c r="V73" s="100"/>
      <c r="W73" s="100"/>
      <c r="X73" s="100"/>
      <c r="Y73" s="100"/>
      <c r="Z73" s="100"/>
      <c r="AA73" s="100"/>
      <c r="AB73" s="100"/>
      <c r="AC73" s="81" t="s">
        <v>200</v>
      </c>
      <c r="AD73" s="101"/>
      <c r="AE73" s="126"/>
    </row>
    <row r="74" spans="1:31" ht="61.5" hidden="1">
      <c r="A74" s="80" t="s">
        <v>230</v>
      </c>
      <c r="B74" s="125"/>
      <c r="C74" s="129" t="s">
        <v>231</v>
      </c>
      <c r="D74" s="56"/>
      <c r="E74" s="56"/>
      <c r="F74" s="56"/>
      <c r="G74" s="56"/>
      <c r="H74" s="56"/>
      <c r="I74" s="81"/>
      <c r="J74" s="59"/>
      <c r="K74" s="81"/>
      <c r="L74" s="59">
        <f>M74+N74</f>
        <v>13775.36</v>
      </c>
      <c r="M74" s="128"/>
      <c r="N74" s="128">
        <v>13775.36</v>
      </c>
      <c r="O74" s="68">
        <f t="shared" si="14"/>
        <v>13775.36</v>
      </c>
      <c r="P74" s="51"/>
      <c r="Q74" s="128">
        <v>13775.36</v>
      </c>
      <c r="R74" s="99"/>
      <c r="S74" s="59"/>
      <c r="T74" s="100"/>
      <c r="U74" s="100"/>
      <c r="V74" s="100"/>
      <c r="W74" s="100"/>
      <c r="X74" s="100"/>
      <c r="Y74" s="100"/>
      <c r="Z74" s="100"/>
      <c r="AA74" s="100"/>
      <c r="AB74" s="100"/>
      <c r="AC74" s="81" t="s">
        <v>200</v>
      </c>
      <c r="AD74" s="101"/>
      <c r="AE74" s="126"/>
    </row>
    <row r="75" spans="1:31" ht="153.75" hidden="1">
      <c r="A75" s="80" t="s">
        <v>232</v>
      </c>
      <c r="B75" s="125"/>
      <c r="C75" s="129" t="s">
        <v>233</v>
      </c>
      <c r="D75" s="56"/>
      <c r="E75" s="56"/>
      <c r="F75" s="56"/>
      <c r="G75" s="56"/>
      <c r="H75" s="56"/>
      <c r="I75" s="81"/>
      <c r="J75" s="59"/>
      <c r="K75" s="81"/>
      <c r="L75" s="59">
        <f>M75+N75</f>
        <v>45552.168579999998</v>
      </c>
      <c r="M75" s="128"/>
      <c r="N75" s="128">
        <f>'[4]2020'!$J$19</f>
        <v>45552.168579999998</v>
      </c>
      <c r="O75" s="68">
        <f t="shared" si="14"/>
        <v>45552.168579999998</v>
      </c>
      <c r="P75" s="51"/>
      <c r="Q75" s="128">
        <f>O75</f>
        <v>45552.168579999998</v>
      </c>
      <c r="R75" s="99"/>
      <c r="S75" s="59"/>
      <c r="T75" s="100"/>
      <c r="U75" s="100"/>
      <c r="V75" s="100"/>
      <c r="W75" s="100"/>
      <c r="X75" s="100"/>
      <c r="Y75" s="100"/>
      <c r="Z75" s="100"/>
      <c r="AA75" s="100"/>
      <c r="AB75" s="100"/>
      <c r="AC75" s="81" t="s">
        <v>200</v>
      </c>
      <c r="AD75" s="101"/>
      <c r="AE75" s="126"/>
    </row>
    <row r="76" spans="1:31" hidden="1">
      <c r="A76" s="80" t="s">
        <v>234</v>
      </c>
      <c r="B76" s="125"/>
      <c r="C76" s="129" t="s">
        <v>235</v>
      </c>
      <c r="D76" s="56"/>
      <c r="E76" s="56"/>
      <c r="F76" s="56"/>
      <c r="G76" s="56"/>
      <c r="H76" s="56"/>
      <c r="I76" s="81"/>
      <c r="J76" s="59"/>
      <c r="K76" s="81"/>
      <c r="L76" s="59">
        <v>598</v>
      </c>
      <c r="M76" s="128"/>
      <c r="N76" s="128"/>
      <c r="O76" s="68">
        <f t="shared" si="14"/>
        <v>598</v>
      </c>
      <c r="P76" s="51"/>
      <c r="Q76" s="128">
        <f>L76</f>
        <v>598</v>
      </c>
      <c r="R76" s="99"/>
      <c r="S76" s="59"/>
      <c r="T76" s="100"/>
      <c r="U76" s="100"/>
      <c r="V76" s="100"/>
      <c r="W76" s="100"/>
      <c r="X76" s="100"/>
      <c r="Y76" s="100"/>
      <c r="Z76" s="100"/>
      <c r="AA76" s="100"/>
      <c r="AB76" s="100"/>
      <c r="AC76" s="81" t="s">
        <v>200</v>
      </c>
      <c r="AD76" s="101"/>
      <c r="AE76" s="126"/>
    </row>
    <row r="77" spans="1:31" hidden="1">
      <c r="A77" s="80" t="s">
        <v>236</v>
      </c>
      <c r="B77" s="125"/>
      <c r="C77" s="129" t="s">
        <v>237</v>
      </c>
      <c r="D77" s="56"/>
      <c r="E77" s="56"/>
      <c r="F77" s="56"/>
      <c r="G77" s="56"/>
      <c r="H77" s="56"/>
      <c r="I77" s="81"/>
      <c r="J77" s="59"/>
      <c r="K77" s="81"/>
      <c r="L77" s="59">
        <v>180.53391999999999</v>
      </c>
      <c r="M77" s="128"/>
      <c r="N77" s="128"/>
      <c r="O77" s="68">
        <f t="shared" si="14"/>
        <v>180.53391999999999</v>
      </c>
      <c r="P77" s="51"/>
      <c r="Q77" s="128">
        <f t="shared" ref="Q77:Q81" si="15">L77</f>
        <v>180.53391999999999</v>
      </c>
      <c r="R77" s="99"/>
      <c r="S77" s="59"/>
      <c r="T77" s="100"/>
      <c r="U77" s="100"/>
      <c r="V77" s="100"/>
      <c r="W77" s="100"/>
      <c r="X77" s="100"/>
      <c r="Y77" s="100"/>
      <c r="Z77" s="100"/>
      <c r="AA77" s="100"/>
      <c r="AB77" s="100"/>
      <c r="AC77" s="81" t="s">
        <v>200</v>
      </c>
      <c r="AD77" s="101"/>
      <c r="AE77" s="126"/>
    </row>
    <row r="78" spans="1:31" hidden="1">
      <c r="A78" s="80" t="s">
        <v>238</v>
      </c>
      <c r="B78" s="125"/>
      <c r="C78" s="129" t="s">
        <v>239</v>
      </c>
      <c r="D78" s="56"/>
      <c r="E78" s="56"/>
      <c r="F78" s="56"/>
      <c r="G78" s="56"/>
      <c r="H78" s="56"/>
      <c r="I78" s="81"/>
      <c r="J78" s="59"/>
      <c r="K78" s="81"/>
      <c r="L78" s="59">
        <v>230.35713999999999</v>
      </c>
      <c r="M78" s="128"/>
      <c r="N78" s="128"/>
      <c r="O78" s="68">
        <f t="shared" si="14"/>
        <v>230.35713999999999</v>
      </c>
      <c r="P78" s="51"/>
      <c r="Q78" s="128">
        <f t="shared" si="15"/>
        <v>230.35713999999999</v>
      </c>
      <c r="R78" s="99"/>
      <c r="S78" s="59"/>
      <c r="T78" s="100"/>
      <c r="U78" s="100"/>
      <c r="V78" s="100"/>
      <c r="W78" s="100"/>
      <c r="X78" s="100"/>
      <c r="Y78" s="100"/>
      <c r="Z78" s="100"/>
      <c r="AA78" s="100"/>
      <c r="AB78" s="100"/>
      <c r="AC78" s="81" t="s">
        <v>200</v>
      </c>
      <c r="AD78" s="101"/>
      <c r="AE78" s="126"/>
    </row>
    <row r="79" spans="1:31" hidden="1">
      <c r="A79" s="80" t="s">
        <v>240</v>
      </c>
      <c r="B79" s="125"/>
      <c r="C79" s="129" t="s">
        <v>241</v>
      </c>
      <c r="D79" s="56"/>
      <c r="E79" s="56"/>
      <c r="F79" s="56"/>
      <c r="G79" s="56"/>
      <c r="H79" s="56"/>
      <c r="I79" s="81"/>
      <c r="J79" s="59"/>
      <c r="K79" s="81"/>
      <c r="L79" s="59">
        <v>1099.9000000000001</v>
      </c>
      <c r="M79" s="128"/>
      <c r="N79" s="128"/>
      <c r="O79" s="68">
        <f t="shared" si="14"/>
        <v>1099.9000000000001</v>
      </c>
      <c r="P79" s="51"/>
      <c r="Q79" s="128">
        <f t="shared" si="15"/>
        <v>1099.9000000000001</v>
      </c>
      <c r="R79" s="99"/>
      <c r="S79" s="59"/>
      <c r="T79" s="100"/>
      <c r="U79" s="100"/>
      <c r="V79" s="100"/>
      <c r="W79" s="100"/>
      <c r="X79" s="100"/>
      <c r="Y79" s="100"/>
      <c r="Z79" s="100"/>
      <c r="AA79" s="100"/>
      <c r="AB79" s="100"/>
      <c r="AC79" s="81" t="s">
        <v>200</v>
      </c>
      <c r="AD79" s="101"/>
      <c r="AE79" s="126"/>
    </row>
    <row r="80" spans="1:31" hidden="1">
      <c r="A80" s="80" t="s">
        <v>242</v>
      </c>
      <c r="B80" s="125"/>
      <c r="C80" s="129" t="s">
        <v>243</v>
      </c>
      <c r="D80" s="56"/>
      <c r="E80" s="56"/>
      <c r="F80" s="56"/>
      <c r="G80" s="56"/>
      <c r="H80" s="56"/>
      <c r="I80" s="81"/>
      <c r="J80" s="59"/>
      <c r="K80" s="81"/>
      <c r="L80" s="59">
        <v>99.45</v>
      </c>
      <c r="M80" s="128"/>
      <c r="N80" s="128"/>
      <c r="O80" s="68">
        <f t="shared" si="14"/>
        <v>99.45</v>
      </c>
      <c r="P80" s="51"/>
      <c r="Q80" s="128">
        <f t="shared" si="15"/>
        <v>99.45</v>
      </c>
      <c r="R80" s="99"/>
      <c r="S80" s="59"/>
      <c r="T80" s="100"/>
      <c r="U80" s="100"/>
      <c r="V80" s="100"/>
      <c r="W80" s="100"/>
      <c r="X80" s="100"/>
      <c r="Y80" s="100"/>
      <c r="Z80" s="100"/>
      <c r="AA80" s="100"/>
      <c r="AB80" s="100"/>
      <c r="AC80" s="81" t="s">
        <v>200</v>
      </c>
      <c r="AD80" s="101"/>
      <c r="AE80" s="126"/>
    </row>
    <row r="81" spans="1:31" hidden="1">
      <c r="A81" s="80" t="s">
        <v>244</v>
      </c>
      <c r="B81" s="125"/>
      <c r="C81" s="129" t="s">
        <v>245</v>
      </c>
      <c r="D81" s="56"/>
      <c r="E81" s="56"/>
      <c r="F81" s="56"/>
      <c r="G81" s="56"/>
      <c r="H81" s="56"/>
      <c r="I81" s="81"/>
      <c r="J81" s="59"/>
      <c r="K81" s="81"/>
      <c r="L81" s="59">
        <v>998.78800000000001</v>
      </c>
      <c r="M81" s="128"/>
      <c r="N81" s="128"/>
      <c r="O81" s="68">
        <f t="shared" si="14"/>
        <v>998.78800000000001</v>
      </c>
      <c r="P81" s="51"/>
      <c r="Q81" s="128">
        <f t="shared" si="15"/>
        <v>998.78800000000001</v>
      </c>
      <c r="R81" s="99"/>
      <c r="S81" s="59"/>
      <c r="T81" s="100"/>
      <c r="U81" s="100"/>
      <c r="V81" s="100"/>
      <c r="W81" s="100"/>
      <c r="X81" s="100"/>
      <c r="Y81" s="100"/>
      <c r="Z81" s="100"/>
      <c r="AA81" s="100"/>
      <c r="AB81" s="100"/>
      <c r="AC81" s="81" t="s">
        <v>200</v>
      </c>
      <c r="AD81" s="101"/>
      <c r="AE81" s="126"/>
    </row>
    <row r="82" spans="1:31" hidden="1">
      <c r="A82" s="80"/>
      <c r="B82" s="125"/>
      <c r="C82" s="65" t="s">
        <v>246</v>
      </c>
      <c r="D82" s="91"/>
      <c r="E82" s="91"/>
      <c r="F82" s="91"/>
      <c r="G82" s="91"/>
      <c r="H82" s="91"/>
      <c r="I82" s="127"/>
      <c r="J82" s="68">
        <f t="shared" si="12"/>
        <v>11805.208709999999</v>
      </c>
      <c r="K82" s="68">
        <f>K71+K68+K63</f>
        <v>954.15571</v>
      </c>
      <c r="L82" s="68">
        <f>L63+L68+L71</f>
        <v>83219.010639999993</v>
      </c>
      <c r="M82" s="68">
        <f>M63+M70+M71</f>
        <v>10851.053</v>
      </c>
      <c r="N82" s="68">
        <f>N63+N68+N71</f>
        <v>69160.928580000007</v>
      </c>
      <c r="O82" s="68">
        <f t="shared" si="14"/>
        <v>83219.010639999993</v>
      </c>
      <c r="P82" s="65"/>
      <c r="Q82" s="68">
        <f>Q71+Q68+Q63</f>
        <v>83219.010639999979</v>
      </c>
      <c r="R82" s="130"/>
      <c r="S82" s="68"/>
      <c r="T82" s="131"/>
      <c r="U82" s="100"/>
      <c r="V82" s="100"/>
      <c r="W82" s="100"/>
      <c r="X82" s="100"/>
      <c r="Y82" s="100"/>
      <c r="Z82" s="100"/>
      <c r="AA82" s="100"/>
      <c r="AB82" s="100"/>
      <c r="AC82" s="81" t="s">
        <v>200</v>
      </c>
      <c r="AD82" s="101"/>
    </row>
    <row r="83" spans="1:31" hidden="1">
      <c r="A83" s="80"/>
      <c r="B83" s="125"/>
      <c r="C83" s="65" t="s">
        <v>247</v>
      </c>
      <c r="D83" s="91"/>
      <c r="E83" s="91"/>
      <c r="F83" s="91"/>
      <c r="G83" s="91"/>
      <c r="H83" s="91"/>
      <c r="I83" s="68" t="e">
        <f>#REF!+I82</f>
        <v>#REF!</v>
      </c>
      <c r="J83" s="68" t="e">
        <f>#REF!+J82</f>
        <v>#REF!</v>
      </c>
      <c r="K83" s="68" t="e">
        <f>#REF!+K82</f>
        <v>#REF!</v>
      </c>
      <c r="L83" s="68"/>
      <c r="M83" s="68" t="e">
        <f>#REF!+M82</f>
        <v>#REF!</v>
      </c>
      <c r="N83" s="68"/>
      <c r="O83" s="68" t="e">
        <f>J83-I83</f>
        <v>#REF!</v>
      </c>
      <c r="P83" s="132"/>
      <c r="Q83" s="130" t="e">
        <f>#REF!+Q82</f>
        <v>#REF!</v>
      </c>
      <c r="R83" s="130"/>
      <c r="S83" s="68" t="e">
        <f>#REF!</f>
        <v>#REF!</v>
      </c>
      <c r="T83" s="131"/>
      <c r="U83" s="100"/>
      <c r="V83" s="100"/>
      <c r="W83" s="100"/>
      <c r="X83" s="100"/>
      <c r="Y83" s="100"/>
      <c r="Z83" s="100"/>
      <c r="AA83" s="100"/>
      <c r="AB83" s="100"/>
      <c r="AC83" s="100"/>
      <c r="AD83" s="101"/>
    </row>
    <row r="84" spans="1:31" ht="72" hidden="1" customHeight="1">
      <c r="L84" s="138"/>
    </row>
    <row r="85" spans="1:31" ht="67.5" hidden="1" customHeight="1">
      <c r="A85" s="142" t="s">
        <v>248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</row>
    <row r="86" spans="1:31" ht="37.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31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</row>
    <row r="88" spans="1:31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</row>
    <row r="89" spans="1:31">
      <c r="G89" s="146"/>
      <c r="L89" s="137"/>
    </row>
    <row r="90" spans="1:31">
      <c r="L90" s="137"/>
    </row>
    <row r="91" spans="1:31">
      <c r="L91" s="137"/>
    </row>
  </sheetData>
  <mergeCells count="40">
    <mergeCell ref="AC19:AC20"/>
    <mergeCell ref="A38:AD38"/>
    <mergeCell ref="A62:AC62"/>
    <mergeCell ref="A85:AC85"/>
    <mergeCell ref="A87:AC87"/>
    <mergeCell ref="A88:T88"/>
    <mergeCell ref="AA7:AB8"/>
    <mergeCell ref="Q8:Q9"/>
    <mergeCell ref="R8:R9"/>
    <mergeCell ref="L10:N10"/>
    <mergeCell ref="B11:P11"/>
    <mergeCell ref="P18:P20"/>
    <mergeCell ref="Q7:R7"/>
    <mergeCell ref="S7:S9"/>
    <mergeCell ref="T7:T9"/>
    <mergeCell ref="U7:V8"/>
    <mergeCell ref="W7:X8"/>
    <mergeCell ref="Y7:Z8"/>
    <mergeCell ref="K7:K9"/>
    <mergeCell ref="L7:L9"/>
    <mergeCell ref="M7:M9"/>
    <mergeCell ref="N7:N9"/>
    <mergeCell ref="O7:O9"/>
    <mergeCell ref="P7:P9"/>
    <mergeCell ref="C7:C9"/>
    <mergeCell ref="D7:D9"/>
    <mergeCell ref="E7:F8"/>
    <mergeCell ref="G7:G9"/>
    <mergeCell ref="I7:I9"/>
    <mergeCell ref="J7:J9"/>
    <mergeCell ref="A1:AD1"/>
    <mergeCell ref="A6:A9"/>
    <mergeCell ref="B6:G6"/>
    <mergeCell ref="H6:H9"/>
    <mergeCell ref="I6:P6"/>
    <mergeCell ref="Q6:T6"/>
    <mergeCell ref="U6:AB6"/>
    <mergeCell ref="AC6:AC9"/>
    <mergeCell ref="AD6:AD9"/>
    <mergeCell ref="B7:B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23" orientation="landscape" r:id="rId1"/>
  <rowBreaks count="1" manualBreakCount="1">
    <brk id="61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 квартал 2021 года</vt:lpstr>
      <vt:lpstr>'1 квартал 2021 года'!SUB1004515169_4</vt:lpstr>
      <vt:lpstr>'1 квартал 2021 года'!Заголовки_для_печати</vt:lpstr>
      <vt:lpstr>'1 квартал 2021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2021-05-04T04:17:48Z</dcterms:created>
  <dcterms:modified xsi:type="dcterms:W3CDTF">2021-05-04T04:18:38Z</dcterms:modified>
</cp:coreProperties>
</file>