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20490" windowHeight="7515"/>
  </bookViews>
  <sheets>
    <sheet name="ИТС по МТ за18г" sheetId="2" r:id="rId1"/>
  </sheets>
  <definedNames>
    <definedName name="_xlnm.Print_Titles" localSheetId="0">'ИТС по МТ за18г'!$6:$6</definedName>
    <definedName name="_xlnm.Print_Area" localSheetId="0">'ИТС по МТ за18г'!$A$1:$K$135</definedName>
  </definedNames>
  <calcPr calcId="124519"/>
</workbook>
</file>

<file path=xl/calcChain.xml><?xml version="1.0" encoding="utf-8"?>
<calcChain xmlns="http://schemas.openxmlformats.org/spreadsheetml/2006/main">
  <c r="F116" i="2"/>
  <c r="F115"/>
  <c r="F114"/>
  <c r="F65"/>
  <c r="G91"/>
  <c r="E91"/>
  <c r="F91"/>
  <c r="D91"/>
  <c r="E66"/>
  <c r="I66" s="1"/>
  <c r="G66"/>
  <c r="E67"/>
  <c r="I67" s="1"/>
  <c r="G67"/>
  <c r="E68"/>
  <c r="I68" s="1"/>
  <c r="G68"/>
  <c r="G69"/>
  <c r="E70"/>
  <c r="I70" s="1"/>
  <c r="G70"/>
  <c r="F72"/>
  <c r="F52"/>
  <c r="F48"/>
  <c r="D48"/>
  <c r="G49"/>
  <c r="H49" s="1"/>
  <c r="E49"/>
  <c r="E48" s="1"/>
  <c r="G9"/>
  <c r="H9" s="1"/>
  <c r="G10"/>
  <c r="H10" s="1"/>
  <c r="G11"/>
  <c r="H11" s="1"/>
  <c r="G12"/>
  <c r="H12" s="1"/>
  <c r="G13"/>
  <c r="H13" s="1"/>
  <c r="G15"/>
  <c r="H15" s="1"/>
  <c r="G17"/>
  <c r="G18"/>
  <c r="G19"/>
  <c r="G20"/>
  <c r="H20" s="1"/>
  <c r="G22"/>
  <c r="H22" s="1"/>
  <c r="G24"/>
  <c r="H24" s="1"/>
  <c r="G27"/>
  <c r="H27" s="1"/>
  <c r="G29"/>
  <c r="H29" s="1"/>
  <c r="G31"/>
  <c r="H31" s="1"/>
  <c r="G32"/>
  <c r="G33"/>
  <c r="G35"/>
  <c r="G30"/>
  <c r="H30" s="1"/>
  <c r="G34"/>
  <c r="H34" s="1"/>
  <c r="G53"/>
  <c r="G54"/>
  <c r="G37"/>
  <c r="H37" s="1"/>
  <c r="G38"/>
  <c r="H38" s="1"/>
  <c r="G39"/>
  <c r="H39" s="1"/>
  <c r="G40"/>
  <c r="H40" s="1"/>
  <c r="G41"/>
  <c r="H41" s="1"/>
  <c r="G43"/>
  <c r="G44"/>
  <c r="H44" s="1"/>
  <c r="G55"/>
  <c r="H55" s="1"/>
  <c r="G57"/>
  <c r="H57" s="1"/>
  <c r="G58"/>
  <c r="H58" s="1"/>
  <c r="G59"/>
  <c r="H59" s="1"/>
  <c r="G60"/>
  <c r="H60" s="1"/>
  <c r="G61"/>
  <c r="H61" s="1"/>
  <c r="G62"/>
  <c r="H62" s="1"/>
  <c r="G63"/>
  <c r="H63" s="1"/>
  <c r="G71"/>
  <c r="H71" s="1"/>
  <c r="G73"/>
  <c r="G74"/>
  <c r="G75"/>
  <c r="G92"/>
  <c r="G78"/>
  <c r="H78" s="1"/>
  <c r="G79"/>
  <c r="H79" s="1"/>
  <c r="G80"/>
  <c r="H80" s="1"/>
  <c r="G81"/>
  <c r="H81" s="1"/>
  <c r="G82"/>
  <c r="H82" s="1"/>
  <c r="G76"/>
  <c r="H76" s="1"/>
  <c r="G93"/>
  <c r="G90"/>
  <c r="H90" s="1"/>
  <c r="G77"/>
  <c r="H77" s="1"/>
  <c r="G95"/>
  <c r="G96"/>
  <c r="G98"/>
  <c r="G99"/>
  <c r="G84"/>
  <c r="G85"/>
  <c r="G86"/>
  <c r="G87"/>
  <c r="G88"/>
  <c r="G101"/>
  <c r="G102"/>
  <c r="G103"/>
  <c r="G104"/>
  <c r="G105"/>
  <c r="G107"/>
  <c r="G108"/>
  <c r="G109"/>
  <c r="H109" s="1"/>
  <c r="G110"/>
  <c r="H110" s="1"/>
  <c r="G118"/>
  <c r="H118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8"/>
  <c r="H128" s="1"/>
  <c r="G129"/>
  <c r="H129" s="1"/>
  <c r="J118"/>
  <c r="J120"/>
  <c r="E72"/>
  <c r="F97"/>
  <c r="F94" s="1"/>
  <c r="F106"/>
  <c r="G106" s="1"/>
  <c r="F47"/>
  <c r="G47" s="1"/>
  <c r="F113" l="1"/>
  <c r="G48"/>
  <c r="H48" s="1"/>
  <c r="G97"/>
  <c r="F46"/>
  <c r="G46" s="1"/>
  <c r="I120" l="1"/>
  <c r="I121"/>
  <c r="I122"/>
  <c r="I128"/>
  <c r="I129"/>
  <c r="D21"/>
  <c r="G119" l="1"/>
  <c r="H119" s="1"/>
  <c r="G116"/>
  <c r="H116" s="1"/>
  <c r="G114"/>
  <c r="H114" s="1"/>
  <c r="J121"/>
  <c r="J122"/>
  <c r="J114" l="1"/>
  <c r="J119"/>
  <c r="J116"/>
  <c r="G115"/>
  <c r="H115" s="1"/>
  <c r="J115" l="1"/>
  <c r="E83"/>
  <c r="E11"/>
  <c r="J11" s="1"/>
  <c r="D94"/>
  <c r="E9"/>
  <c r="I9" s="1"/>
  <c r="E10"/>
  <c r="F8"/>
  <c r="G94" l="1"/>
  <c r="F83"/>
  <c r="G83" s="1"/>
  <c r="H83" s="1"/>
  <c r="E46" l="1"/>
  <c r="E47"/>
  <c r="F28" l="1"/>
  <c r="G28" s="1"/>
  <c r="H28" s="1"/>
  <c r="F26"/>
  <c r="G26" s="1"/>
  <c r="H26" s="1"/>
  <c r="F25"/>
  <c r="G25" s="1"/>
  <c r="H25" s="1"/>
  <c r="F42" l="1"/>
  <c r="G42" s="1"/>
  <c r="H42" s="1"/>
  <c r="F56"/>
  <c r="G56" s="1"/>
  <c r="H56" s="1"/>
  <c r="F51"/>
  <c r="G51" s="1"/>
  <c r="H51" s="1"/>
  <c r="E57"/>
  <c r="E30"/>
  <c r="E82"/>
  <c r="F36" l="1"/>
  <c r="F16"/>
  <c r="G16" s="1"/>
  <c r="G72"/>
  <c r="H72" s="1"/>
  <c r="I72" l="1"/>
  <c r="J72"/>
  <c r="E17" l="1"/>
  <c r="E18"/>
  <c r="E19"/>
  <c r="E20"/>
  <c r="I20" s="1"/>
  <c r="E22"/>
  <c r="E21" s="1"/>
  <c r="E24"/>
  <c r="E25"/>
  <c r="E26"/>
  <c r="E27"/>
  <c r="E28"/>
  <c r="E29"/>
  <c r="E31"/>
  <c r="I31" s="1"/>
  <c r="E32"/>
  <c r="E33"/>
  <c r="E35"/>
  <c r="E34"/>
  <c r="J34" s="1"/>
  <c r="E52"/>
  <c r="E53"/>
  <c r="E54"/>
  <c r="E37"/>
  <c r="E38"/>
  <c r="E39"/>
  <c r="E40"/>
  <c r="E41"/>
  <c r="E42"/>
  <c r="E43"/>
  <c r="E44"/>
  <c r="E51"/>
  <c r="E45"/>
  <c r="E55"/>
  <c r="E56"/>
  <c r="E58"/>
  <c r="E59"/>
  <c r="E60"/>
  <c r="E61"/>
  <c r="E62"/>
  <c r="E63"/>
  <c r="E71"/>
  <c r="E65" s="1"/>
  <c r="E73"/>
  <c r="E74"/>
  <c r="E75"/>
  <c r="E92"/>
  <c r="E78"/>
  <c r="I78" s="1"/>
  <c r="E79"/>
  <c r="E81"/>
  <c r="E76"/>
  <c r="E93"/>
  <c r="E90"/>
  <c r="E77"/>
  <c r="E95"/>
  <c r="E96"/>
  <c r="E97"/>
  <c r="E98"/>
  <c r="E99"/>
  <c r="E84"/>
  <c r="E85"/>
  <c r="E86"/>
  <c r="E87"/>
  <c r="E88"/>
  <c r="E101"/>
  <c r="E102"/>
  <c r="E106"/>
  <c r="E107"/>
  <c r="E108"/>
  <c r="E16"/>
  <c r="E15"/>
  <c r="E13"/>
  <c r="I13" s="1"/>
  <c r="E12"/>
  <c r="J10"/>
  <c r="E116"/>
  <c r="I116" s="1"/>
  <c r="E119"/>
  <c r="I119" s="1"/>
  <c r="E118"/>
  <c r="I118" s="1"/>
  <c r="D113"/>
  <c r="G113" s="1"/>
  <c r="H113" s="1"/>
  <c r="I15" l="1"/>
  <c r="J15"/>
  <c r="I71"/>
  <c r="J71"/>
  <c r="J113"/>
  <c r="I16"/>
  <c r="J16"/>
  <c r="E114"/>
  <c r="I114" s="1"/>
  <c r="E115"/>
  <c r="I115" s="1"/>
  <c r="E8"/>
  <c r="E94"/>
  <c r="J20"/>
  <c r="J13"/>
  <c r="J22"/>
  <c r="J29"/>
  <c r="J31"/>
  <c r="J30"/>
  <c r="J42"/>
  <c r="J44"/>
  <c r="J51"/>
  <c r="J82"/>
  <c r="J76"/>
  <c r="J90"/>
  <c r="J77"/>
  <c r="I10"/>
  <c r="I11"/>
  <c r="I12"/>
  <c r="I22"/>
  <c r="I25"/>
  <c r="I26"/>
  <c r="I27"/>
  <c r="I28"/>
  <c r="I29"/>
  <c r="I32"/>
  <c r="I33"/>
  <c r="I35"/>
  <c r="I30"/>
  <c r="I34"/>
  <c r="I53"/>
  <c r="I54"/>
  <c r="I38"/>
  <c r="I39"/>
  <c r="I40"/>
  <c r="I41"/>
  <c r="I42"/>
  <c r="I43"/>
  <c r="I44"/>
  <c r="I51"/>
  <c r="I46"/>
  <c r="I47"/>
  <c r="I55"/>
  <c r="I56"/>
  <c r="I57"/>
  <c r="I58"/>
  <c r="I59"/>
  <c r="I60"/>
  <c r="I61"/>
  <c r="I62"/>
  <c r="I63"/>
  <c r="I74"/>
  <c r="I75"/>
  <c r="I92"/>
  <c r="I79"/>
  <c r="I81"/>
  <c r="I82"/>
  <c r="I76"/>
  <c r="I93"/>
  <c r="I90"/>
  <c r="I77"/>
  <c r="I95"/>
  <c r="I96"/>
  <c r="I97"/>
  <c r="I98"/>
  <c r="I99"/>
  <c r="I86"/>
  <c r="I87"/>
  <c r="I88"/>
  <c r="I89"/>
  <c r="I101"/>
  <c r="I102"/>
  <c r="I106"/>
  <c r="I107"/>
  <c r="I108"/>
  <c r="J9"/>
  <c r="I8" l="1"/>
  <c r="I94"/>
  <c r="E113"/>
  <c r="I113" s="1"/>
  <c r="E117"/>
  <c r="J85" l="1"/>
  <c r="I85"/>
  <c r="J24" l="1"/>
  <c r="I24"/>
  <c r="J8" l="1"/>
  <c r="F117" l="1"/>
  <c r="G117" s="1"/>
  <c r="H117" s="1"/>
  <c r="J117" l="1"/>
  <c r="I117"/>
  <c r="F132"/>
  <c r="G132" s="1"/>
  <c r="H132" s="1"/>
  <c r="F131"/>
  <c r="G131" s="1"/>
  <c r="H131" s="1"/>
  <c r="D127"/>
  <c r="F127"/>
  <c r="D36"/>
  <c r="G36" s="1"/>
  <c r="H36" s="1"/>
  <c r="G52"/>
  <c r="F45"/>
  <c r="G45" s="1"/>
  <c r="H45" s="1"/>
  <c r="G127" l="1"/>
  <c r="H127" s="1"/>
  <c r="F130"/>
  <c r="I127"/>
  <c r="E36"/>
  <c r="I36" s="1"/>
  <c r="I132"/>
  <c r="I131"/>
  <c r="I52"/>
  <c r="F23"/>
  <c r="J45"/>
  <c r="I45"/>
  <c r="J36"/>
  <c r="D23"/>
  <c r="F14"/>
  <c r="I130" l="1"/>
  <c r="G130"/>
  <c r="H130" s="1"/>
  <c r="G65"/>
  <c r="H65" s="1"/>
  <c r="G23"/>
  <c r="H23" s="1"/>
  <c r="D64"/>
  <c r="E23"/>
  <c r="I23" s="1"/>
  <c r="E64"/>
  <c r="F64"/>
  <c r="G64" l="1"/>
  <c r="H64" s="1"/>
  <c r="J23"/>
  <c r="I65"/>
  <c r="J65"/>
  <c r="J64"/>
  <c r="I64"/>
  <c r="D14" l="1"/>
  <c r="G14" s="1"/>
  <c r="H14" s="1"/>
  <c r="F21"/>
  <c r="G21" s="1"/>
  <c r="D8"/>
  <c r="G8" s="1"/>
  <c r="H8" s="1"/>
  <c r="E14" l="1"/>
  <c r="I14" s="1"/>
  <c r="G7"/>
  <c r="F7"/>
  <c r="I21"/>
  <c r="D7"/>
  <c r="J14" l="1"/>
  <c r="E7"/>
  <c r="J7" s="1"/>
  <c r="H7"/>
  <c r="I7"/>
  <c r="D111"/>
  <c r="E111" l="1"/>
  <c r="D112"/>
  <c r="F111"/>
  <c r="G111" s="1"/>
  <c r="H111" s="1"/>
  <c r="J111" l="1"/>
  <c r="I111"/>
  <c r="F112"/>
  <c r="G112" s="1"/>
  <c r="I112" l="1"/>
</calcChain>
</file>

<file path=xl/sharedStrings.xml><?xml version="1.0" encoding="utf-8"?>
<sst xmlns="http://schemas.openxmlformats.org/spreadsheetml/2006/main" count="386" uniqueCount="223">
  <si>
    <t xml:space="preserve">Приложение 1 к Правилам утверждения предельного уровня тарифов (цен, ставок сборов) и тарифных смет на регулируемые услуги (товары, работы) субъектов </t>
  </si>
  <si>
    <t>№ п/п</t>
  </si>
  <si>
    <t>Наименование показателей тарифной сметы</t>
  </si>
  <si>
    <t>Ед изм.</t>
  </si>
  <si>
    <t>Причины отклонения</t>
  </si>
  <si>
    <t>откло-нение в% от ТС</t>
  </si>
  <si>
    <t>I</t>
  </si>
  <si>
    <t>Затраты на производство товаров и предоставление услуг - всего, в том числе</t>
  </si>
  <si>
    <t>тыс. тенге</t>
  </si>
  <si>
    <t>1.</t>
  </si>
  <si>
    <t>Материальные затраты, всего</t>
  </si>
  <si>
    <t>1.1.</t>
  </si>
  <si>
    <t>Сырье и материалы</t>
  </si>
  <si>
    <t>1.2.</t>
  </si>
  <si>
    <t>ГСМ</t>
  </si>
  <si>
    <t>1.3.</t>
  </si>
  <si>
    <t>Запчасти</t>
  </si>
  <si>
    <t>1.4.</t>
  </si>
  <si>
    <t>Электроэнергия</t>
  </si>
  <si>
    <t>2.</t>
  </si>
  <si>
    <t>Затраты на оплату труда - всего, в т.ч.</t>
  </si>
  <si>
    <t>2.1.</t>
  </si>
  <si>
    <t>2.2.</t>
  </si>
  <si>
    <t>Социальный налог</t>
  </si>
  <si>
    <t>ОСМС</t>
  </si>
  <si>
    <t>3.</t>
  </si>
  <si>
    <t>Амортизация</t>
  </si>
  <si>
    <t>4.</t>
  </si>
  <si>
    <t>Ремонт, всего, в.т.ч.</t>
  </si>
  <si>
    <t>4.1.</t>
  </si>
  <si>
    <t>Капитальный ремонт, не приводящий к увеличению стоимости основных средств</t>
  </si>
  <si>
    <t>5.</t>
  </si>
  <si>
    <t>Прочие затраты, всего</t>
  </si>
  <si>
    <t>5.1.</t>
  </si>
  <si>
    <t>Услуги связи</t>
  </si>
  <si>
    <t>5.2.</t>
  </si>
  <si>
    <t>Выплаты, в случаях, когда постоянная работа протекает в пути или имеет разъездной характер</t>
  </si>
  <si>
    <t>5.3.</t>
  </si>
  <si>
    <t>5.4.</t>
  </si>
  <si>
    <t>Командировочные расходы</t>
  </si>
  <si>
    <t>5.5.</t>
  </si>
  <si>
    <t>5.6.</t>
  </si>
  <si>
    <t>Коммунальные услуги</t>
  </si>
  <si>
    <t>5.7.</t>
  </si>
  <si>
    <t>5.8.</t>
  </si>
  <si>
    <t>Обязательные виды страхования</t>
  </si>
  <si>
    <t>5.11.</t>
  </si>
  <si>
    <t>Метрологические услуги</t>
  </si>
  <si>
    <t>5.12.</t>
  </si>
  <si>
    <t>Оформление тех.документации имущества</t>
  </si>
  <si>
    <t>Тех.осмотр</t>
  </si>
  <si>
    <t>IІ</t>
  </si>
  <si>
    <t>Расходы периода - всего, в т.ч.</t>
  </si>
  <si>
    <t xml:space="preserve">Общие и административные, всего  </t>
  </si>
  <si>
    <t>Топливо (ГСМ)</t>
  </si>
  <si>
    <t xml:space="preserve">Заработная плата административного персонала </t>
  </si>
  <si>
    <t>Услуги банка</t>
  </si>
  <si>
    <t>Расходы на содержание и обслуживание технических средств управления, вычислительной техники и.т.д.</t>
  </si>
  <si>
    <t>Платы за пользование водными ресурсами поверхностных источников</t>
  </si>
  <si>
    <t>Почтовые услуги</t>
  </si>
  <si>
    <t>III</t>
  </si>
  <si>
    <t>Всего затрат</t>
  </si>
  <si>
    <t>IV</t>
  </si>
  <si>
    <t>Прибыль (+) убыток (-)</t>
  </si>
  <si>
    <t>V</t>
  </si>
  <si>
    <t>Всего доходов</t>
  </si>
  <si>
    <t>VI</t>
  </si>
  <si>
    <r>
      <t>Объем оказываемых услуг, тыс.м</t>
    </r>
    <r>
      <rPr>
        <b/>
        <sz val="12"/>
        <rFont val="Arial"/>
        <family val="2"/>
        <charset val="204"/>
      </rPr>
      <t>³</t>
    </r>
  </si>
  <si>
    <t>тыс. м3</t>
  </si>
  <si>
    <t>VIІI</t>
  </si>
  <si>
    <t>Тариф (без НДС) в том числе, тенге</t>
  </si>
  <si>
    <t>тенге</t>
  </si>
  <si>
    <t>VII</t>
  </si>
  <si>
    <t>Нормативные потери</t>
  </si>
  <si>
    <t>%</t>
  </si>
  <si>
    <t>IX</t>
  </si>
  <si>
    <t>Численность персонала</t>
  </si>
  <si>
    <t>человек</t>
  </si>
  <si>
    <t>производственного персонала</t>
  </si>
  <si>
    <t>административного персонала</t>
  </si>
  <si>
    <t>Х</t>
  </si>
  <si>
    <t>Среднемесячная з/плата</t>
  </si>
  <si>
    <t xml:space="preserve">   производственного персонала</t>
  </si>
  <si>
    <t xml:space="preserve">   административного персонала</t>
  </si>
  <si>
    <t>на регулируемые услуги по подаче воды магистральным трубопроводам</t>
  </si>
  <si>
    <t>ГВ Коянды</t>
  </si>
  <si>
    <t>ГВ Индер-Миялы</t>
  </si>
  <si>
    <t>ГВ Миялы-Жангельдино-Жаскайрат</t>
  </si>
  <si>
    <t>5.13</t>
  </si>
  <si>
    <t>5.14</t>
  </si>
  <si>
    <t>5.15</t>
  </si>
  <si>
    <t>5.16</t>
  </si>
  <si>
    <t>2.2.1.</t>
  </si>
  <si>
    <t>2.2.2.</t>
  </si>
  <si>
    <t>2.2.3.</t>
  </si>
  <si>
    <t>Социальное отчисление</t>
  </si>
  <si>
    <t>Соц налог и соц.отчисления, всего</t>
  </si>
  <si>
    <t xml:space="preserve">Исполнение тарифной сметы </t>
  </si>
  <si>
    <t>ОТ, ТБ и ПБ, в т. ч.</t>
  </si>
  <si>
    <t>Охрана труда (мед.обслед. и возмещ вреда)</t>
  </si>
  <si>
    <t>Техническая безопасность</t>
  </si>
  <si>
    <t>Пожарная безопасность</t>
  </si>
  <si>
    <t>5.3.1.</t>
  </si>
  <si>
    <t>5.3.2.</t>
  </si>
  <si>
    <t>5.3.3.</t>
  </si>
  <si>
    <t>Пусконаладочные работы эл.оборудований нас.станции</t>
  </si>
  <si>
    <t>Тех.обслуживание электросетей, трансформаторов</t>
  </si>
  <si>
    <t>Энергетическая экспертиза</t>
  </si>
  <si>
    <t>Пусконаладка оборудований нас.станции</t>
  </si>
  <si>
    <t>5.15.1.</t>
  </si>
  <si>
    <t>5.15.2.</t>
  </si>
  <si>
    <t>5.15.3.</t>
  </si>
  <si>
    <t>Тепловая энергия (ТЭЦ)</t>
  </si>
  <si>
    <t>Расходы на отопление (природн.газ)</t>
  </si>
  <si>
    <t>Питьевая вода и канализация</t>
  </si>
  <si>
    <t>Паромная переправа</t>
  </si>
  <si>
    <t>Вывоз отходов (ТБО)</t>
  </si>
  <si>
    <t>5.6.1.</t>
  </si>
  <si>
    <t>5.6.2.</t>
  </si>
  <si>
    <t>5.6.3.</t>
  </si>
  <si>
    <t>5.6.4.</t>
  </si>
  <si>
    <t>Дизенфекция, промывка водопровода и анализ пробы воды</t>
  </si>
  <si>
    <t>имущественный налог</t>
  </si>
  <si>
    <t>транспортный налог</t>
  </si>
  <si>
    <t>земельный налог</t>
  </si>
  <si>
    <t>госпошлины и сборы</t>
  </si>
  <si>
    <t>штрафы и пении</t>
  </si>
  <si>
    <t>Плата за эмиссии окр. среды</t>
  </si>
  <si>
    <t>5.7.1</t>
  </si>
  <si>
    <t>5.7.2</t>
  </si>
  <si>
    <t>5.7.3</t>
  </si>
  <si>
    <t>5.7.4</t>
  </si>
  <si>
    <t>5.7.5</t>
  </si>
  <si>
    <t>налог на добычи за подземные воды</t>
  </si>
  <si>
    <t>плата за пользование поверхн. воды</t>
  </si>
  <si>
    <t>плата за эмиссии окр. среды</t>
  </si>
  <si>
    <t>Налоги, всего, в т.ч.</t>
  </si>
  <si>
    <t>Страхование ГПО работодателя</t>
  </si>
  <si>
    <t>Страхование ГПО транспортных средств</t>
  </si>
  <si>
    <t>Начальник ПЭО</t>
  </si>
  <si>
    <t>И. о. главного бухгалтера</t>
  </si>
  <si>
    <t xml:space="preserve"> </t>
  </si>
  <si>
    <t>6.9.1</t>
  </si>
  <si>
    <t>6.9.2</t>
  </si>
  <si>
    <t>6.9.3</t>
  </si>
  <si>
    <t>абонентная плата</t>
  </si>
  <si>
    <t>интернет</t>
  </si>
  <si>
    <t>услуги видеоконференции</t>
  </si>
  <si>
    <t>5.1.1.</t>
  </si>
  <si>
    <t>5.1.2.</t>
  </si>
  <si>
    <t>5.1.3.</t>
  </si>
  <si>
    <t>Канц.товары</t>
  </si>
  <si>
    <t>5.1.4.</t>
  </si>
  <si>
    <t>прочие расходы по услугам связи</t>
  </si>
  <si>
    <t>Аудиторские услуги</t>
  </si>
  <si>
    <t>штрафы и пени</t>
  </si>
  <si>
    <t>6.9.4</t>
  </si>
  <si>
    <t>6.25</t>
  </si>
  <si>
    <t>Расходы на выплату вознагражд. по МФО</t>
  </si>
  <si>
    <t>Членские взносы в ассосацию "Водное хозяйства РК"</t>
  </si>
  <si>
    <t xml:space="preserve">Канц.товары </t>
  </si>
  <si>
    <t xml:space="preserve">Утвержденная ТС на 2018 год </t>
  </si>
  <si>
    <t xml:space="preserve">Утвержденная ТС по доходу на 2018 год </t>
  </si>
  <si>
    <t>Факт за 2018 год</t>
  </si>
  <si>
    <t xml:space="preserve"> за 2018 год Атырауского филиала РГП "Казводхоз"        </t>
  </si>
  <si>
    <t>Всего отчислении</t>
  </si>
  <si>
    <t>гос.пошлины и сборы</t>
  </si>
  <si>
    <t>Подготовка и повышение квалификации кадров</t>
  </si>
  <si>
    <t xml:space="preserve">Директор </t>
  </si>
  <si>
    <t>А. Рысжанов</t>
  </si>
  <si>
    <t>С. Султанова</t>
  </si>
  <si>
    <t>А. Бергалиев</t>
  </si>
  <si>
    <t>Отклонение от ТС</t>
  </si>
  <si>
    <t xml:space="preserve">                                                                           </t>
  </si>
  <si>
    <t>Улуги тех.осмотра авто-техники</t>
  </si>
  <si>
    <t>Представительские расходы, информационные услуги, периодическая печать  и.т.д.</t>
  </si>
  <si>
    <t>Заработная плата производственного персонала</t>
  </si>
  <si>
    <t>4.2.</t>
  </si>
  <si>
    <t>4.3.</t>
  </si>
  <si>
    <t>4.5.</t>
  </si>
  <si>
    <t>4.4.</t>
  </si>
  <si>
    <t>4.6.</t>
  </si>
  <si>
    <t>Охрана окужающей среды</t>
  </si>
  <si>
    <t>4.7.</t>
  </si>
  <si>
    <t>4.8.</t>
  </si>
  <si>
    <t>Другие затарты</t>
  </si>
  <si>
    <t>4.9.</t>
  </si>
  <si>
    <t>4.6.1.</t>
  </si>
  <si>
    <t>4.6.2.</t>
  </si>
  <si>
    <t>4.5.1.</t>
  </si>
  <si>
    <t>4.7.1.</t>
  </si>
  <si>
    <t>5.2.1.</t>
  </si>
  <si>
    <t>5.2.2.</t>
  </si>
  <si>
    <t>5.2.3.</t>
  </si>
  <si>
    <t>Прочие расходы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</si>
  <si>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</si>
  <si>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</si>
  <si>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</si>
  <si>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</si>
  <si>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</si>
  <si>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</si>
  <si>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</si>
  <si>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</si>
  <si>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</si>
  <si>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Приложение 1 к Правилам утверждения предельного уровня тарифов (цен, ставок сборов) и тарифных смет на регулируемые услуги (товары, работы) субъектов естественной монополии</t>
  </si>
  <si>
    <t>Уменьшение затрат связано с уменьшением обьема оказываевмых услуг за 2018 год на 20% по подаче воды и с оптимизации затрат</t>
  </si>
  <si>
    <t>Уменьшение связано с уменьшением обьема оказываевмых услуг по подаче воды и с оптимизации затрат</t>
  </si>
  <si>
    <t>Уменьшение дохода связано с уменьшением обьема оказываевмых услуг по подаче воды согласно заявки водопотребителей</t>
  </si>
  <si>
    <t>Уменьшение обьема оказываевмых услуг по подаче воды согласно заявки водопотребителей</t>
  </si>
  <si>
    <t>Затраты не учтены в утвержденной тарифной смете</t>
  </si>
  <si>
    <t>Увеличение связано со сложивщегося обстоятельства производства, с вводом централизованной видоеконфнренционной услуги РГП Казводхоз</t>
  </si>
  <si>
    <t xml:space="preserve">Увеличение связано с фактической договорной суммы за счет гос. закупки проведеного конкурса </t>
  </si>
  <si>
    <t>Увеличение связано с вводом объекта реконструкции Кояндинского ГВП со стоимостью 411 940,0 тыс.тенгеи с прерасчета нормы амортизации по заданию РГП Казводхоз</t>
  </si>
  <si>
    <t>Увеличение связано со сложивщегося обстоятельства производства</t>
  </si>
  <si>
    <t>Увеличение связано с прерасчета нормы амортизации по заданию РГП Казводхоз</t>
  </si>
  <si>
    <t>Уменьшение связано со сложивщегося обстоятельства производства</t>
  </si>
  <si>
    <t>откло-нение  от ТС в%</t>
  </si>
  <si>
    <t>Отклонение от ТС, тыс. тенге</t>
  </si>
  <si>
    <t>Уменьшение связано с изменением налоговой ставки, согласно Налогового Кодекса РК</t>
  </si>
  <si>
    <t>Увеличение с изменением налоговой ставки, согласно Налогового Кодекса РК</t>
  </si>
  <si>
    <t>Увеличение связано согласно требований закона РК о страховании</t>
  </si>
  <si>
    <t>Увеличение связано с вводом новой нормы СанПИН РК</t>
  </si>
  <si>
    <t>Увеличение связяно с раходамы неучтеннами ТС, а также с изменением налоговой ставки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</si>
</sst>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#,##0.0"/>
    <numFmt numFmtId="166" formatCode="_-* #,##0.0\ _₽_-;\-* #,##0.0\ _₽_-;_-* &quot;-&quot;??\ _₽_-;_-@_-"/>
    <numFmt numFmtId="167" formatCode="_-* #,##0.0_р_._-;\-* #,##0.0_р_._-;_-* &quot;-&quot;??_р_._-;_-@_-"/>
    <numFmt numFmtId="168" formatCode="_-* #,##0.000_р_._-;\-* #,##0.000_р_._-;_-* &quot;-&quot;??_р_._-;_-@_-"/>
    <numFmt numFmtId="169" formatCode="#,##0.000"/>
    <numFmt numFmtId="170" formatCode="_-* #,##0.00000_р_._-;\-* #,##0.00000_р_._-;_-* &quot;-&quot;??_р_._-;_-@_-"/>
    <numFmt numFmtId="171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2" xfId="1" applyNumberFormat="1" applyFont="1" applyFill="1" applyBorder="1" applyAlignment="1">
      <alignment vertical="center"/>
    </xf>
    <xf numFmtId="168" fontId="2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>
      <alignment horizontal="right" vertical="center"/>
    </xf>
    <xf numFmtId="168" fontId="5" fillId="0" borderId="2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/>
    <xf numFmtId="0" fontId="13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4" fillId="0" borderId="2" xfId="1" applyNumberFormat="1" applyFont="1" applyFill="1" applyBorder="1" applyAlignment="1">
      <alignment horizontal="right" vertical="center"/>
    </xf>
    <xf numFmtId="164" fontId="14" fillId="0" borderId="2" xfId="1" applyFont="1" applyFill="1" applyBorder="1" applyAlignment="1">
      <alignment horizontal="right" vertical="center"/>
    </xf>
    <xf numFmtId="164" fontId="14" fillId="0" borderId="2" xfId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2" fontId="14" fillId="0" borderId="2" xfId="2" applyNumberFormat="1" applyFont="1" applyFill="1" applyBorder="1" applyAlignment="1">
      <alignment horizontal="left" vertical="center" wrapText="1"/>
    </xf>
    <xf numFmtId="168" fontId="14" fillId="0" borderId="2" xfId="1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2" fontId="16" fillId="0" borderId="2" xfId="2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8" fontId="14" fillId="0" borderId="0" xfId="1" applyNumberFormat="1" applyFont="1" applyFill="1" applyAlignment="1">
      <alignment vertical="center"/>
    </xf>
    <xf numFmtId="170" fontId="5" fillId="0" borderId="2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168" fontId="5" fillId="2" borderId="2" xfId="1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8" fontId="5" fillId="2" borderId="2" xfId="1" applyNumberFormat="1" applyFont="1" applyFill="1" applyBorder="1" applyAlignment="1">
      <alignment vertical="center"/>
    </xf>
    <xf numFmtId="164" fontId="5" fillId="2" borderId="2" xfId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/>
    </xf>
    <xf numFmtId="168" fontId="5" fillId="2" borderId="2" xfId="1" applyNumberFormat="1" applyFont="1" applyFill="1" applyBorder="1" applyAlignment="1">
      <alignment horizontal="center" vertical="center"/>
    </xf>
    <xf numFmtId="168" fontId="2" fillId="2" borderId="2" xfId="1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168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164" fontId="5" fillId="3" borderId="2" xfId="1" applyFont="1" applyFill="1" applyBorder="1" applyAlignment="1">
      <alignment horizontal="right" vertical="center"/>
    </xf>
    <xf numFmtId="168" fontId="2" fillId="3" borderId="2" xfId="1" applyNumberFormat="1" applyFont="1" applyFill="1" applyBorder="1" applyAlignment="1">
      <alignment horizontal="right" vertical="center"/>
    </xf>
    <xf numFmtId="164" fontId="2" fillId="3" borderId="2" xfId="1" applyFont="1" applyFill="1" applyBorder="1" applyAlignment="1">
      <alignment horizontal="right" vertical="center"/>
    </xf>
    <xf numFmtId="168" fontId="5" fillId="3" borderId="2" xfId="1" applyNumberFormat="1" applyFont="1" applyFill="1" applyBorder="1" applyAlignment="1">
      <alignment vertical="center"/>
    </xf>
    <xf numFmtId="164" fontId="5" fillId="3" borderId="2" xfId="1" applyFont="1" applyFill="1" applyBorder="1" applyAlignment="1">
      <alignment vertical="center"/>
    </xf>
    <xf numFmtId="168" fontId="2" fillId="3" borderId="2" xfId="1" applyNumberFormat="1" applyFont="1" applyFill="1" applyBorder="1" applyAlignment="1">
      <alignment vertical="center"/>
    </xf>
    <xf numFmtId="164" fontId="2" fillId="3" borderId="2" xfId="1" applyFont="1" applyFill="1" applyBorder="1" applyAlignment="1">
      <alignment vertical="center"/>
    </xf>
    <xf numFmtId="168" fontId="14" fillId="3" borderId="2" xfId="1" applyNumberFormat="1" applyFont="1" applyFill="1" applyBorder="1" applyAlignment="1">
      <alignment horizontal="right" vertical="center"/>
    </xf>
    <xf numFmtId="164" fontId="14" fillId="3" borderId="2" xfId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vertical="center"/>
    </xf>
    <xf numFmtId="171" fontId="5" fillId="3" borderId="2" xfId="3" applyNumberFormat="1" applyFont="1" applyFill="1" applyBorder="1" applyAlignment="1">
      <alignment horizontal="center" vertical="center"/>
    </xf>
    <xf numFmtId="168" fontId="14" fillId="3" borderId="0" xfId="1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167" fontId="5" fillId="3" borderId="2" xfId="1" applyNumberFormat="1" applyFont="1" applyFill="1" applyBorder="1" applyAlignment="1">
      <alignment vertical="center"/>
    </xf>
    <xf numFmtId="167" fontId="2" fillId="3" borderId="2" xfId="1" applyNumberFormat="1" applyFont="1" applyFill="1" applyBorder="1" applyAlignment="1">
      <alignment vertical="center"/>
    </xf>
    <xf numFmtId="168" fontId="5" fillId="3" borderId="2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65" fontId="11" fillId="3" borderId="0" xfId="1" applyNumberFormat="1" applyFont="1" applyFill="1" applyAlignment="1">
      <alignment horizontal="left"/>
    </xf>
    <xf numFmtId="165" fontId="13" fillId="3" borderId="0" xfId="0" applyNumberFormat="1" applyFont="1" applyFill="1" applyAlignment="1">
      <alignment horizontal="center"/>
    </xf>
    <xf numFmtId="0" fontId="13" fillId="3" borderId="0" xfId="0" applyFont="1" applyFill="1" applyAlignment="1"/>
    <xf numFmtId="165" fontId="2" fillId="3" borderId="0" xfId="0" applyNumberFormat="1" applyFont="1" applyFill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/>
    </xf>
    <xf numFmtId="2" fontId="19" fillId="0" borderId="2" xfId="2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168" fontId="19" fillId="3" borderId="2" xfId="1" applyNumberFormat="1" applyFont="1" applyFill="1" applyBorder="1" applyAlignment="1">
      <alignment horizontal="right" vertical="center"/>
    </xf>
    <xf numFmtId="171" fontId="19" fillId="3" borderId="2" xfId="3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168" fontId="19" fillId="0" borderId="2" xfId="1" applyNumberFormat="1" applyFont="1" applyFill="1" applyBorder="1" applyAlignment="1">
      <alignment vertical="center"/>
    </xf>
    <xf numFmtId="168" fontId="19" fillId="0" borderId="2" xfId="1" applyNumberFormat="1" applyFont="1" applyFill="1" applyBorder="1" applyAlignment="1">
      <alignment horizontal="right" vertical="center"/>
    </xf>
    <xf numFmtId="164" fontId="19" fillId="0" borderId="2" xfId="1" applyFont="1" applyFill="1" applyBorder="1" applyAlignment="1">
      <alignment horizontal="right" vertical="center"/>
    </xf>
    <xf numFmtId="164" fontId="19" fillId="3" borderId="2" xfId="1" applyFont="1" applyFill="1" applyBorder="1" applyAlignment="1">
      <alignment horizontal="right" vertical="center"/>
    </xf>
    <xf numFmtId="164" fontId="19" fillId="0" borderId="2" xfId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8" fontId="19" fillId="3" borderId="2" xfId="1" applyNumberFormat="1" applyFont="1" applyFill="1" applyBorder="1" applyAlignment="1">
      <alignment vertical="center"/>
    </xf>
    <xf numFmtId="164" fontId="19" fillId="3" borderId="2" xfId="1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164" fontId="19" fillId="3" borderId="2" xfId="1" applyNumberFormat="1" applyFont="1" applyFill="1" applyBorder="1" applyAlignment="1">
      <alignment horizontal="right" vertical="center"/>
    </xf>
    <xf numFmtId="2" fontId="21" fillId="0" borderId="2" xfId="2" applyNumberFormat="1" applyFont="1" applyFill="1" applyBorder="1" applyAlignment="1">
      <alignment horizontal="left" vertical="center" wrapText="1"/>
    </xf>
    <xf numFmtId="164" fontId="19" fillId="3" borderId="2" xfId="1" applyNumberFormat="1" applyFont="1" applyFill="1" applyBorder="1" applyAlignment="1">
      <alignment vertical="center"/>
    </xf>
    <xf numFmtId="168" fontId="19" fillId="0" borderId="2" xfId="0" applyNumberFormat="1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165" fontId="19" fillId="3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165" fontId="19" fillId="3" borderId="0" xfId="0" applyNumberFormat="1" applyFont="1" applyFill="1" applyAlignment="1">
      <alignment horizontal="center" vertical="center"/>
    </xf>
    <xf numFmtId="166" fontId="16" fillId="0" borderId="2" xfId="1" applyNumberFormat="1" applyFont="1" applyFill="1" applyBorder="1" applyAlignment="1">
      <alignment horizontal="left" vertical="center" wrapText="1"/>
    </xf>
    <xf numFmtId="169" fontId="14" fillId="0" borderId="2" xfId="0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166" fontId="19" fillId="0" borderId="2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left" vertical="center" wrapText="1"/>
    </xf>
    <xf numFmtId="164" fontId="14" fillId="0" borderId="2" xfId="1" applyFont="1" applyFill="1" applyBorder="1" applyAlignment="1">
      <alignment vertical="center" wrapText="1"/>
    </xf>
    <xf numFmtId="0" fontId="14" fillId="0" borderId="0" xfId="0" applyFont="1" applyFill="1" applyAlignment="1"/>
    <xf numFmtId="166" fontId="14" fillId="0" borderId="1" xfId="1" applyNumberFormat="1" applyFont="1" applyFill="1" applyBorder="1" applyAlignment="1">
      <alignment vertical="center" wrapText="1"/>
    </xf>
    <xf numFmtId="166" fontId="14" fillId="0" borderId="4" xfId="1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vertical="center"/>
    </xf>
    <xf numFmtId="169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1" applyFont="1" applyFill="1" applyBorder="1" applyAlignment="1">
      <alignment vertical="center" wrapText="1"/>
    </xf>
    <xf numFmtId="166" fontId="16" fillId="0" borderId="1" xfId="1" applyNumberFormat="1" applyFont="1" applyFill="1" applyBorder="1" applyAlignment="1">
      <alignment horizontal="left" vertical="center" wrapText="1"/>
    </xf>
    <xf numFmtId="166" fontId="16" fillId="0" borderId="5" xfId="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68" fontId="14" fillId="0" borderId="1" xfId="1" applyNumberFormat="1" applyFont="1" applyFill="1" applyBorder="1" applyAlignment="1">
      <alignment vertical="center" wrapText="1"/>
    </xf>
    <xf numFmtId="0" fontId="0" fillId="0" borderId="5" xfId="0" applyBorder="1"/>
    <xf numFmtId="0" fontId="0" fillId="0" borderId="4" xfId="0" applyBorder="1"/>
    <xf numFmtId="166" fontId="14" fillId="0" borderId="1" xfId="1" applyNumberFormat="1" applyFont="1" applyFill="1" applyBorder="1" applyAlignment="1">
      <alignment horizontal="left" vertical="center" wrapText="1"/>
    </xf>
    <xf numFmtId="166" fontId="14" fillId="0" borderId="5" xfId="1" applyNumberFormat="1" applyFont="1" applyFill="1" applyBorder="1" applyAlignment="1">
      <alignment horizontal="left" vertical="center" wrapText="1"/>
    </xf>
    <xf numFmtId="166" fontId="14" fillId="0" borderId="4" xfId="1" applyNumberFormat="1" applyFont="1" applyFill="1" applyBorder="1" applyAlignment="1">
      <alignment horizontal="left" vertical="center" wrapText="1"/>
    </xf>
    <xf numFmtId="166" fontId="16" fillId="0" borderId="4" xfId="1" applyNumberFormat="1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left" vertical="center" wrapText="1"/>
    </xf>
    <xf numFmtId="168" fontId="14" fillId="0" borderId="5" xfId="0" applyNumberFormat="1" applyFont="1" applyFill="1" applyBorder="1" applyAlignment="1">
      <alignment horizontal="left" vertical="center" wrapText="1"/>
    </xf>
    <xf numFmtId="168" fontId="14" fillId="0" borderId="4" xfId="0" applyNumberFormat="1" applyFont="1" applyFill="1" applyBorder="1" applyAlignment="1">
      <alignment horizontal="left" vertical="center" wrapText="1"/>
    </xf>
    <xf numFmtId="166" fontId="16" fillId="0" borderId="1" xfId="1" applyNumberFormat="1" applyFont="1" applyFill="1" applyBorder="1" applyAlignment="1">
      <alignment horizontal="left" vertical="center"/>
    </xf>
    <xf numFmtId="166" fontId="16" fillId="0" borderId="5" xfId="1" applyNumberFormat="1" applyFont="1" applyFill="1" applyBorder="1" applyAlignment="1">
      <alignment horizontal="left" vertical="center"/>
    </xf>
    <xf numFmtId="166" fontId="16" fillId="0" borderId="4" xfId="1" applyNumberFormat="1" applyFont="1" applyFill="1" applyBorder="1" applyAlignment="1">
      <alignment horizontal="left" vertical="center"/>
    </xf>
    <xf numFmtId="166" fontId="14" fillId="0" borderId="6" xfId="1" applyNumberFormat="1" applyFont="1" applyFill="1" applyBorder="1" applyAlignment="1">
      <alignment horizontal="left" vertical="center" wrapText="1"/>
    </xf>
    <xf numFmtId="166" fontId="14" fillId="0" borderId="0" xfId="1" applyNumberFormat="1" applyFont="1" applyFill="1" applyBorder="1" applyAlignment="1">
      <alignment horizontal="left" vertical="center" wrapText="1"/>
    </xf>
    <xf numFmtId="166" fontId="14" fillId="0" borderId="7" xfId="1" applyNumberFormat="1" applyFont="1" applyFill="1" applyBorder="1" applyAlignment="1">
      <alignment horizontal="left" vertical="center" wrapText="1"/>
    </xf>
    <xf numFmtId="164" fontId="14" fillId="0" borderId="1" xfId="1" applyFont="1" applyFill="1" applyBorder="1" applyAlignment="1">
      <alignment horizontal="left" vertical="center"/>
    </xf>
    <xf numFmtId="164" fontId="14" fillId="0" borderId="5" xfId="1" applyFont="1" applyFill="1" applyBorder="1" applyAlignment="1">
      <alignment horizontal="left" vertical="center"/>
    </xf>
    <xf numFmtId="164" fontId="14" fillId="0" borderId="4" xfId="1" applyFont="1" applyFill="1" applyBorder="1" applyAlignment="1">
      <alignment horizontal="left" vertical="center"/>
    </xf>
  </cellXfs>
  <cellStyles count="4">
    <cellStyle name="Обычный" xfId="0" builtinId="0"/>
    <cellStyle name="Обычный_Лист1" xfId="2"/>
    <cellStyle name="Процентный" xfId="3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topLeftCell="A2" zoomScale="70" zoomScaleSheetLayoutView="70" workbookViewId="0">
      <pane xSplit="2" ySplit="5" topLeftCell="C108" activePane="bottomRight" state="frozen"/>
      <selection activeCell="A2" sqref="A2"/>
      <selection pane="topRight" activeCell="C2" sqref="C2"/>
      <selection pane="bottomLeft" activeCell="A7" sqref="A7"/>
      <selection pane="bottomRight" activeCell="F118" sqref="F118:F120"/>
    </sheetView>
  </sheetViews>
  <sheetFormatPr defaultRowHeight="15.75"/>
  <cols>
    <col min="1" max="1" width="11.140625" style="1" customWidth="1"/>
    <col min="2" max="2" width="51.28515625" style="16" customWidth="1"/>
    <col min="3" max="3" width="11" style="25" customWidth="1"/>
    <col min="4" max="4" width="17.7109375" style="3" customWidth="1"/>
    <col min="5" max="5" width="18.140625" style="78" hidden="1" customWidth="1"/>
    <col min="6" max="8" width="16.85546875" style="3" customWidth="1"/>
    <col min="9" max="9" width="17.140625" style="78" hidden="1" customWidth="1"/>
    <col min="10" max="10" width="15.140625" style="111" hidden="1" customWidth="1"/>
    <col min="11" max="11" width="83.28515625" style="40" customWidth="1"/>
    <col min="12" max="254" width="9.140625" style="3"/>
    <col min="255" max="255" width="7.28515625" style="3" customWidth="1"/>
    <col min="256" max="256" width="51.5703125" style="3" customWidth="1"/>
    <col min="257" max="257" width="14" style="3" customWidth="1"/>
    <col min="258" max="258" width="18.85546875" style="3" customWidth="1"/>
    <col min="259" max="259" width="20.42578125" style="3" customWidth="1"/>
    <col min="260" max="261" width="0" style="3" hidden="1" customWidth="1"/>
    <col min="262" max="262" width="18.7109375" style="3" customWidth="1"/>
    <col min="263" max="263" width="30.140625" style="3" customWidth="1"/>
    <col min="264" max="264" width="0" style="3" hidden="1" customWidth="1"/>
    <col min="265" max="510" width="9.140625" style="3"/>
    <col min="511" max="511" width="7.28515625" style="3" customWidth="1"/>
    <col min="512" max="512" width="51.5703125" style="3" customWidth="1"/>
    <col min="513" max="513" width="14" style="3" customWidth="1"/>
    <col min="514" max="514" width="18.85546875" style="3" customWidth="1"/>
    <col min="515" max="515" width="20.42578125" style="3" customWidth="1"/>
    <col min="516" max="517" width="0" style="3" hidden="1" customWidth="1"/>
    <col min="518" max="518" width="18.7109375" style="3" customWidth="1"/>
    <col min="519" max="519" width="30.140625" style="3" customWidth="1"/>
    <col min="520" max="520" width="0" style="3" hidden="1" customWidth="1"/>
    <col min="521" max="766" width="9.140625" style="3"/>
    <col min="767" max="767" width="7.28515625" style="3" customWidth="1"/>
    <col min="768" max="768" width="51.5703125" style="3" customWidth="1"/>
    <col min="769" max="769" width="14" style="3" customWidth="1"/>
    <col min="770" max="770" width="18.85546875" style="3" customWidth="1"/>
    <col min="771" max="771" width="20.42578125" style="3" customWidth="1"/>
    <col min="772" max="773" width="0" style="3" hidden="1" customWidth="1"/>
    <col min="774" max="774" width="18.7109375" style="3" customWidth="1"/>
    <col min="775" max="775" width="30.140625" style="3" customWidth="1"/>
    <col min="776" max="776" width="0" style="3" hidden="1" customWidth="1"/>
    <col min="777" max="1022" width="9.140625" style="3"/>
    <col min="1023" max="1023" width="7.28515625" style="3" customWidth="1"/>
    <col min="1024" max="1024" width="51.5703125" style="3" customWidth="1"/>
    <col min="1025" max="1025" width="14" style="3" customWidth="1"/>
    <col min="1026" max="1026" width="18.85546875" style="3" customWidth="1"/>
    <col min="1027" max="1027" width="20.42578125" style="3" customWidth="1"/>
    <col min="1028" max="1029" width="0" style="3" hidden="1" customWidth="1"/>
    <col min="1030" max="1030" width="18.7109375" style="3" customWidth="1"/>
    <col min="1031" max="1031" width="30.140625" style="3" customWidth="1"/>
    <col min="1032" max="1032" width="0" style="3" hidden="1" customWidth="1"/>
    <col min="1033" max="1278" width="9.140625" style="3"/>
    <col min="1279" max="1279" width="7.28515625" style="3" customWidth="1"/>
    <col min="1280" max="1280" width="51.5703125" style="3" customWidth="1"/>
    <col min="1281" max="1281" width="14" style="3" customWidth="1"/>
    <col min="1282" max="1282" width="18.85546875" style="3" customWidth="1"/>
    <col min="1283" max="1283" width="20.42578125" style="3" customWidth="1"/>
    <col min="1284" max="1285" width="0" style="3" hidden="1" customWidth="1"/>
    <col min="1286" max="1286" width="18.7109375" style="3" customWidth="1"/>
    <col min="1287" max="1287" width="30.140625" style="3" customWidth="1"/>
    <col min="1288" max="1288" width="0" style="3" hidden="1" customWidth="1"/>
    <col min="1289" max="1534" width="9.140625" style="3"/>
    <col min="1535" max="1535" width="7.28515625" style="3" customWidth="1"/>
    <col min="1536" max="1536" width="51.5703125" style="3" customWidth="1"/>
    <col min="1537" max="1537" width="14" style="3" customWidth="1"/>
    <col min="1538" max="1538" width="18.85546875" style="3" customWidth="1"/>
    <col min="1539" max="1539" width="20.42578125" style="3" customWidth="1"/>
    <col min="1540" max="1541" width="0" style="3" hidden="1" customWidth="1"/>
    <col min="1542" max="1542" width="18.7109375" style="3" customWidth="1"/>
    <col min="1543" max="1543" width="30.140625" style="3" customWidth="1"/>
    <col min="1544" max="1544" width="0" style="3" hidden="1" customWidth="1"/>
    <col min="1545" max="1790" width="9.140625" style="3"/>
    <col min="1791" max="1791" width="7.28515625" style="3" customWidth="1"/>
    <col min="1792" max="1792" width="51.5703125" style="3" customWidth="1"/>
    <col min="1793" max="1793" width="14" style="3" customWidth="1"/>
    <col min="1794" max="1794" width="18.85546875" style="3" customWidth="1"/>
    <col min="1795" max="1795" width="20.42578125" style="3" customWidth="1"/>
    <col min="1796" max="1797" width="0" style="3" hidden="1" customWidth="1"/>
    <col min="1798" max="1798" width="18.7109375" style="3" customWidth="1"/>
    <col min="1799" max="1799" width="30.140625" style="3" customWidth="1"/>
    <col min="1800" max="1800" width="0" style="3" hidden="1" customWidth="1"/>
    <col min="1801" max="2046" width="9.140625" style="3"/>
    <col min="2047" max="2047" width="7.28515625" style="3" customWidth="1"/>
    <col min="2048" max="2048" width="51.5703125" style="3" customWidth="1"/>
    <col min="2049" max="2049" width="14" style="3" customWidth="1"/>
    <col min="2050" max="2050" width="18.85546875" style="3" customWidth="1"/>
    <col min="2051" max="2051" width="20.42578125" style="3" customWidth="1"/>
    <col min="2052" max="2053" width="0" style="3" hidden="1" customWidth="1"/>
    <col min="2054" max="2054" width="18.7109375" style="3" customWidth="1"/>
    <col min="2055" max="2055" width="30.140625" style="3" customWidth="1"/>
    <col min="2056" max="2056" width="0" style="3" hidden="1" customWidth="1"/>
    <col min="2057" max="2302" width="9.140625" style="3"/>
    <col min="2303" max="2303" width="7.28515625" style="3" customWidth="1"/>
    <col min="2304" max="2304" width="51.5703125" style="3" customWidth="1"/>
    <col min="2305" max="2305" width="14" style="3" customWidth="1"/>
    <col min="2306" max="2306" width="18.85546875" style="3" customWidth="1"/>
    <col min="2307" max="2307" width="20.42578125" style="3" customWidth="1"/>
    <col min="2308" max="2309" width="0" style="3" hidden="1" customWidth="1"/>
    <col min="2310" max="2310" width="18.7109375" style="3" customWidth="1"/>
    <col min="2311" max="2311" width="30.140625" style="3" customWidth="1"/>
    <col min="2312" max="2312" width="0" style="3" hidden="1" customWidth="1"/>
    <col min="2313" max="2558" width="9.140625" style="3"/>
    <col min="2559" max="2559" width="7.28515625" style="3" customWidth="1"/>
    <col min="2560" max="2560" width="51.5703125" style="3" customWidth="1"/>
    <col min="2561" max="2561" width="14" style="3" customWidth="1"/>
    <col min="2562" max="2562" width="18.85546875" style="3" customWidth="1"/>
    <col min="2563" max="2563" width="20.42578125" style="3" customWidth="1"/>
    <col min="2564" max="2565" width="0" style="3" hidden="1" customWidth="1"/>
    <col min="2566" max="2566" width="18.7109375" style="3" customWidth="1"/>
    <col min="2567" max="2567" width="30.140625" style="3" customWidth="1"/>
    <col min="2568" max="2568" width="0" style="3" hidden="1" customWidth="1"/>
    <col min="2569" max="2814" width="9.140625" style="3"/>
    <col min="2815" max="2815" width="7.28515625" style="3" customWidth="1"/>
    <col min="2816" max="2816" width="51.5703125" style="3" customWidth="1"/>
    <col min="2817" max="2817" width="14" style="3" customWidth="1"/>
    <col min="2818" max="2818" width="18.85546875" style="3" customWidth="1"/>
    <col min="2819" max="2819" width="20.42578125" style="3" customWidth="1"/>
    <col min="2820" max="2821" width="0" style="3" hidden="1" customWidth="1"/>
    <col min="2822" max="2822" width="18.7109375" style="3" customWidth="1"/>
    <col min="2823" max="2823" width="30.140625" style="3" customWidth="1"/>
    <col min="2824" max="2824" width="0" style="3" hidden="1" customWidth="1"/>
    <col min="2825" max="3070" width="9.140625" style="3"/>
    <col min="3071" max="3071" width="7.28515625" style="3" customWidth="1"/>
    <col min="3072" max="3072" width="51.5703125" style="3" customWidth="1"/>
    <col min="3073" max="3073" width="14" style="3" customWidth="1"/>
    <col min="3074" max="3074" width="18.85546875" style="3" customWidth="1"/>
    <col min="3075" max="3075" width="20.42578125" style="3" customWidth="1"/>
    <col min="3076" max="3077" width="0" style="3" hidden="1" customWidth="1"/>
    <col min="3078" max="3078" width="18.7109375" style="3" customWidth="1"/>
    <col min="3079" max="3079" width="30.140625" style="3" customWidth="1"/>
    <col min="3080" max="3080" width="0" style="3" hidden="1" customWidth="1"/>
    <col min="3081" max="3326" width="9.140625" style="3"/>
    <col min="3327" max="3327" width="7.28515625" style="3" customWidth="1"/>
    <col min="3328" max="3328" width="51.5703125" style="3" customWidth="1"/>
    <col min="3329" max="3329" width="14" style="3" customWidth="1"/>
    <col min="3330" max="3330" width="18.85546875" style="3" customWidth="1"/>
    <col min="3331" max="3331" width="20.42578125" style="3" customWidth="1"/>
    <col min="3332" max="3333" width="0" style="3" hidden="1" customWidth="1"/>
    <col min="3334" max="3334" width="18.7109375" style="3" customWidth="1"/>
    <col min="3335" max="3335" width="30.140625" style="3" customWidth="1"/>
    <col min="3336" max="3336" width="0" style="3" hidden="1" customWidth="1"/>
    <col min="3337" max="3582" width="9.140625" style="3"/>
    <col min="3583" max="3583" width="7.28515625" style="3" customWidth="1"/>
    <col min="3584" max="3584" width="51.5703125" style="3" customWidth="1"/>
    <col min="3585" max="3585" width="14" style="3" customWidth="1"/>
    <col min="3586" max="3586" width="18.85546875" style="3" customWidth="1"/>
    <col min="3587" max="3587" width="20.42578125" style="3" customWidth="1"/>
    <col min="3588" max="3589" width="0" style="3" hidden="1" customWidth="1"/>
    <col min="3590" max="3590" width="18.7109375" style="3" customWidth="1"/>
    <col min="3591" max="3591" width="30.140625" style="3" customWidth="1"/>
    <col min="3592" max="3592" width="0" style="3" hidden="1" customWidth="1"/>
    <col min="3593" max="3838" width="9.140625" style="3"/>
    <col min="3839" max="3839" width="7.28515625" style="3" customWidth="1"/>
    <col min="3840" max="3840" width="51.5703125" style="3" customWidth="1"/>
    <col min="3841" max="3841" width="14" style="3" customWidth="1"/>
    <col min="3842" max="3842" width="18.85546875" style="3" customWidth="1"/>
    <col min="3843" max="3843" width="20.42578125" style="3" customWidth="1"/>
    <col min="3844" max="3845" width="0" style="3" hidden="1" customWidth="1"/>
    <col min="3846" max="3846" width="18.7109375" style="3" customWidth="1"/>
    <col min="3847" max="3847" width="30.140625" style="3" customWidth="1"/>
    <col min="3848" max="3848" width="0" style="3" hidden="1" customWidth="1"/>
    <col min="3849" max="4094" width="9.140625" style="3"/>
    <col min="4095" max="4095" width="7.28515625" style="3" customWidth="1"/>
    <col min="4096" max="4096" width="51.5703125" style="3" customWidth="1"/>
    <col min="4097" max="4097" width="14" style="3" customWidth="1"/>
    <col min="4098" max="4098" width="18.85546875" style="3" customWidth="1"/>
    <col min="4099" max="4099" width="20.42578125" style="3" customWidth="1"/>
    <col min="4100" max="4101" width="0" style="3" hidden="1" customWidth="1"/>
    <col min="4102" max="4102" width="18.7109375" style="3" customWidth="1"/>
    <col min="4103" max="4103" width="30.140625" style="3" customWidth="1"/>
    <col min="4104" max="4104" width="0" style="3" hidden="1" customWidth="1"/>
    <col min="4105" max="4350" width="9.140625" style="3"/>
    <col min="4351" max="4351" width="7.28515625" style="3" customWidth="1"/>
    <col min="4352" max="4352" width="51.5703125" style="3" customWidth="1"/>
    <col min="4353" max="4353" width="14" style="3" customWidth="1"/>
    <col min="4354" max="4354" width="18.85546875" style="3" customWidth="1"/>
    <col min="4355" max="4355" width="20.42578125" style="3" customWidth="1"/>
    <col min="4356" max="4357" width="0" style="3" hidden="1" customWidth="1"/>
    <col min="4358" max="4358" width="18.7109375" style="3" customWidth="1"/>
    <col min="4359" max="4359" width="30.140625" style="3" customWidth="1"/>
    <col min="4360" max="4360" width="0" style="3" hidden="1" customWidth="1"/>
    <col min="4361" max="4606" width="9.140625" style="3"/>
    <col min="4607" max="4607" width="7.28515625" style="3" customWidth="1"/>
    <col min="4608" max="4608" width="51.5703125" style="3" customWidth="1"/>
    <col min="4609" max="4609" width="14" style="3" customWidth="1"/>
    <col min="4610" max="4610" width="18.85546875" style="3" customWidth="1"/>
    <col min="4611" max="4611" width="20.42578125" style="3" customWidth="1"/>
    <col min="4612" max="4613" width="0" style="3" hidden="1" customWidth="1"/>
    <col min="4614" max="4614" width="18.7109375" style="3" customWidth="1"/>
    <col min="4615" max="4615" width="30.140625" style="3" customWidth="1"/>
    <col min="4616" max="4616" width="0" style="3" hidden="1" customWidth="1"/>
    <col min="4617" max="4862" width="9.140625" style="3"/>
    <col min="4863" max="4863" width="7.28515625" style="3" customWidth="1"/>
    <col min="4864" max="4864" width="51.5703125" style="3" customWidth="1"/>
    <col min="4865" max="4865" width="14" style="3" customWidth="1"/>
    <col min="4866" max="4866" width="18.85546875" style="3" customWidth="1"/>
    <col min="4867" max="4867" width="20.42578125" style="3" customWidth="1"/>
    <col min="4868" max="4869" width="0" style="3" hidden="1" customWidth="1"/>
    <col min="4870" max="4870" width="18.7109375" style="3" customWidth="1"/>
    <col min="4871" max="4871" width="30.140625" style="3" customWidth="1"/>
    <col min="4872" max="4872" width="0" style="3" hidden="1" customWidth="1"/>
    <col min="4873" max="5118" width="9.140625" style="3"/>
    <col min="5119" max="5119" width="7.28515625" style="3" customWidth="1"/>
    <col min="5120" max="5120" width="51.5703125" style="3" customWidth="1"/>
    <col min="5121" max="5121" width="14" style="3" customWidth="1"/>
    <col min="5122" max="5122" width="18.85546875" style="3" customWidth="1"/>
    <col min="5123" max="5123" width="20.42578125" style="3" customWidth="1"/>
    <col min="5124" max="5125" width="0" style="3" hidden="1" customWidth="1"/>
    <col min="5126" max="5126" width="18.7109375" style="3" customWidth="1"/>
    <col min="5127" max="5127" width="30.140625" style="3" customWidth="1"/>
    <col min="5128" max="5128" width="0" style="3" hidden="1" customWidth="1"/>
    <col min="5129" max="5374" width="9.140625" style="3"/>
    <col min="5375" max="5375" width="7.28515625" style="3" customWidth="1"/>
    <col min="5376" max="5376" width="51.5703125" style="3" customWidth="1"/>
    <col min="5377" max="5377" width="14" style="3" customWidth="1"/>
    <col min="5378" max="5378" width="18.85546875" style="3" customWidth="1"/>
    <col min="5379" max="5379" width="20.42578125" style="3" customWidth="1"/>
    <col min="5380" max="5381" width="0" style="3" hidden="1" customWidth="1"/>
    <col min="5382" max="5382" width="18.7109375" style="3" customWidth="1"/>
    <col min="5383" max="5383" width="30.140625" style="3" customWidth="1"/>
    <col min="5384" max="5384" width="0" style="3" hidden="1" customWidth="1"/>
    <col min="5385" max="5630" width="9.140625" style="3"/>
    <col min="5631" max="5631" width="7.28515625" style="3" customWidth="1"/>
    <col min="5632" max="5632" width="51.5703125" style="3" customWidth="1"/>
    <col min="5633" max="5633" width="14" style="3" customWidth="1"/>
    <col min="5634" max="5634" width="18.85546875" style="3" customWidth="1"/>
    <col min="5635" max="5635" width="20.42578125" style="3" customWidth="1"/>
    <col min="5636" max="5637" width="0" style="3" hidden="1" customWidth="1"/>
    <col min="5638" max="5638" width="18.7109375" style="3" customWidth="1"/>
    <col min="5639" max="5639" width="30.140625" style="3" customWidth="1"/>
    <col min="5640" max="5640" width="0" style="3" hidden="1" customWidth="1"/>
    <col min="5641" max="5886" width="9.140625" style="3"/>
    <col min="5887" max="5887" width="7.28515625" style="3" customWidth="1"/>
    <col min="5888" max="5888" width="51.5703125" style="3" customWidth="1"/>
    <col min="5889" max="5889" width="14" style="3" customWidth="1"/>
    <col min="5890" max="5890" width="18.85546875" style="3" customWidth="1"/>
    <col min="5891" max="5891" width="20.42578125" style="3" customWidth="1"/>
    <col min="5892" max="5893" width="0" style="3" hidden="1" customWidth="1"/>
    <col min="5894" max="5894" width="18.7109375" style="3" customWidth="1"/>
    <col min="5895" max="5895" width="30.140625" style="3" customWidth="1"/>
    <col min="5896" max="5896" width="0" style="3" hidden="1" customWidth="1"/>
    <col min="5897" max="6142" width="9.140625" style="3"/>
    <col min="6143" max="6143" width="7.28515625" style="3" customWidth="1"/>
    <col min="6144" max="6144" width="51.5703125" style="3" customWidth="1"/>
    <col min="6145" max="6145" width="14" style="3" customWidth="1"/>
    <col min="6146" max="6146" width="18.85546875" style="3" customWidth="1"/>
    <col min="6147" max="6147" width="20.42578125" style="3" customWidth="1"/>
    <col min="6148" max="6149" width="0" style="3" hidden="1" customWidth="1"/>
    <col min="6150" max="6150" width="18.7109375" style="3" customWidth="1"/>
    <col min="6151" max="6151" width="30.140625" style="3" customWidth="1"/>
    <col min="6152" max="6152" width="0" style="3" hidden="1" customWidth="1"/>
    <col min="6153" max="6398" width="9.140625" style="3"/>
    <col min="6399" max="6399" width="7.28515625" style="3" customWidth="1"/>
    <col min="6400" max="6400" width="51.5703125" style="3" customWidth="1"/>
    <col min="6401" max="6401" width="14" style="3" customWidth="1"/>
    <col min="6402" max="6402" width="18.85546875" style="3" customWidth="1"/>
    <col min="6403" max="6403" width="20.42578125" style="3" customWidth="1"/>
    <col min="6404" max="6405" width="0" style="3" hidden="1" customWidth="1"/>
    <col min="6406" max="6406" width="18.7109375" style="3" customWidth="1"/>
    <col min="6407" max="6407" width="30.140625" style="3" customWidth="1"/>
    <col min="6408" max="6408" width="0" style="3" hidden="1" customWidth="1"/>
    <col min="6409" max="6654" width="9.140625" style="3"/>
    <col min="6655" max="6655" width="7.28515625" style="3" customWidth="1"/>
    <col min="6656" max="6656" width="51.5703125" style="3" customWidth="1"/>
    <col min="6657" max="6657" width="14" style="3" customWidth="1"/>
    <col min="6658" max="6658" width="18.85546875" style="3" customWidth="1"/>
    <col min="6659" max="6659" width="20.42578125" style="3" customWidth="1"/>
    <col min="6660" max="6661" width="0" style="3" hidden="1" customWidth="1"/>
    <col min="6662" max="6662" width="18.7109375" style="3" customWidth="1"/>
    <col min="6663" max="6663" width="30.140625" style="3" customWidth="1"/>
    <col min="6664" max="6664" width="0" style="3" hidden="1" customWidth="1"/>
    <col min="6665" max="6910" width="9.140625" style="3"/>
    <col min="6911" max="6911" width="7.28515625" style="3" customWidth="1"/>
    <col min="6912" max="6912" width="51.5703125" style="3" customWidth="1"/>
    <col min="6913" max="6913" width="14" style="3" customWidth="1"/>
    <col min="6914" max="6914" width="18.85546875" style="3" customWidth="1"/>
    <col min="6915" max="6915" width="20.42578125" style="3" customWidth="1"/>
    <col min="6916" max="6917" width="0" style="3" hidden="1" customWidth="1"/>
    <col min="6918" max="6918" width="18.7109375" style="3" customWidth="1"/>
    <col min="6919" max="6919" width="30.140625" style="3" customWidth="1"/>
    <col min="6920" max="6920" width="0" style="3" hidden="1" customWidth="1"/>
    <col min="6921" max="7166" width="9.140625" style="3"/>
    <col min="7167" max="7167" width="7.28515625" style="3" customWidth="1"/>
    <col min="7168" max="7168" width="51.5703125" style="3" customWidth="1"/>
    <col min="7169" max="7169" width="14" style="3" customWidth="1"/>
    <col min="7170" max="7170" width="18.85546875" style="3" customWidth="1"/>
    <col min="7171" max="7171" width="20.42578125" style="3" customWidth="1"/>
    <col min="7172" max="7173" width="0" style="3" hidden="1" customWidth="1"/>
    <col min="7174" max="7174" width="18.7109375" style="3" customWidth="1"/>
    <col min="7175" max="7175" width="30.140625" style="3" customWidth="1"/>
    <col min="7176" max="7176" width="0" style="3" hidden="1" customWidth="1"/>
    <col min="7177" max="7422" width="9.140625" style="3"/>
    <col min="7423" max="7423" width="7.28515625" style="3" customWidth="1"/>
    <col min="7424" max="7424" width="51.5703125" style="3" customWidth="1"/>
    <col min="7425" max="7425" width="14" style="3" customWidth="1"/>
    <col min="7426" max="7426" width="18.85546875" style="3" customWidth="1"/>
    <col min="7427" max="7427" width="20.42578125" style="3" customWidth="1"/>
    <col min="7428" max="7429" width="0" style="3" hidden="1" customWidth="1"/>
    <col min="7430" max="7430" width="18.7109375" style="3" customWidth="1"/>
    <col min="7431" max="7431" width="30.140625" style="3" customWidth="1"/>
    <col min="7432" max="7432" width="0" style="3" hidden="1" customWidth="1"/>
    <col min="7433" max="7678" width="9.140625" style="3"/>
    <col min="7679" max="7679" width="7.28515625" style="3" customWidth="1"/>
    <col min="7680" max="7680" width="51.5703125" style="3" customWidth="1"/>
    <col min="7681" max="7681" width="14" style="3" customWidth="1"/>
    <col min="7682" max="7682" width="18.85546875" style="3" customWidth="1"/>
    <col min="7683" max="7683" width="20.42578125" style="3" customWidth="1"/>
    <col min="7684" max="7685" width="0" style="3" hidden="1" customWidth="1"/>
    <col min="7686" max="7686" width="18.7109375" style="3" customWidth="1"/>
    <col min="7687" max="7687" width="30.140625" style="3" customWidth="1"/>
    <col min="7688" max="7688" width="0" style="3" hidden="1" customWidth="1"/>
    <col min="7689" max="7934" width="9.140625" style="3"/>
    <col min="7935" max="7935" width="7.28515625" style="3" customWidth="1"/>
    <col min="7936" max="7936" width="51.5703125" style="3" customWidth="1"/>
    <col min="7937" max="7937" width="14" style="3" customWidth="1"/>
    <col min="7938" max="7938" width="18.85546875" style="3" customWidth="1"/>
    <col min="7939" max="7939" width="20.42578125" style="3" customWidth="1"/>
    <col min="7940" max="7941" width="0" style="3" hidden="1" customWidth="1"/>
    <col min="7942" max="7942" width="18.7109375" style="3" customWidth="1"/>
    <col min="7943" max="7943" width="30.140625" style="3" customWidth="1"/>
    <col min="7944" max="7944" width="0" style="3" hidden="1" customWidth="1"/>
    <col min="7945" max="8190" width="9.140625" style="3"/>
    <col min="8191" max="8191" width="7.28515625" style="3" customWidth="1"/>
    <col min="8192" max="8192" width="51.5703125" style="3" customWidth="1"/>
    <col min="8193" max="8193" width="14" style="3" customWidth="1"/>
    <col min="8194" max="8194" width="18.85546875" style="3" customWidth="1"/>
    <col min="8195" max="8195" width="20.42578125" style="3" customWidth="1"/>
    <col min="8196" max="8197" width="0" style="3" hidden="1" customWidth="1"/>
    <col min="8198" max="8198" width="18.7109375" style="3" customWidth="1"/>
    <col min="8199" max="8199" width="30.140625" style="3" customWidth="1"/>
    <col min="8200" max="8200" width="0" style="3" hidden="1" customWidth="1"/>
    <col min="8201" max="8446" width="9.140625" style="3"/>
    <col min="8447" max="8447" width="7.28515625" style="3" customWidth="1"/>
    <col min="8448" max="8448" width="51.5703125" style="3" customWidth="1"/>
    <col min="8449" max="8449" width="14" style="3" customWidth="1"/>
    <col min="8450" max="8450" width="18.85546875" style="3" customWidth="1"/>
    <col min="8451" max="8451" width="20.42578125" style="3" customWidth="1"/>
    <col min="8452" max="8453" width="0" style="3" hidden="1" customWidth="1"/>
    <col min="8454" max="8454" width="18.7109375" style="3" customWidth="1"/>
    <col min="8455" max="8455" width="30.140625" style="3" customWidth="1"/>
    <col min="8456" max="8456" width="0" style="3" hidden="1" customWidth="1"/>
    <col min="8457" max="8702" width="9.140625" style="3"/>
    <col min="8703" max="8703" width="7.28515625" style="3" customWidth="1"/>
    <col min="8704" max="8704" width="51.5703125" style="3" customWidth="1"/>
    <col min="8705" max="8705" width="14" style="3" customWidth="1"/>
    <col min="8706" max="8706" width="18.85546875" style="3" customWidth="1"/>
    <col min="8707" max="8707" width="20.42578125" style="3" customWidth="1"/>
    <col min="8708" max="8709" width="0" style="3" hidden="1" customWidth="1"/>
    <col min="8710" max="8710" width="18.7109375" style="3" customWidth="1"/>
    <col min="8711" max="8711" width="30.140625" style="3" customWidth="1"/>
    <col min="8712" max="8712" width="0" style="3" hidden="1" customWidth="1"/>
    <col min="8713" max="8958" width="9.140625" style="3"/>
    <col min="8959" max="8959" width="7.28515625" style="3" customWidth="1"/>
    <col min="8960" max="8960" width="51.5703125" style="3" customWidth="1"/>
    <col min="8961" max="8961" width="14" style="3" customWidth="1"/>
    <col min="8962" max="8962" width="18.85546875" style="3" customWidth="1"/>
    <col min="8963" max="8963" width="20.42578125" style="3" customWidth="1"/>
    <col min="8964" max="8965" width="0" style="3" hidden="1" customWidth="1"/>
    <col min="8966" max="8966" width="18.7109375" style="3" customWidth="1"/>
    <col min="8967" max="8967" width="30.140625" style="3" customWidth="1"/>
    <col min="8968" max="8968" width="0" style="3" hidden="1" customWidth="1"/>
    <col min="8969" max="9214" width="9.140625" style="3"/>
    <col min="9215" max="9215" width="7.28515625" style="3" customWidth="1"/>
    <col min="9216" max="9216" width="51.5703125" style="3" customWidth="1"/>
    <col min="9217" max="9217" width="14" style="3" customWidth="1"/>
    <col min="9218" max="9218" width="18.85546875" style="3" customWidth="1"/>
    <col min="9219" max="9219" width="20.42578125" style="3" customWidth="1"/>
    <col min="9220" max="9221" width="0" style="3" hidden="1" customWidth="1"/>
    <col min="9222" max="9222" width="18.7109375" style="3" customWidth="1"/>
    <col min="9223" max="9223" width="30.140625" style="3" customWidth="1"/>
    <col min="9224" max="9224" width="0" style="3" hidden="1" customWidth="1"/>
    <col min="9225" max="9470" width="9.140625" style="3"/>
    <col min="9471" max="9471" width="7.28515625" style="3" customWidth="1"/>
    <col min="9472" max="9472" width="51.5703125" style="3" customWidth="1"/>
    <col min="9473" max="9473" width="14" style="3" customWidth="1"/>
    <col min="9474" max="9474" width="18.85546875" style="3" customWidth="1"/>
    <col min="9475" max="9475" width="20.42578125" style="3" customWidth="1"/>
    <col min="9476" max="9477" width="0" style="3" hidden="1" customWidth="1"/>
    <col min="9478" max="9478" width="18.7109375" style="3" customWidth="1"/>
    <col min="9479" max="9479" width="30.140625" style="3" customWidth="1"/>
    <col min="9480" max="9480" width="0" style="3" hidden="1" customWidth="1"/>
    <col min="9481" max="9726" width="9.140625" style="3"/>
    <col min="9727" max="9727" width="7.28515625" style="3" customWidth="1"/>
    <col min="9728" max="9728" width="51.5703125" style="3" customWidth="1"/>
    <col min="9729" max="9729" width="14" style="3" customWidth="1"/>
    <col min="9730" max="9730" width="18.85546875" style="3" customWidth="1"/>
    <col min="9731" max="9731" width="20.42578125" style="3" customWidth="1"/>
    <col min="9732" max="9733" width="0" style="3" hidden="1" customWidth="1"/>
    <col min="9734" max="9734" width="18.7109375" style="3" customWidth="1"/>
    <col min="9735" max="9735" width="30.140625" style="3" customWidth="1"/>
    <col min="9736" max="9736" width="0" style="3" hidden="1" customWidth="1"/>
    <col min="9737" max="9982" width="9.140625" style="3"/>
    <col min="9983" max="9983" width="7.28515625" style="3" customWidth="1"/>
    <col min="9984" max="9984" width="51.5703125" style="3" customWidth="1"/>
    <col min="9985" max="9985" width="14" style="3" customWidth="1"/>
    <col min="9986" max="9986" width="18.85546875" style="3" customWidth="1"/>
    <col min="9987" max="9987" width="20.42578125" style="3" customWidth="1"/>
    <col min="9988" max="9989" width="0" style="3" hidden="1" customWidth="1"/>
    <col min="9990" max="9990" width="18.7109375" style="3" customWidth="1"/>
    <col min="9991" max="9991" width="30.140625" style="3" customWidth="1"/>
    <col min="9992" max="9992" width="0" style="3" hidden="1" customWidth="1"/>
    <col min="9993" max="10238" width="9.140625" style="3"/>
    <col min="10239" max="10239" width="7.28515625" style="3" customWidth="1"/>
    <col min="10240" max="10240" width="51.5703125" style="3" customWidth="1"/>
    <col min="10241" max="10241" width="14" style="3" customWidth="1"/>
    <col min="10242" max="10242" width="18.85546875" style="3" customWidth="1"/>
    <col min="10243" max="10243" width="20.42578125" style="3" customWidth="1"/>
    <col min="10244" max="10245" width="0" style="3" hidden="1" customWidth="1"/>
    <col min="10246" max="10246" width="18.7109375" style="3" customWidth="1"/>
    <col min="10247" max="10247" width="30.140625" style="3" customWidth="1"/>
    <col min="10248" max="10248" width="0" style="3" hidden="1" customWidth="1"/>
    <col min="10249" max="10494" width="9.140625" style="3"/>
    <col min="10495" max="10495" width="7.28515625" style="3" customWidth="1"/>
    <col min="10496" max="10496" width="51.5703125" style="3" customWidth="1"/>
    <col min="10497" max="10497" width="14" style="3" customWidth="1"/>
    <col min="10498" max="10498" width="18.85546875" style="3" customWidth="1"/>
    <col min="10499" max="10499" width="20.42578125" style="3" customWidth="1"/>
    <col min="10500" max="10501" width="0" style="3" hidden="1" customWidth="1"/>
    <col min="10502" max="10502" width="18.7109375" style="3" customWidth="1"/>
    <col min="10503" max="10503" width="30.140625" style="3" customWidth="1"/>
    <col min="10504" max="10504" width="0" style="3" hidden="1" customWidth="1"/>
    <col min="10505" max="10750" width="9.140625" style="3"/>
    <col min="10751" max="10751" width="7.28515625" style="3" customWidth="1"/>
    <col min="10752" max="10752" width="51.5703125" style="3" customWidth="1"/>
    <col min="10753" max="10753" width="14" style="3" customWidth="1"/>
    <col min="10754" max="10754" width="18.85546875" style="3" customWidth="1"/>
    <col min="10755" max="10755" width="20.42578125" style="3" customWidth="1"/>
    <col min="10756" max="10757" width="0" style="3" hidden="1" customWidth="1"/>
    <col min="10758" max="10758" width="18.7109375" style="3" customWidth="1"/>
    <col min="10759" max="10759" width="30.140625" style="3" customWidth="1"/>
    <col min="10760" max="10760" width="0" style="3" hidden="1" customWidth="1"/>
    <col min="10761" max="11006" width="9.140625" style="3"/>
    <col min="11007" max="11007" width="7.28515625" style="3" customWidth="1"/>
    <col min="11008" max="11008" width="51.5703125" style="3" customWidth="1"/>
    <col min="11009" max="11009" width="14" style="3" customWidth="1"/>
    <col min="11010" max="11010" width="18.85546875" style="3" customWidth="1"/>
    <col min="11011" max="11011" width="20.42578125" style="3" customWidth="1"/>
    <col min="11012" max="11013" width="0" style="3" hidden="1" customWidth="1"/>
    <col min="11014" max="11014" width="18.7109375" style="3" customWidth="1"/>
    <col min="11015" max="11015" width="30.140625" style="3" customWidth="1"/>
    <col min="11016" max="11016" width="0" style="3" hidden="1" customWidth="1"/>
    <col min="11017" max="11262" width="9.140625" style="3"/>
    <col min="11263" max="11263" width="7.28515625" style="3" customWidth="1"/>
    <col min="11264" max="11264" width="51.5703125" style="3" customWidth="1"/>
    <col min="11265" max="11265" width="14" style="3" customWidth="1"/>
    <col min="11266" max="11266" width="18.85546875" style="3" customWidth="1"/>
    <col min="11267" max="11267" width="20.42578125" style="3" customWidth="1"/>
    <col min="11268" max="11269" width="0" style="3" hidden="1" customWidth="1"/>
    <col min="11270" max="11270" width="18.7109375" style="3" customWidth="1"/>
    <col min="11271" max="11271" width="30.140625" style="3" customWidth="1"/>
    <col min="11272" max="11272" width="0" style="3" hidden="1" customWidth="1"/>
    <col min="11273" max="11518" width="9.140625" style="3"/>
    <col min="11519" max="11519" width="7.28515625" style="3" customWidth="1"/>
    <col min="11520" max="11520" width="51.5703125" style="3" customWidth="1"/>
    <col min="11521" max="11521" width="14" style="3" customWidth="1"/>
    <col min="11522" max="11522" width="18.85546875" style="3" customWidth="1"/>
    <col min="11523" max="11523" width="20.42578125" style="3" customWidth="1"/>
    <col min="11524" max="11525" width="0" style="3" hidden="1" customWidth="1"/>
    <col min="11526" max="11526" width="18.7109375" style="3" customWidth="1"/>
    <col min="11527" max="11527" width="30.140625" style="3" customWidth="1"/>
    <col min="11528" max="11528" width="0" style="3" hidden="1" customWidth="1"/>
    <col min="11529" max="11774" width="9.140625" style="3"/>
    <col min="11775" max="11775" width="7.28515625" style="3" customWidth="1"/>
    <col min="11776" max="11776" width="51.5703125" style="3" customWidth="1"/>
    <col min="11777" max="11777" width="14" style="3" customWidth="1"/>
    <col min="11778" max="11778" width="18.85546875" style="3" customWidth="1"/>
    <col min="11779" max="11779" width="20.42578125" style="3" customWidth="1"/>
    <col min="11780" max="11781" width="0" style="3" hidden="1" customWidth="1"/>
    <col min="11782" max="11782" width="18.7109375" style="3" customWidth="1"/>
    <col min="11783" max="11783" width="30.140625" style="3" customWidth="1"/>
    <col min="11784" max="11784" width="0" style="3" hidden="1" customWidth="1"/>
    <col min="11785" max="12030" width="9.140625" style="3"/>
    <col min="12031" max="12031" width="7.28515625" style="3" customWidth="1"/>
    <col min="12032" max="12032" width="51.5703125" style="3" customWidth="1"/>
    <col min="12033" max="12033" width="14" style="3" customWidth="1"/>
    <col min="12034" max="12034" width="18.85546875" style="3" customWidth="1"/>
    <col min="12035" max="12035" width="20.42578125" style="3" customWidth="1"/>
    <col min="12036" max="12037" width="0" style="3" hidden="1" customWidth="1"/>
    <col min="12038" max="12038" width="18.7109375" style="3" customWidth="1"/>
    <col min="12039" max="12039" width="30.140625" style="3" customWidth="1"/>
    <col min="12040" max="12040" width="0" style="3" hidden="1" customWidth="1"/>
    <col min="12041" max="12286" width="9.140625" style="3"/>
    <col min="12287" max="12287" width="7.28515625" style="3" customWidth="1"/>
    <col min="12288" max="12288" width="51.5703125" style="3" customWidth="1"/>
    <col min="12289" max="12289" width="14" style="3" customWidth="1"/>
    <col min="12290" max="12290" width="18.85546875" style="3" customWidth="1"/>
    <col min="12291" max="12291" width="20.42578125" style="3" customWidth="1"/>
    <col min="12292" max="12293" width="0" style="3" hidden="1" customWidth="1"/>
    <col min="12294" max="12294" width="18.7109375" style="3" customWidth="1"/>
    <col min="12295" max="12295" width="30.140625" style="3" customWidth="1"/>
    <col min="12296" max="12296" width="0" style="3" hidden="1" customWidth="1"/>
    <col min="12297" max="12542" width="9.140625" style="3"/>
    <col min="12543" max="12543" width="7.28515625" style="3" customWidth="1"/>
    <col min="12544" max="12544" width="51.5703125" style="3" customWidth="1"/>
    <col min="12545" max="12545" width="14" style="3" customWidth="1"/>
    <col min="12546" max="12546" width="18.85546875" style="3" customWidth="1"/>
    <col min="12547" max="12547" width="20.42578125" style="3" customWidth="1"/>
    <col min="12548" max="12549" width="0" style="3" hidden="1" customWidth="1"/>
    <col min="12550" max="12550" width="18.7109375" style="3" customWidth="1"/>
    <col min="12551" max="12551" width="30.140625" style="3" customWidth="1"/>
    <col min="12552" max="12552" width="0" style="3" hidden="1" customWidth="1"/>
    <col min="12553" max="12798" width="9.140625" style="3"/>
    <col min="12799" max="12799" width="7.28515625" style="3" customWidth="1"/>
    <col min="12800" max="12800" width="51.5703125" style="3" customWidth="1"/>
    <col min="12801" max="12801" width="14" style="3" customWidth="1"/>
    <col min="12802" max="12802" width="18.85546875" style="3" customWidth="1"/>
    <col min="12803" max="12803" width="20.42578125" style="3" customWidth="1"/>
    <col min="12804" max="12805" width="0" style="3" hidden="1" customWidth="1"/>
    <col min="12806" max="12806" width="18.7109375" style="3" customWidth="1"/>
    <col min="12807" max="12807" width="30.140625" style="3" customWidth="1"/>
    <col min="12808" max="12808" width="0" style="3" hidden="1" customWidth="1"/>
    <col min="12809" max="13054" width="9.140625" style="3"/>
    <col min="13055" max="13055" width="7.28515625" style="3" customWidth="1"/>
    <col min="13056" max="13056" width="51.5703125" style="3" customWidth="1"/>
    <col min="13057" max="13057" width="14" style="3" customWidth="1"/>
    <col min="13058" max="13058" width="18.85546875" style="3" customWidth="1"/>
    <col min="13059" max="13059" width="20.42578125" style="3" customWidth="1"/>
    <col min="13060" max="13061" width="0" style="3" hidden="1" customWidth="1"/>
    <col min="13062" max="13062" width="18.7109375" style="3" customWidth="1"/>
    <col min="13063" max="13063" width="30.140625" style="3" customWidth="1"/>
    <col min="13064" max="13064" width="0" style="3" hidden="1" customWidth="1"/>
    <col min="13065" max="13310" width="9.140625" style="3"/>
    <col min="13311" max="13311" width="7.28515625" style="3" customWidth="1"/>
    <col min="13312" max="13312" width="51.5703125" style="3" customWidth="1"/>
    <col min="13313" max="13313" width="14" style="3" customWidth="1"/>
    <col min="13314" max="13314" width="18.85546875" style="3" customWidth="1"/>
    <col min="13315" max="13315" width="20.42578125" style="3" customWidth="1"/>
    <col min="13316" max="13317" width="0" style="3" hidden="1" customWidth="1"/>
    <col min="13318" max="13318" width="18.7109375" style="3" customWidth="1"/>
    <col min="13319" max="13319" width="30.140625" style="3" customWidth="1"/>
    <col min="13320" max="13320" width="0" style="3" hidden="1" customWidth="1"/>
    <col min="13321" max="13566" width="9.140625" style="3"/>
    <col min="13567" max="13567" width="7.28515625" style="3" customWidth="1"/>
    <col min="13568" max="13568" width="51.5703125" style="3" customWidth="1"/>
    <col min="13569" max="13569" width="14" style="3" customWidth="1"/>
    <col min="13570" max="13570" width="18.85546875" style="3" customWidth="1"/>
    <col min="13571" max="13571" width="20.42578125" style="3" customWidth="1"/>
    <col min="13572" max="13573" width="0" style="3" hidden="1" customWidth="1"/>
    <col min="13574" max="13574" width="18.7109375" style="3" customWidth="1"/>
    <col min="13575" max="13575" width="30.140625" style="3" customWidth="1"/>
    <col min="13576" max="13576" width="0" style="3" hidden="1" customWidth="1"/>
    <col min="13577" max="13822" width="9.140625" style="3"/>
    <col min="13823" max="13823" width="7.28515625" style="3" customWidth="1"/>
    <col min="13824" max="13824" width="51.5703125" style="3" customWidth="1"/>
    <col min="13825" max="13825" width="14" style="3" customWidth="1"/>
    <col min="13826" max="13826" width="18.85546875" style="3" customWidth="1"/>
    <col min="13827" max="13827" width="20.42578125" style="3" customWidth="1"/>
    <col min="13828" max="13829" width="0" style="3" hidden="1" customWidth="1"/>
    <col min="13830" max="13830" width="18.7109375" style="3" customWidth="1"/>
    <col min="13831" max="13831" width="30.140625" style="3" customWidth="1"/>
    <col min="13832" max="13832" width="0" style="3" hidden="1" customWidth="1"/>
    <col min="13833" max="14078" width="9.140625" style="3"/>
    <col min="14079" max="14079" width="7.28515625" style="3" customWidth="1"/>
    <col min="14080" max="14080" width="51.5703125" style="3" customWidth="1"/>
    <col min="14081" max="14081" width="14" style="3" customWidth="1"/>
    <col min="14082" max="14082" width="18.85546875" style="3" customWidth="1"/>
    <col min="14083" max="14083" width="20.42578125" style="3" customWidth="1"/>
    <col min="14084" max="14085" width="0" style="3" hidden="1" customWidth="1"/>
    <col min="14086" max="14086" width="18.7109375" style="3" customWidth="1"/>
    <col min="14087" max="14087" width="30.140625" style="3" customWidth="1"/>
    <col min="14088" max="14088" width="0" style="3" hidden="1" customWidth="1"/>
    <col min="14089" max="14334" width="9.140625" style="3"/>
    <col min="14335" max="14335" width="7.28515625" style="3" customWidth="1"/>
    <col min="14336" max="14336" width="51.5703125" style="3" customWidth="1"/>
    <col min="14337" max="14337" width="14" style="3" customWidth="1"/>
    <col min="14338" max="14338" width="18.85546875" style="3" customWidth="1"/>
    <col min="14339" max="14339" width="20.42578125" style="3" customWidth="1"/>
    <col min="14340" max="14341" width="0" style="3" hidden="1" customWidth="1"/>
    <col min="14342" max="14342" width="18.7109375" style="3" customWidth="1"/>
    <col min="14343" max="14343" width="30.140625" style="3" customWidth="1"/>
    <col min="14344" max="14344" width="0" style="3" hidden="1" customWidth="1"/>
    <col min="14345" max="14590" width="9.140625" style="3"/>
    <col min="14591" max="14591" width="7.28515625" style="3" customWidth="1"/>
    <col min="14592" max="14592" width="51.5703125" style="3" customWidth="1"/>
    <col min="14593" max="14593" width="14" style="3" customWidth="1"/>
    <col min="14594" max="14594" width="18.85546875" style="3" customWidth="1"/>
    <col min="14595" max="14595" width="20.42578125" style="3" customWidth="1"/>
    <col min="14596" max="14597" width="0" style="3" hidden="1" customWidth="1"/>
    <col min="14598" max="14598" width="18.7109375" style="3" customWidth="1"/>
    <col min="14599" max="14599" width="30.140625" style="3" customWidth="1"/>
    <col min="14600" max="14600" width="0" style="3" hidden="1" customWidth="1"/>
    <col min="14601" max="14846" width="9.140625" style="3"/>
    <col min="14847" max="14847" width="7.28515625" style="3" customWidth="1"/>
    <col min="14848" max="14848" width="51.5703125" style="3" customWidth="1"/>
    <col min="14849" max="14849" width="14" style="3" customWidth="1"/>
    <col min="14850" max="14850" width="18.85546875" style="3" customWidth="1"/>
    <col min="14851" max="14851" width="20.42578125" style="3" customWidth="1"/>
    <col min="14852" max="14853" width="0" style="3" hidden="1" customWidth="1"/>
    <col min="14854" max="14854" width="18.7109375" style="3" customWidth="1"/>
    <col min="14855" max="14855" width="30.140625" style="3" customWidth="1"/>
    <col min="14856" max="14856" width="0" style="3" hidden="1" customWidth="1"/>
    <col min="14857" max="15102" width="9.140625" style="3"/>
    <col min="15103" max="15103" width="7.28515625" style="3" customWidth="1"/>
    <col min="15104" max="15104" width="51.5703125" style="3" customWidth="1"/>
    <col min="15105" max="15105" width="14" style="3" customWidth="1"/>
    <col min="15106" max="15106" width="18.85546875" style="3" customWidth="1"/>
    <col min="15107" max="15107" width="20.42578125" style="3" customWidth="1"/>
    <col min="15108" max="15109" width="0" style="3" hidden="1" customWidth="1"/>
    <col min="15110" max="15110" width="18.7109375" style="3" customWidth="1"/>
    <col min="15111" max="15111" width="30.140625" style="3" customWidth="1"/>
    <col min="15112" max="15112" width="0" style="3" hidden="1" customWidth="1"/>
    <col min="15113" max="15358" width="9.140625" style="3"/>
    <col min="15359" max="15359" width="7.28515625" style="3" customWidth="1"/>
    <col min="15360" max="15360" width="51.5703125" style="3" customWidth="1"/>
    <col min="15361" max="15361" width="14" style="3" customWidth="1"/>
    <col min="15362" max="15362" width="18.85546875" style="3" customWidth="1"/>
    <col min="15363" max="15363" width="20.42578125" style="3" customWidth="1"/>
    <col min="15364" max="15365" width="0" style="3" hidden="1" customWidth="1"/>
    <col min="15366" max="15366" width="18.7109375" style="3" customWidth="1"/>
    <col min="15367" max="15367" width="30.140625" style="3" customWidth="1"/>
    <col min="15368" max="15368" width="0" style="3" hidden="1" customWidth="1"/>
    <col min="15369" max="15614" width="9.140625" style="3"/>
    <col min="15615" max="15615" width="7.28515625" style="3" customWidth="1"/>
    <col min="15616" max="15616" width="51.5703125" style="3" customWidth="1"/>
    <col min="15617" max="15617" width="14" style="3" customWidth="1"/>
    <col min="15618" max="15618" width="18.85546875" style="3" customWidth="1"/>
    <col min="15619" max="15619" width="20.42578125" style="3" customWidth="1"/>
    <col min="15620" max="15621" width="0" style="3" hidden="1" customWidth="1"/>
    <col min="15622" max="15622" width="18.7109375" style="3" customWidth="1"/>
    <col min="15623" max="15623" width="30.140625" style="3" customWidth="1"/>
    <col min="15624" max="15624" width="0" style="3" hidden="1" customWidth="1"/>
    <col min="15625" max="15870" width="9.140625" style="3"/>
    <col min="15871" max="15871" width="7.28515625" style="3" customWidth="1"/>
    <col min="15872" max="15872" width="51.5703125" style="3" customWidth="1"/>
    <col min="15873" max="15873" width="14" style="3" customWidth="1"/>
    <col min="15874" max="15874" width="18.85546875" style="3" customWidth="1"/>
    <col min="15875" max="15875" width="20.42578125" style="3" customWidth="1"/>
    <col min="15876" max="15877" width="0" style="3" hidden="1" customWidth="1"/>
    <col min="15878" max="15878" width="18.7109375" style="3" customWidth="1"/>
    <col min="15879" max="15879" width="30.140625" style="3" customWidth="1"/>
    <col min="15880" max="15880" width="0" style="3" hidden="1" customWidth="1"/>
    <col min="15881" max="16126" width="9.140625" style="3"/>
    <col min="16127" max="16127" width="7.28515625" style="3" customWidth="1"/>
    <col min="16128" max="16128" width="51.5703125" style="3" customWidth="1"/>
    <col min="16129" max="16129" width="14" style="3" customWidth="1"/>
    <col min="16130" max="16130" width="18.85546875" style="3" customWidth="1"/>
    <col min="16131" max="16131" width="20.42578125" style="3" customWidth="1"/>
    <col min="16132" max="16133" width="0" style="3" hidden="1" customWidth="1"/>
    <col min="16134" max="16134" width="18.7109375" style="3" customWidth="1"/>
    <col min="16135" max="16135" width="30.140625" style="3" customWidth="1"/>
    <col min="16136" max="16136" width="0" style="3" hidden="1" customWidth="1"/>
    <col min="16137" max="16384" width="9.140625" style="3"/>
  </cols>
  <sheetData>
    <row r="1" spans="1:12" ht="53.25" hidden="1" customHeight="1">
      <c r="B1" s="2"/>
      <c r="C1" s="20"/>
      <c r="J1" s="159" t="s">
        <v>0</v>
      </c>
      <c r="K1" s="159"/>
    </row>
    <row r="2" spans="1:12" ht="53.25" customHeight="1">
      <c r="B2" s="2"/>
      <c r="C2" s="20"/>
      <c r="J2" s="48"/>
      <c r="K2" s="115" t="s">
        <v>204</v>
      </c>
    </row>
    <row r="3" spans="1:12" s="47" customFormat="1" ht="48.75" customHeight="1">
      <c r="A3" s="164" t="s">
        <v>97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2" s="47" customFormat="1" ht="41.25" customHeight="1">
      <c r="A4" s="164" t="s">
        <v>84</v>
      </c>
      <c r="B4" s="164"/>
      <c r="C4" s="164"/>
      <c r="D4" s="164"/>
      <c r="E4" s="164"/>
      <c r="F4" s="164"/>
      <c r="G4" s="164"/>
      <c r="H4" s="164"/>
      <c r="I4" s="164"/>
      <c r="J4" s="164"/>
      <c r="K4" s="145"/>
    </row>
    <row r="5" spans="1:12" s="47" customFormat="1" ht="41.25" customHeight="1">
      <c r="A5" s="165" t="s">
        <v>164</v>
      </c>
      <c r="B5" s="165"/>
      <c r="C5" s="165"/>
      <c r="D5" s="165"/>
      <c r="E5" s="165"/>
      <c r="F5" s="165"/>
      <c r="G5" s="165"/>
      <c r="H5" s="165"/>
      <c r="I5" s="165"/>
      <c r="J5" s="165"/>
      <c r="K5" s="146"/>
    </row>
    <row r="6" spans="1:12" s="76" customFormat="1" ht="81" customHeight="1">
      <c r="A6" s="73" t="s">
        <v>1</v>
      </c>
      <c r="B6" s="73" t="s">
        <v>2</v>
      </c>
      <c r="C6" s="74" t="s">
        <v>3</v>
      </c>
      <c r="D6" s="74" t="s">
        <v>161</v>
      </c>
      <c r="E6" s="112" t="s">
        <v>162</v>
      </c>
      <c r="F6" s="75" t="s">
        <v>163</v>
      </c>
      <c r="G6" s="75" t="s">
        <v>217</v>
      </c>
      <c r="H6" s="75" t="s">
        <v>216</v>
      </c>
      <c r="I6" s="79" t="s">
        <v>172</v>
      </c>
      <c r="J6" s="79" t="s">
        <v>5</v>
      </c>
      <c r="K6" s="147" t="s">
        <v>4</v>
      </c>
    </row>
    <row r="7" spans="1:12" s="59" customFormat="1" ht="41.25" customHeight="1">
      <c r="A7" s="54" t="s">
        <v>6</v>
      </c>
      <c r="B7" s="55" t="s">
        <v>7</v>
      </c>
      <c r="C7" s="56" t="s">
        <v>8</v>
      </c>
      <c r="D7" s="57">
        <f>D8+D14+D20+D21+D23</f>
        <v>143724</v>
      </c>
      <c r="E7" s="80">
        <f>E8+E14+E20+E21+E23</f>
        <v>120296.98800000001</v>
      </c>
      <c r="F7" s="57">
        <f>F8+F14+F20+F21+F23</f>
        <v>133630.34437000001</v>
      </c>
      <c r="G7" s="57">
        <f>G8+G14+G20+G21+G23</f>
        <v>-10093.655630000008</v>
      </c>
      <c r="H7" s="61">
        <f>G7/D7*100</f>
        <v>-7.0229437185160499</v>
      </c>
      <c r="I7" s="80">
        <f>I8+I14+I20+I21+I23</f>
        <v>13333.356369999996</v>
      </c>
      <c r="J7" s="81">
        <f>F7/E7*100</f>
        <v>111.08369926103221</v>
      </c>
      <c r="K7" s="166" t="s">
        <v>205</v>
      </c>
      <c r="L7" s="58"/>
    </row>
    <row r="8" spans="1:12" s="4" customFormat="1" ht="15.75" customHeight="1">
      <c r="A8" s="5" t="s">
        <v>9</v>
      </c>
      <c r="B8" s="6" t="s">
        <v>10</v>
      </c>
      <c r="C8" s="21" t="s">
        <v>8</v>
      </c>
      <c r="D8" s="27">
        <f>SUM(D9:D13)</f>
        <v>27169.300000000003</v>
      </c>
      <c r="E8" s="80">
        <f t="shared" ref="E8:F8" si="0">SUM(E9:E13)</f>
        <v>22740.704100000003</v>
      </c>
      <c r="F8" s="27">
        <f t="shared" si="0"/>
        <v>22584.92282</v>
      </c>
      <c r="G8" s="27">
        <f>F8-D8</f>
        <v>-4584.3771800000031</v>
      </c>
      <c r="H8" s="7">
        <f>G8/D8*100</f>
        <v>-16.873372446106462</v>
      </c>
      <c r="I8" s="80">
        <f>SUM(I9:I13)</f>
        <v>-155.78128000000061</v>
      </c>
      <c r="J8" s="82">
        <f>F8/E8*100</f>
        <v>99.314967208952851</v>
      </c>
      <c r="K8" s="167"/>
    </row>
    <row r="9" spans="1:12" ht="15.75" customHeight="1">
      <c r="A9" s="8" t="s">
        <v>11</v>
      </c>
      <c r="B9" s="9" t="s">
        <v>12</v>
      </c>
      <c r="C9" s="22" t="s">
        <v>8</v>
      </c>
      <c r="D9" s="18">
        <v>5629.6</v>
      </c>
      <c r="E9" s="83">
        <f t="shared" ref="E9:E75" si="1">D9*0.837</f>
        <v>4711.9751999999999</v>
      </c>
      <c r="F9" s="19">
        <v>4754.8757500000002</v>
      </c>
      <c r="G9" s="27">
        <f t="shared" ref="G9:G71" si="2">F9-D9</f>
        <v>-874.72425000000021</v>
      </c>
      <c r="H9" s="7">
        <f t="shared" ref="H9:H71" si="3">G9/D9*100</f>
        <v>-15.537946745772349</v>
      </c>
      <c r="I9" s="83">
        <f t="shared" ref="I9:I16" si="4">F9-E9</f>
        <v>42.900550000000294</v>
      </c>
      <c r="J9" s="84">
        <f>F9/E9*100</f>
        <v>100.91045789035562</v>
      </c>
      <c r="K9" s="167"/>
    </row>
    <row r="10" spans="1:12" ht="15.75" customHeight="1">
      <c r="A10" s="8" t="s">
        <v>13</v>
      </c>
      <c r="B10" s="9" t="s">
        <v>14</v>
      </c>
      <c r="C10" s="22" t="s">
        <v>8</v>
      </c>
      <c r="D10" s="18">
        <v>5916.8</v>
      </c>
      <c r="E10" s="83">
        <f t="shared" si="1"/>
        <v>4952.3616000000002</v>
      </c>
      <c r="F10" s="19">
        <v>5382</v>
      </c>
      <c r="G10" s="27">
        <f t="shared" si="2"/>
        <v>-534.80000000000018</v>
      </c>
      <c r="H10" s="7">
        <f t="shared" si="3"/>
        <v>-9.0386695511087112</v>
      </c>
      <c r="I10" s="83">
        <f t="shared" si="4"/>
        <v>429.63839999999982</v>
      </c>
      <c r="J10" s="84">
        <f>F10/E10*100</f>
        <v>108.67542467012102</v>
      </c>
      <c r="K10" s="167"/>
    </row>
    <row r="11" spans="1:12" ht="15.75" customHeight="1">
      <c r="A11" s="8" t="s">
        <v>15</v>
      </c>
      <c r="B11" s="9" t="s">
        <v>16</v>
      </c>
      <c r="C11" s="22" t="s">
        <v>8</v>
      </c>
      <c r="D11" s="18">
        <v>1590</v>
      </c>
      <c r="E11" s="83">
        <f t="shared" si="1"/>
        <v>1330.83</v>
      </c>
      <c r="F11" s="19">
        <v>1332.1489999999999</v>
      </c>
      <c r="G11" s="27">
        <f t="shared" si="2"/>
        <v>-257.85100000000011</v>
      </c>
      <c r="H11" s="7">
        <f t="shared" si="3"/>
        <v>-16.217044025157239</v>
      </c>
      <c r="I11" s="83">
        <f t="shared" si="4"/>
        <v>1.31899999999996</v>
      </c>
      <c r="J11" s="84">
        <f>F11/E11*100</f>
        <v>100.09911108105467</v>
      </c>
      <c r="K11" s="167"/>
    </row>
    <row r="12" spans="1:12" ht="15.75" hidden="1" customHeight="1">
      <c r="A12" s="8" t="s">
        <v>17</v>
      </c>
      <c r="B12" s="9" t="s">
        <v>151</v>
      </c>
      <c r="C12" s="22" t="s">
        <v>8</v>
      </c>
      <c r="D12" s="18"/>
      <c r="E12" s="83">
        <f t="shared" si="1"/>
        <v>0</v>
      </c>
      <c r="F12" s="19"/>
      <c r="G12" s="27">
        <f t="shared" si="2"/>
        <v>0</v>
      </c>
      <c r="H12" s="7" t="e">
        <f t="shared" si="3"/>
        <v>#DIV/0!</v>
      </c>
      <c r="I12" s="83">
        <f t="shared" si="4"/>
        <v>0</v>
      </c>
      <c r="J12" s="84"/>
      <c r="K12" s="167"/>
    </row>
    <row r="13" spans="1:12" s="4" customFormat="1" ht="15.75" customHeight="1">
      <c r="A13" s="5" t="s">
        <v>17</v>
      </c>
      <c r="B13" s="46" t="s">
        <v>18</v>
      </c>
      <c r="C13" s="21" t="s">
        <v>8</v>
      </c>
      <c r="D13" s="28">
        <v>14032.9</v>
      </c>
      <c r="E13" s="80">
        <f t="shared" si="1"/>
        <v>11745.5373</v>
      </c>
      <c r="F13" s="27">
        <v>11115.898069999999</v>
      </c>
      <c r="G13" s="27">
        <f t="shared" si="2"/>
        <v>-2917.0019300000004</v>
      </c>
      <c r="H13" s="7">
        <f t="shared" si="3"/>
        <v>-20.786878905999476</v>
      </c>
      <c r="I13" s="80">
        <f t="shared" si="4"/>
        <v>-629.63923000000068</v>
      </c>
      <c r="J13" s="82">
        <f>F13/E13*100</f>
        <v>94.639332250896686</v>
      </c>
      <c r="K13" s="167"/>
    </row>
    <row r="14" spans="1:12" s="4" customFormat="1" ht="15.75" customHeight="1">
      <c r="A14" s="5" t="s">
        <v>19</v>
      </c>
      <c r="B14" s="6" t="s">
        <v>20</v>
      </c>
      <c r="C14" s="21" t="s">
        <v>8</v>
      </c>
      <c r="D14" s="28">
        <f>D15+D16</f>
        <v>96646.200000000012</v>
      </c>
      <c r="E14" s="83">
        <f t="shared" si="1"/>
        <v>80892.869400000011</v>
      </c>
      <c r="F14" s="28">
        <f>F15+F16</f>
        <v>77463.884000000005</v>
      </c>
      <c r="G14" s="27">
        <f t="shared" si="2"/>
        <v>-19182.316000000006</v>
      </c>
      <c r="H14" s="7">
        <f t="shared" si="3"/>
        <v>-19.847977468332957</v>
      </c>
      <c r="I14" s="85">
        <f t="shared" si="4"/>
        <v>-3428.985400000005</v>
      </c>
      <c r="J14" s="86">
        <f>F14/E14*100</f>
        <v>95.761078293509016</v>
      </c>
      <c r="K14" s="167"/>
    </row>
    <row r="15" spans="1:12" ht="15.75" customHeight="1">
      <c r="A15" s="8" t="s">
        <v>21</v>
      </c>
      <c r="B15" s="9" t="s">
        <v>176</v>
      </c>
      <c r="C15" s="22" t="s">
        <v>8</v>
      </c>
      <c r="D15" s="18">
        <v>87940.1</v>
      </c>
      <c r="E15" s="83">
        <f t="shared" si="1"/>
        <v>73605.863700000002</v>
      </c>
      <c r="F15" s="19">
        <v>70392.027000000002</v>
      </c>
      <c r="G15" s="27">
        <f t="shared" si="2"/>
        <v>-17548.073000000004</v>
      </c>
      <c r="H15" s="7">
        <f t="shared" si="3"/>
        <v>-19.954574761684377</v>
      </c>
      <c r="I15" s="87">
        <f t="shared" si="4"/>
        <v>-3213.8366999999998</v>
      </c>
      <c r="J15" s="88">
        <f t="shared" ref="J15:J16" si="5">F15/E15*100</f>
        <v>95.633721909576622</v>
      </c>
      <c r="K15" s="167"/>
    </row>
    <row r="16" spans="1:12" ht="15.75" customHeight="1">
      <c r="A16" s="8" t="s">
        <v>22</v>
      </c>
      <c r="B16" s="9" t="s">
        <v>96</v>
      </c>
      <c r="C16" s="22" t="s">
        <v>8</v>
      </c>
      <c r="D16" s="18">
        <v>8706.1</v>
      </c>
      <c r="E16" s="83">
        <f t="shared" si="1"/>
        <v>7287.0056999999997</v>
      </c>
      <c r="F16" s="19">
        <f>SUM(F17:F19)</f>
        <v>7071.8570000000009</v>
      </c>
      <c r="G16" s="27">
        <f t="shared" si="2"/>
        <v>-1634.2429999999995</v>
      </c>
      <c r="H16" s="7"/>
      <c r="I16" s="87">
        <f t="shared" si="4"/>
        <v>-215.14869999999883</v>
      </c>
      <c r="J16" s="88">
        <f t="shared" si="5"/>
        <v>97.047501966411261</v>
      </c>
      <c r="K16" s="167"/>
    </row>
    <row r="17" spans="1:11" s="40" customFormat="1" ht="15.75" customHeight="1">
      <c r="A17" s="34" t="s">
        <v>92</v>
      </c>
      <c r="B17" s="49" t="s">
        <v>23</v>
      </c>
      <c r="C17" s="36" t="s">
        <v>8</v>
      </c>
      <c r="D17" s="42"/>
      <c r="E17" s="83">
        <f t="shared" si="1"/>
        <v>0</v>
      </c>
      <c r="F17" s="37">
        <v>3969.174</v>
      </c>
      <c r="G17" s="27">
        <f t="shared" si="2"/>
        <v>3969.174</v>
      </c>
      <c r="H17" s="7"/>
      <c r="I17" s="87"/>
      <c r="J17" s="88"/>
      <c r="K17" s="167"/>
    </row>
    <row r="18" spans="1:11" s="40" customFormat="1" ht="15.75" customHeight="1">
      <c r="A18" s="34" t="s">
        <v>93</v>
      </c>
      <c r="B18" s="49" t="s">
        <v>95</v>
      </c>
      <c r="C18" s="36" t="s">
        <v>8</v>
      </c>
      <c r="D18" s="42"/>
      <c r="E18" s="83">
        <f t="shared" si="1"/>
        <v>0</v>
      </c>
      <c r="F18" s="37">
        <v>2101.6060000000002</v>
      </c>
      <c r="G18" s="27">
        <f t="shared" si="2"/>
        <v>2101.6060000000002</v>
      </c>
      <c r="H18" s="7"/>
      <c r="I18" s="89"/>
      <c r="J18" s="90"/>
      <c r="K18" s="167"/>
    </row>
    <row r="19" spans="1:11" s="40" customFormat="1" ht="15.75" customHeight="1">
      <c r="A19" s="34" t="s">
        <v>94</v>
      </c>
      <c r="B19" s="49" t="s">
        <v>24</v>
      </c>
      <c r="C19" s="36" t="s">
        <v>8</v>
      </c>
      <c r="D19" s="42"/>
      <c r="E19" s="83">
        <f t="shared" si="1"/>
        <v>0</v>
      </c>
      <c r="F19" s="37">
        <v>1001.077</v>
      </c>
      <c r="G19" s="27">
        <f t="shared" si="2"/>
        <v>1001.077</v>
      </c>
      <c r="H19" s="7"/>
      <c r="I19" s="89"/>
      <c r="J19" s="90"/>
      <c r="K19" s="168"/>
    </row>
    <row r="20" spans="1:11" s="4" customFormat="1" ht="48.75" customHeight="1">
      <c r="A20" s="5" t="s">
        <v>25</v>
      </c>
      <c r="B20" s="6" t="s">
        <v>26</v>
      </c>
      <c r="C20" s="21" t="s">
        <v>8</v>
      </c>
      <c r="D20" s="28">
        <v>16413.099999999999</v>
      </c>
      <c r="E20" s="80">
        <f t="shared" si="1"/>
        <v>13737.764699999998</v>
      </c>
      <c r="F20" s="28">
        <v>29632.921109999999</v>
      </c>
      <c r="G20" s="27">
        <f t="shared" si="2"/>
        <v>13219.821110000001</v>
      </c>
      <c r="H20" s="7">
        <f t="shared" si="3"/>
        <v>80.544328067214607</v>
      </c>
      <c r="I20" s="80">
        <f t="shared" ref="I20:I36" si="6">F20-E20</f>
        <v>15895.156410000001</v>
      </c>
      <c r="J20" s="82">
        <f>F20/E20*100</f>
        <v>215.70409565975464</v>
      </c>
      <c r="K20" s="148" t="s">
        <v>212</v>
      </c>
    </row>
    <row r="21" spans="1:11" s="4" customFormat="1" ht="15.75" hidden="1" customHeight="1">
      <c r="A21" s="5" t="s">
        <v>27</v>
      </c>
      <c r="B21" s="6" t="s">
        <v>28</v>
      </c>
      <c r="C21" s="21" t="s">
        <v>8</v>
      </c>
      <c r="D21" s="28">
        <f t="shared" ref="D21:E21" si="7">SUM(D22)</f>
        <v>0</v>
      </c>
      <c r="E21" s="85">
        <f t="shared" si="7"/>
        <v>0</v>
      </c>
      <c r="F21" s="28">
        <f t="shared" ref="F21" si="8">SUM(F22)</f>
        <v>0</v>
      </c>
      <c r="G21" s="27">
        <f t="shared" si="2"/>
        <v>0</v>
      </c>
      <c r="H21" s="7"/>
      <c r="I21" s="85">
        <f t="shared" si="6"/>
        <v>0</v>
      </c>
      <c r="J21" s="86"/>
      <c r="K21" s="126"/>
    </row>
    <row r="22" spans="1:11" s="4" customFormat="1" ht="30" hidden="1" customHeight="1">
      <c r="A22" s="5" t="s">
        <v>29</v>
      </c>
      <c r="B22" s="6" t="s">
        <v>30</v>
      </c>
      <c r="C22" s="21" t="s">
        <v>8</v>
      </c>
      <c r="D22" s="28"/>
      <c r="E22" s="80">
        <f t="shared" si="1"/>
        <v>0</v>
      </c>
      <c r="F22" s="27"/>
      <c r="G22" s="27">
        <f t="shared" si="2"/>
        <v>0</v>
      </c>
      <c r="H22" s="7" t="e">
        <f t="shared" si="3"/>
        <v>#DIV/0!</v>
      </c>
      <c r="I22" s="80">
        <f t="shared" si="6"/>
        <v>0</v>
      </c>
      <c r="J22" s="82" t="e">
        <f>F22/E22*100</f>
        <v>#DIV/0!</v>
      </c>
      <c r="K22" s="126"/>
    </row>
    <row r="23" spans="1:11" s="4" customFormat="1" ht="15.75" customHeight="1">
      <c r="A23" s="5" t="s">
        <v>27</v>
      </c>
      <c r="B23" s="6" t="s">
        <v>32</v>
      </c>
      <c r="C23" s="21" t="s">
        <v>8</v>
      </c>
      <c r="D23" s="27">
        <f>D24+D29+D31+D30+D34+D52+D36+D51+D45+D55+D56+D57+D58+D59+D63</f>
        <v>3495.4</v>
      </c>
      <c r="E23" s="80">
        <f t="shared" si="1"/>
        <v>2925.6498000000001</v>
      </c>
      <c r="F23" s="27">
        <f>F24+F29+F31+F30+F34+F52+F36+F51+F45+F55+F56+F57+F58+F59+F63</f>
        <v>3948.6164400000007</v>
      </c>
      <c r="G23" s="27">
        <f t="shared" si="2"/>
        <v>453.2164400000006</v>
      </c>
      <c r="H23" s="7">
        <f t="shared" si="3"/>
        <v>12.966082279567448</v>
      </c>
      <c r="I23" s="80">
        <f t="shared" si="6"/>
        <v>1022.9666400000006</v>
      </c>
      <c r="J23" s="82">
        <f>F23/E23*100</f>
        <v>134.96545075217139</v>
      </c>
      <c r="K23" s="124"/>
    </row>
    <row r="24" spans="1:11" s="127" customFormat="1" ht="45.75" customHeight="1">
      <c r="A24" s="116" t="s">
        <v>29</v>
      </c>
      <c r="B24" s="130" t="s">
        <v>34</v>
      </c>
      <c r="C24" s="121" t="s">
        <v>8</v>
      </c>
      <c r="D24" s="122">
        <v>178.1</v>
      </c>
      <c r="E24" s="117">
        <f t="shared" si="1"/>
        <v>149.06969999999998</v>
      </c>
      <c r="F24" s="123">
        <v>332.49853999999999</v>
      </c>
      <c r="G24" s="123">
        <f t="shared" si="2"/>
        <v>154.39854</v>
      </c>
      <c r="H24" s="124">
        <f t="shared" si="3"/>
        <v>86.692049410443573</v>
      </c>
      <c r="I24" s="117">
        <f t="shared" si="6"/>
        <v>183.42884000000001</v>
      </c>
      <c r="J24" s="131">
        <f>F24/E24*100</f>
        <v>223.04904350112733</v>
      </c>
      <c r="K24" s="148" t="s">
        <v>211</v>
      </c>
    </row>
    <row r="25" spans="1:11" s="40" customFormat="1" ht="15.75" hidden="1" customHeight="1">
      <c r="A25" s="34" t="s">
        <v>148</v>
      </c>
      <c r="B25" s="35" t="s">
        <v>145</v>
      </c>
      <c r="C25" s="36" t="s">
        <v>8</v>
      </c>
      <c r="D25" s="37"/>
      <c r="E25" s="89">
        <f t="shared" si="1"/>
        <v>0</v>
      </c>
      <c r="F25" s="37">
        <f>51.741</f>
        <v>51.741</v>
      </c>
      <c r="G25" s="123">
        <f t="shared" si="2"/>
        <v>51.741</v>
      </c>
      <c r="H25" s="124" t="e">
        <f t="shared" si="3"/>
        <v>#DIV/0!</v>
      </c>
      <c r="I25" s="89">
        <f t="shared" si="6"/>
        <v>51.741</v>
      </c>
      <c r="J25" s="90"/>
      <c r="K25" s="39"/>
    </row>
    <row r="26" spans="1:11" s="40" customFormat="1" ht="15.75" hidden="1" customHeight="1">
      <c r="A26" s="34" t="s">
        <v>149</v>
      </c>
      <c r="B26" s="35" t="s">
        <v>146</v>
      </c>
      <c r="C26" s="36" t="s">
        <v>8</v>
      </c>
      <c r="D26" s="37"/>
      <c r="E26" s="89">
        <f t="shared" si="1"/>
        <v>0</v>
      </c>
      <c r="F26" s="37">
        <f>180</f>
        <v>180</v>
      </c>
      <c r="G26" s="123">
        <f t="shared" si="2"/>
        <v>180</v>
      </c>
      <c r="H26" s="124" t="e">
        <f t="shared" si="3"/>
        <v>#DIV/0!</v>
      </c>
      <c r="I26" s="89">
        <f t="shared" si="6"/>
        <v>180</v>
      </c>
      <c r="J26" s="90"/>
      <c r="K26" s="39"/>
    </row>
    <row r="27" spans="1:11" s="40" customFormat="1" ht="15.75" hidden="1" customHeight="1">
      <c r="A27" s="34" t="s">
        <v>150</v>
      </c>
      <c r="B27" s="35" t="s">
        <v>147</v>
      </c>
      <c r="C27" s="36" t="s">
        <v>8</v>
      </c>
      <c r="D27" s="37"/>
      <c r="E27" s="89">
        <f t="shared" si="1"/>
        <v>0</v>
      </c>
      <c r="F27" s="37"/>
      <c r="G27" s="123">
        <f t="shared" si="2"/>
        <v>0</v>
      </c>
      <c r="H27" s="124" t="e">
        <f t="shared" si="3"/>
        <v>#DIV/0!</v>
      </c>
      <c r="I27" s="89">
        <f t="shared" si="6"/>
        <v>0</v>
      </c>
      <c r="J27" s="90"/>
      <c r="K27" s="39"/>
    </row>
    <row r="28" spans="1:11" s="40" customFormat="1" ht="15.75" hidden="1" customHeight="1">
      <c r="A28" s="34" t="s">
        <v>152</v>
      </c>
      <c r="B28" s="35" t="s">
        <v>153</v>
      </c>
      <c r="C28" s="36" t="s">
        <v>8</v>
      </c>
      <c r="D28" s="37"/>
      <c r="E28" s="89">
        <f t="shared" si="1"/>
        <v>0</v>
      </c>
      <c r="F28" s="37">
        <f>4.45-0.00044</f>
        <v>4.44956</v>
      </c>
      <c r="G28" s="123">
        <f t="shared" si="2"/>
        <v>4.44956</v>
      </c>
      <c r="H28" s="124" t="e">
        <f t="shared" si="3"/>
        <v>#DIV/0!</v>
      </c>
      <c r="I28" s="89">
        <f t="shared" si="6"/>
        <v>4.44956</v>
      </c>
      <c r="J28" s="90"/>
      <c r="K28" s="39"/>
    </row>
    <row r="29" spans="1:11" s="40" customFormat="1" ht="33" hidden="1" customHeight="1">
      <c r="A29" s="34" t="s">
        <v>35</v>
      </c>
      <c r="B29" s="35" t="s">
        <v>36</v>
      </c>
      <c r="C29" s="36" t="s">
        <v>8</v>
      </c>
      <c r="D29" s="42"/>
      <c r="E29" s="89">
        <f t="shared" si="1"/>
        <v>0</v>
      </c>
      <c r="F29" s="37"/>
      <c r="G29" s="123">
        <f t="shared" si="2"/>
        <v>0</v>
      </c>
      <c r="H29" s="124" t="e">
        <f t="shared" si="3"/>
        <v>#DIV/0!</v>
      </c>
      <c r="I29" s="89">
        <f t="shared" si="6"/>
        <v>0</v>
      </c>
      <c r="J29" s="90" t="e">
        <f>F29/E29*100</f>
        <v>#DIV/0!</v>
      </c>
      <c r="K29" s="39"/>
    </row>
    <row r="30" spans="1:11" s="127" customFormat="1" ht="15.75" customHeight="1">
      <c r="A30" s="116" t="s">
        <v>177</v>
      </c>
      <c r="B30" s="130" t="s">
        <v>39</v>
      </c>
      <c r="C30" s="121" t="s">
        <v>8</v>
      </c>
      <c r="D30" s="122">
        <v>400.8</v>
      </c>
      <c r="E30" s="117">
        <f>D30*0.837</f>
        <v>335.46960000000001</v>
      </c>
      <c r="F30" s="123">
        <v>344.25</v>
      </c>
      <c r="G30" s="123">
        <f>F30-D30</f>
        <v>-56.550000000000011</v>
      </c>
      <c r="H30" s="124">
        <f>G30/D30*100</f>
        <v>-14.10928143712575</v>
      </c>
      <c r="I30" s="117">
        <f t="shared" si="6"/>
        <v>8.780399999999986</v>
      </c>
      <c r="J30" s="125">
        <f>F30/E30*100</f>
        <v>102.61734595325478</v>
      </c>
      <c r="K30" s="169" t="s">
        <v>206</v>
      </c>
    </row>
    <row r="31" spans="1:11" s="127" customFormat="1" ht="15.75" customHeight="1">
      <c r="A31" s="116" t="s">
        <v>178</v>
      </c>
      <c r="B31" s="132" t="s">
        <v>98</v>
      </c>
      <c r="C31" s="121" t="s">
        <v>8</v>
      </c>
      <c r="D31" s="122">
        <v>450.9</v>
      </c>
      <c r="E31" s="117">
        <f t="shared" si="1"/>
        <v>377.40329999999994</v>
      </c>
      <c r="F31" s="123">
        <v>375.56</v>
      </c>
      <c r="G31" s="123">
        <f t="shared" si="2"/>
        <v>-75.339999999999975</v>
      </c>
      <c r="H31" s="124">
        <f t="shared" si="3"/>
        <v>-16.708804612996225</v>
      </c>
      <c r="I31" s="117">
        <f t="shared" si="6"/>
        <v>-1.8432999999999424</v>
      </c>
      <c r="J31" s="125">
        <f>F31/E31*100</f>
        <v>99.511583497017668</v>
      </c>
      <c r="K31" s="170"/>
    </row>
    <row r="32" spans="1:11" s="40" customFormat="1" ht="15.75" hidden="1" customHeight="1">
      <c r="A32" s="34" t="s">
        <v>102</v>
      </c>
      <c r="B32" s="50" t="s">
        <v>99</v>
      </c>
      <c r="C32" s="36" t="s">
        <v>8</v>
      </c>
      <c r="D32" s="42"/>
      <c r="E32" s="89">
        <f t="shared" si="1"/>
        <v>0</v>
      </c>
      <c r="F32" s="37"/>
      <c r="G32" s="123">
        <f t="shared" si="2"/>
        <v>0</v>
      </c>
      <c r="H32" s="124"/>
      <c r="I32" s="89">
        <f t="shared" si="6"/>
        <v>0</v>
      </c>
      <c r="J32" s="90"/>
      <c r="K32" s="170"/>
    </row>
    <row r="33" spans="1:11" s="40" customFormat="1" ht="15.75" hidden="1" customHeight="1">
      <c r="A33" s="34" t="s">
        <v>103</v>
      </c>
      <c r="B33" s="50" t="s">
        <v>100</v>
      </c>
      <c r="C33" s="36" t="s">
        <v>8</v>
      </c>
      <c r="D33" s="42"/>
      <c r="E33" s="89">
        <f t="shared" si="1"/>
        <v>0</v>
      </c>
      <c r="F33" s="37">
        <v>325.81</v>
      </c>
      <c r="G33" s="123">
        <f t="shared" si="2"/>
        <v>325.81</v>
      </c>
      <c r="H33" s="124"/>
      <c r="I33" s="89">
        <f t="shared" si="6"/>
        <v>325.81</v>
      </c>
      <c r="J33" s="90"/>
      <c r="K33" s="170"/>
    </row>
    <row r="34" spans="1:11" s="127" customFormat="1" ht="15.75" customHeight="1">
      <c r="A34" s="116" t="s">
        <v>180</v>
      </c>
      <c r="B34" s="130" t="s">
        <v>167</v>
      </c>
      <c r="C34" s="121" t="s">
        <v>8</v>
      </c>
      <c r="D34" s="122">
        <v>270.7</v>
      </c>
      <c r="E34" s="117">
        <f>D34*0.837</f>
        <v>226.57589999999999</v>
      </c>
      <c r="F34" s="123">
        <v>226.03399999999999</v>
      </c>
      <c r="G34" s="123">
        <f>F34-D34</f>
        <v>-44.665999999999997</v>
      </c>
      <c r="H34" s="124">
        <f>G34/D34*100</f>
        <v>-16.500184706316958</v>
      </c>
      <c r="I34" s="117">
        <f t="shared" si="6"/>
        <v>-0.54189999999999827</v>
      </c>
      <c r="J34" s="117">
        <f>F34/E34*100</f>
        <v>99.760830697351309</v>
      </c>
      <c r="K34" s="171"/>
    </row>
    <row r="35" spans="1:11" s="40" customFormat="1" ht="15.75" hidden="1" customHeight="1">
      <c r="A35" s="34" t="s">
        <v>104</v>
      </c>
      <c r="B35" s="50" t="s">
        <v>101</v>
      </c>
      <c r="C35" s="36" t="s">
        <v>8</v>
      </c>
      <c r="D35" s="42"/>
      <c r="E35" s="89">
        <f t="shared" si="1"/>
        <v>0</v>
      </c>
      <c r="F35" s="37">
        <v>43.87</v>
      </c>
      <c r="G35" s="123">
        <f t="shared" si="2"/>
        <v>43.87</v>
      </c>
      <c r="H35" s="124"/>
      <c r="I35" s="89">
        <f t="shared" si="6"/>
        <v>43.87</v>
      </c>
      <c r="J35" s="90"/>
      <c r="K35" s="39"/>
    </row>
    <row r="36" spans="1:11" s="127" customFormat="1" ht="33" customHeight="1">
      <c r="A36" s="116" t="s">
        <v>179</v>
      </c>
      <c r="B36" s="120" t="s">
        <v>136</v>
      </c>
      <c r="C36" s="121" t="s">
        <v>8</v>
      </c>
      <c r="D36" s="122">
        <f>SUM(D37:D44)</f>
        <v>972.2</v>
      </c>
      <c r="E36" s="117">
        <f t="shared" ref="E36:E47" si="9">D36*0.837</f>
        <v>813.73140000000001</v>
      </c>
      <c r="F36" s="122">
        <f>SUM(F37:F44)</f>
        <v>734.50900000000013</v>
      </c>
      <c r="G36" s="123">
        <f t="shared" ref="G36:G49" si="10">F36-D36</f>
        <v>-237.69099999999992</v>
      </c>
      <c r="H36" s="124">
        <f t="shared" ref="H36:H42" si="11">G36/D36*100</f>
        <v>-24.448775972022208</v>
      </c>
      <c r="I36" s="128">
        <f t="shared" si="6"/>
        <v>-79.22239999999988</v>
      </c>
      <c r="J36" s="133">
        <f>F36/E36*100</f>
        <v>90.264305887667618</v>
      </c>
      <c r="K36" s="169" t="s">
        <v>218</v>
      </c>
    </row>
    <row r="37" spans="1:11" s="40" customFormat="1" ht="15.75" hidden="1" customHeight="1">
      <c r="A37" s="45" t="s">
        <v>128</v>
      </c>
      <c r="B37" s="41" t="s">
        <v>122</v>
      </c>
      <c r="C37" s="36" t="s">
        <v>8</v>
      </c>
      <c r="D37" s="42"/>
      <c r="E37" s="89">
        <f t="shared" si="9"/>
        <v>0</v>
      </c>
      <c r="F37" s="37"/>
      <c r="G37" s="123">
        <f t="shared" si="10"/>
        <v>0</v>
      </c>
      <c r="H37" s="124" t="e">
        <f t="shared" si="11"/>
        <v>#DIV/0!</v>
      </c>
      <c r="I37" s="89" t="s">
        <v>173</v>
      </c>
      <c r="J37" s="90"/>
      <c r="K37" s="170"/>
    </row>
    <row r="38" spans="1:11" s="40" customFormat="1" ht="15.75" hidden="1" customHeight="1">
      <c r="A38" s="45" t="s">
        <v>129</v>
      </c>
      <c r="B38" s="41" t="s">
        <v>123</v>
      </c>
      <c r="C38" s="36" t="s">
        <v>8</v>
      </c>
      <c r="D38" s="42"/>
      <c r="E38" s="89">
        <f t="shared" si="9"/>
        <v>0</v>
      </c>
      <c r="F38" s="37"/>
      <c r="G38" s="123">
        <f t="shared" si="10"/>
        <v>0</v>
      </c>
      <c r="H38" s="124" t="e">
        <f t="shared" si="11"/>
        <v>#DIV/0!</v>
      </c>
      <c r="I38" s="89">
        <f t="shared" ref="I38:I47" si="12">F38-E38</f>
        <v>0</v>
      </c>
      <c r="J38" s="90"/>
      <c r="K38" s="170"/>
    </row>
    <row r="39" spans="1:11" s="40" customFormat="1" ht="15.75" hidden="1" customHeight="1">
      <c r="A39" s="45" t="s">
        <v>130</v>
      </c>
      <c r="B39" s="41" t="s">
        <v>124</v>
      </c>
      <c r="C39" s="36" t="s">
        <v>8</v>
      </c>
      <c r="D39" s="42"/>
      <c r="E39" s="89">
        <f t="shared" si="9"/>
        <v>0</v>
      </c>
      <c r="F39" s="37"/>
      <c r="G39" s="123">
        <f t="shared" si="10"/>
        <v>0</v>
      </c>
      <c r="H39" s="124" t="e">
        <f t="shared" si="11"/>
        <v>#DIV/0!</v>
      </c>
      <c r="I39" s="89">
        <f t="shared" si="12"/>
        <v>0</v>
      </c>
      <c r="J39" s="90"/>
      <c r="K39" s="170"/>
    </row>
    <row r="40" spans="1:11" s="40" customFormat="1" ht="15.75" hidden="1" customHeight="1">
      <c r="A40" s="45" t="s">
        <v>131</v>
      </c>
      <c r="B40" s="41" t="s">
        <v>166</v>
      </c>
      <c r="C40" s="36" t="s">
        <v>8</v>
      </c>
      <c r="D40" s="42"/>
      <c r="E40" s="89">
        <f t="shared" si="9"/>
        <v>0</v>
      </c>
      <c r="F40" s="37"/>
      <c r="G40" s="123">
        <f t="shared" si="10"/>
        <v>0</v>
      </c>
      <c r="H40" s="124" t="e">
        <f t="shared" si="11"/>
        <v>#DIV/0!</v>
      </c>
      <c r="I40" s="89">
        <f t="shared" si="12"/>
        <v>0</v>
      </c>
      <c r="J40" s="90"/>
      <c r="K40" s="170"/>
    </row>
    <row r="41" spans="1:11" s="40" customFormat="1" ht="15.75" hidden="1" customHeight="1">
      <c r="A41" s="45" t="s">
        <v>132</v>
      </c>
      <c r="B41" s="41" t="s">
        <v>126</v>
      </c>
      <c r="C41" s="36" t="s">
        <v>8</v>
      </c>
      <c r="D41" s="42"/>
      <c r="E41" s="89">
        <f t="shared" si="9"/>
        <v>0</v>
      </c>
      <c r="F41" s="37"/>
      <c r="G41" s="123">
        <f t="shared" si="10"/>
        <v>0</v>
      </c>
      <c r="H41" s="124" t="e">
        <f t="shared" si="11"/>
        <v>#DIV/0!</v>
      </c>
      <c r="I41" s="89">
        <f t="shared" si="12"/>
        <v>0</v>
      </c>
      <c r="J41" s="90"/>
      <c r="K41" s="170"/>
    </row>
    <row r="42" spans="1:11" s="40" customFormat="1" ht="15.75" customHeight="1">
      <c r="A42" s="34" t="s">
        <v>189</v>
      </c>
      <c r="B42" s="114" t="s">
        <v>133</v>
      </c>
      <c r="C42" s="36" t="s">
        <v>8</v>
      </c>
      <c r="D42" s="42">
        <v>885.2</v>
      </c>
      <c r="E42" s="89">
        <f t="shared" si="9"/>
        <v>740.91240000000005</v>
      </c>
      <c r="F42" s="37">
        <f>413.951+202.622</f>
        <v>616.57300000000009</v>
      </c>
      <c r="G42" s="123">
        <f t="shared" si="10"/>
        <v>-268.62699999999995</v>
      </c>
      <c r="H42" s="124">
        <f t="shared" si="11"/>
        <v>-30.346475372797098</v>
      </c>
      <c r="I42" s="89">
        <f t="shared" si="12"/>
        <v>-124.33939999999996</v>
      </c>
      <c r="J42" s="90">
        <f>F42/E42*100</f>
        <v>83.218070044447913</v>
      </c>
      <c r="K42" s="171"/>
    </row>
    <row r="43" spans="1:11" s="40" customFormat="1" ht="15.75" hidden="1" customHeight="1">
      <c r="A43" s="34" t="s">
        <v>188</v>
      </c>
      <c r="B43" s="41" t="s">
        <v>134</v>
      </c>
      <c r="C43" s="36" t="s">
        <v>8</v>
      </c>
      <c r="D43" s="42"/>
      <c r="E43" s="89">
        <f t="shared" si="9"/>
        <v>0</v>
      </c>
      <c r="F43" s="37"/>
      <c r="G43" s="123">
        <f t="shared" si="10"/>
        <v>0</v>
      </c>
      <c r="H43" s="124"/>
      <c r="I43" s="89">
        <f t="shared" si="12"/>
        <v>0</v>
      </c>
      <c r="J43" s="90"/>
      <c r="K43" s="39"/>
    </row>
    <row r="44" spans="1:11" s="40" customFormat="1" ht="31.5" customHeight="1">
      <c r="A44" s="34" t="s">
        <v>189</v>
      </c>
      <c r="B44" s="41" t="s">
        <v>135</v>
      </c>
      <c r="C44" s="36" t="s">
        <v>8</v>
      </c>
      <c r="D44" s="42">
        <v>87</v>
      </c>
      <c r="E44" s="89">
        <f t="shared" si="9"/>
        <v>72.819000000000003</v>
      </c>
      <c r="F44" s="37">
        <v>117.93600000000001</v>
      </c>
      <c r="G44" s="123">
        <f t="shared" si="10"/>
        <v>30.936000000000007</v>
      </c>
      <c r="H44" s="124">
        <f>G44/D44*100</f>
        <v>35.558620689655179</v>
      </c>
      <c r="I44" s="89">
        <f t="shared" si="12"/>
        <v>45.117000000000004</v>
      </c>
      <c r="J44" s="90">
        <f>F44/E44*100</f>
        <v>161.95773081201335</v>
      </c>
      <c r="K44" s="151" t="s">
        <v>219</v>
      </c>
    </row>
    <row r="45" spans="1:11" s="127" customFormat="1" ht="15" customHeight="1">
      <c r="A45" s="116" t="s">
        <v>181</v>
      </c>
      <c r="B45" s="120" t="s">
        <v>45</v>
      </c>
      <c r="C45" s="121" t="s">
        <v>8</v>
      </c>
      <c r="D45" s="122">
        <v>889.9</v>
      </c>
      <c r="E45" s="89">
        <f t="shared" si="9"/>
        <v>744.84629999999993</v>
      </c>
      <c r="F45" s="123">
        <f>SUM(F46:F47)</f>
        <v>822.64249999999993</v>
      </c>
      <c r="G45" s="123">
        <f t="shared" si="10"/>
        <v>-67.25750000000005</v>
      </c>
      <c r="H45" s="124">
        <f>G45/D45*100</f>
        <v>-7.557871670974273</v>
      </c>
      <c r="I45" s="117">
        <f t="shared" si="12"/>
        <v>77.796199999999999</v>
      </c>
      <c r="J45" s="125">
        <f>F45/E45*100</f>
        <v>110.44459776466636</v>
      </c>
      <c r="K45" s="157" t="s">
        <v>220</v>
      </c>
    </row>
    <row r="46" spans="1:11" s="40" customFormat="1" ht="15.75" customHeight="1">
      <c r="A46" s="34" t="s">
        <v>187</v>
      </c>
      <c r="B46" s="35" t="s">
        <v>137</v>
      </c>
      <c r="C46" s="36" t="s">
        <v>8</v>
      </c>
      <c r="D46" s="42"/>
      <c r="E46" s="89">
        <f t="shared" si="9"/>
        <v>0</v>
      </c>
      <c r="F46" s="37">
        <f>311.96+61.0785</f>
        <v>373.0385</v>
      </c>
      <c r="G46" s="123">
        <f t="shared" si="10"/>
        <v>373.0385</v>
      </c>
      <c r="H46" s="124"/>
      <c r="I46" s="89">
        <f t="shared" si="12"/>
        <v>373.0385</v>
      </c>
      <c r="J46" s="90"/>
      <c r="K46" s="158"/>
    </row>
    <row r="47" spans="1:11" s="40" customFormat="1" ht="15.75" customHeight="1">
      <c r="A47" s="34" t="s">
        <v>188</v>
      </c>
      <c r="B47" s="35" t="s">
        <v>138</v>
      </c>
      <c r="C47" s="36" t="s">
        <v>8</v>
      </c>
      <c r="D47" s="42"/>
      <c r="E47" s="89">
        <f t="shared" si="9"/>
        <v>0</v>
      </c>
      <c r="F47" s="37">
        <f>418.776+30.828</f>
        <v>449.60399999999998</v>
      </c>
      <c r="G47" s="123">
        <f t="shared" si="10"/>
        <v>449.60399999999998</v>
      </c>
      <c r="H47" s="124"/>
      <c r="I47" s="89">
        <f t="shared" si="12"/>
        <v>449.60399999999998</v>
      </c>
      <c r="J47" s="90"/>
      <c r="K47" s="158"/>
    </row>
    <row r="48" spans="1:11" s="127" customFormat="1">
      <c r="A48" s="116" t="s">
        <v>183</v>
      </c>
      <c r="B48" s="120" t="s">
        <v>182</v>
      </c>
      <c r="C48" s="36" t="s">
        <v>8</v>
      </c>
      <c r="D48" s="134">
        <f>D49</f>
        <v>87</v>
      </c>
      <c r="E48" s="134">
        <f t="shared" ref="E48:F48" si="13">E49</f>
        <v>72.819000000000003</v>
      </c>
      <c r="F48" s="134">
        <f t="shared" si="13"/>
        <v>117.93600000000001</v>
      </c>
      <c r="G48" s="123">
        <f t="shared" si="10"/>
        <v>30.936000000000007</v>
      </c>
      <c r="H48" s="124">
        <f>G48/D48*100</f>
        <v>35.558620689655179</v>
      </c>
      <c r="I48" s="135"/>
      <c r="J48" s="136"/>
      <c r="K48" s="158"/>
    </row>
    <row r="49" spans="1:11" s="40" customFormat="1">
      <c r="A49" s="34" t="s">
        <v>190</v>
      </c>
      <c r="B49" s="35" t="s">
        <v>135</v>
      </c>
      <c r="C49" s="36" t="s">
        <v>8</v>
      </c>
      <c r="D49" s="42">
        <v>87</v>
      </c>
      <c r="E49" s="89">
        <f>D49*0.837</f>
        <v>72.819000000000003</v>
      </c>
      <c r="F49" s="37">
        <v>117.93600000000001</v>
      </c>
      <c r="G49" s="37">
        <f t="shared" si="10"/>
        <v>30.936000000000007</v>
      </c>
      <c r="H49" s="38">
        <f>G49/D49*100</f>
        <v>35.558620689655179</v>
      </c>
      <c r="I49" s="138"/>
      <c r="J49" s="139"/>
      <c r="K49" s="158"/>
    </row>
    <row r="50" spans="1:11" s="127" customFormat="1">
      <c r="A50" s="116" t="s">
        <v>184</v>
      </c>
      <c r="B50" s="120" t="s">
        <v>185</v>
      </c>
      <c r="C50" s="121"/>
      <c r="D50" s="126">
        <v>0</v>
      </c>
      <c r="E50" s="129"/>
      <c r="F50" s="126">
        <v>0</v>
      </c>
      <c r="G50" s="137"/>
      <c r="H50" s="137"/>
      <c r="I50" s="140"/>
      <c r="J50" s="141"/>
      <c r="K50" s="152"/>
    </row>
    <row r="51" spans="1:11" s="127" customFormat="1" ht="35.25" customHeight="1">
      <c r="A51" s="116" t="s">
        <v>186</v>
      </c>
      <c r="B51" s="120" t="s">
        <v>121</v>
      </c>
      <c r="C51" s="121" t="s">
        <v>8</v>
      </c>
      <c r="D51" s="122">
        <v>332.8</v>
      </c>
      <c r="E51" s="117">
        <f>D51*0.837</f>
        <v>278.55360000000002</v>
      </c>
      <c r="F51" s="123">
        <f>300+451.135</f>
        <v>751.13499999999999</v>
      </c>
      <c r="G51" s="123">
        <f>F51-D51</f>
        <v>418.33499999999998</v>
      </c>
      <c r="H51" s="124">
        <f>G51/D51*100</f>
        <v>125.70162259615383</v>
      </c>
      <c r="I51" s="117">
        <f t="shared" ref="I51:I68" si="14">F51-E51</f>
        <v>472.58139999999997</v>
      </c>
      <c r="J51" s="125">
        <f>F51/E51*100</f>
        <v>269.65546307784211</v>
      </c>
      <c r="K51" s="142" t="s">
        <v>221</v>
      </c>
    </row>
    <row r="52" spans="1:11" s="127" customFormat="1" ht="15.75" customHeight="1">
      <c r="A52" s="116"/>
      <c r="B52" s="130" t="s">
        <v>42</v>
      </c>
      <c r="C52" s="121" t="s">
        <v>8</v>
      </c>
      <c r="D52" s="122"/>
      <c r="E52" s="117">
        <f>D52*0.837</f>
        <v>0</v>
      </c>
      <c r="F52" s="123">
        <f>F54</f>
        <v>312.25439999999998</v>
      </c>
      <c r="G52" s="123">
        <f>F52-D52</f>
        <v>312.25439999999998</v>
      </c>
      <c r="H52" s="124"/>
      <c r="I52" s="117">
        <f t="shared" si="14"/>
        <v>312.25439999999998</v>
      </c>
      <c r="J52" s="125"/>
      <c r="K52" s="182" t="s">
        <v>209</v>
      </c>
    </row>
    <row r="53" spans="1:11" s="40" customFormat="1" ht="15.75" hidden="1" customHeight="1">
      <c r="A53" s="34"/>
      <c r="B53" s="41" t="s">
        <v>112</v>
      </c>
      <c r="C53" s="36" t="s">
        <v>8</v>
      </c>
      <c r="D53" s="42"/>
      <c r="E53" s="89">
        <f>D53*0.837</f>
        <v>0</v>
      </c>
      <c r="F53" s="37"/>
      <c r="G53" s="123">
        <f>F53-D53</f>
        <v>0</v>
      </c>
      <c r="H53" s="124"/>
      <c r="I53" s="89">
        <f t="shared" si="14"/>
        <v>0</v>
      </c>
      <c r="J53" s="90"/>
      <c r="K53" s="183"/>
    </row>
    <row r="54" spans="1:11" s="40" customFormat="1" ht="15.75" customHeight="1">
      <c r="A54" s="34"/>
      <c r="B54" s="41" t="s">
        <v>113</v>
      </c>
      <c r="C54" s="36" t="s">
        <v>8</v>
      </c>
      <c r="D54" s="42"/>
      <c r="E54" s="89">
        <f>D54*0.837</f>
        <v>0</v>
      </c>
      <c r="F54" s="37">
        <v>312.25439999999998</v>
      </c>
      <c r="G54" s="123">
        <f>F54-D54</f>
        <v>312.25439999999998</v>
      </c>
      <c r="H54" s="124"/>
      <c r="I54" s="89">
        <f t="shared" si="14"/>
        <v>312.25439999999998</v>
      </c>
      <c r="J54" s="90"/>
      <c r="K54" s="184"/>
    </row>
    <row r="55" spans="1:11" s="4" customFormat="1" ht="15.75" hidden="1" customHeight="1">
      <c r="A55" s="5" t="s">
        <v>46</v>
      </c>
      <c r="B55" s="6" t="s">
        <v>47</v>
      </c>
      <c r="C55" s="21" t="s">
        <v>8</v>
      </c>
      <c r="D55" s="28"/>
      <c r="E55" s="80">
        <f t="shared" si="1"/>
        <v>0</v>
      </c>
      <c r="F55" s="27"/>
      <c r="G55" s="27">
        <f t="shared" si="2"/>
        <v>0</v>
      </c>
      <c r="H55" s="7" t="e">
        <f t="shared" si="3"/>
        <v>#DIV/0!</v>
      </c>
      <c r="I55" s="80">
        <f t="shared" si="14"/>
        <v>0</v>
      </c>
      <c r="J55" s="82"/>
      <c r="K55" s="126"/>
    </row>
    <row r="56" spans="1:11" s="4" customFormat="1" ht="15.75" hidden="1" customHeight="1">
      <c r="A56" s="5" t="s">
        <v>48</v>
      </c>
      <c r="B56" s="6" t="s">
        <v>50</v>
      </c>
      <c r="C56" s="21" t="s">
        <v>8</v>
      </c>
      <c r="D56" s="28"/>
      <c r="E56" s="80">
        <f t="shared" si="1"/>
        <v>0</v>
      </c>
      <c r="F56" s="27">
        <f>17.679+32.054</f>
        <v>49.733000000000004</v>
      </c>
      <c r="G56" s="27">
        <f t="shared" si="2"/>
        <v>49.733000000000004</v>
      </c>
      <c r="H56" s="7" t="e">
        <f t="shared" si="3"/>
        <v>#DIV/0!</v>
      </c>
      <c r="I56" s="80">
        <f t="shared" si="14"/>
        <v>49.733000000000004</v>
      </c>
      <c r="J56" s="82"/>
      <c r="K56" s="126"/>
    </row>
    <row r="57" spans="1:11" s="4" customFormat="1" ht="15.75" hidden="1" customHeight="1">
      <c r="A57" s="43" t="s">
        <v>88</v>
      </c>
      <c r="B57" s="6" t="s">
        <v>59</v>
      </c>
      <c r="C57" s="21" t="s">
        <v>8</v>
      </c>
      <c r="D57" s="28"/>
      <c r="E57" s="80">
        <f t="shared" si="1"/>
        <v>0</v>
      </c>
      <c r="F57" s="27"/>
      <c r="G57" s="27">
        <f t="shared" si="2"/>
        <v>0</v>
      </c>
      <c r="H57" s="7" t="e">
        <f t="shared" si="3"/>
        <v>#DIV/0!</v>
      </c>
      <c r="I57" s="80">
        <f t="shared" si="14"/>
        <v>0</v>
      </c>
      <c r="J57" s="82"/>
      <c r="K57" s="126"/>
    </row>
    <row r="58" spans="1:11" s="4" customFormat="1" ht="15.75" hidden="1" customHeight="1">
      <c r="A58" s="43" t="s">
        <v>89</v>
      </c>
      <c r="B58" s="6" t="s">
        <v>49</v>
      </c>
      <c r="C58" s="21" t="s">
        <v>8</v>
      </c>
      <c r="D58" s="28"/>
      <c r="E58" s="80">
        <f t="shared" si="1"/>
        <v>0</v>
      </c>
      <c r="F58" s="27"/>
      <c r="G58" s="27">
        <f t="shared" si="2"/>
        <v>0</v>
      </c>
      <c r="H58" s="7" t="e">
        <f t="shared" si="3"/>
        <v>#DIV/0!</v>
      </c>
      <c r="I58" s="80">
        <f t="shared" si="14"/>
        <v>0</v>
      </c>
      <c r="J58" s="82"/>
      <c r="K58" s="126"/>
    </row>
    <row r="59" spans="1:11" s="4" customFormat="1" ht="18.75" hidden="1" customHeight="1">
      <c r="A59" s="43" t="s">
        <v>90</v>
      </c>
      <c r="B59" s="6" t="s">
        <v>105</v>
      </c>
      <c r="C59" s="21" t="s">
        <v>8</v>
      </c>
      <c r="D59" s="28"/>
      <c r="E59" s="80">
        <f t="shared" si="1"/>
        <v>0</v>
      </c>
      <c r="F59" s="27"/>
      <c r="G59" s="27">
        <f t="shared" si="2"/>
        <v>0</v>
      </c>
      <c r="H59" s="7" t="e">
        <f t="shared" si="3"/>
        <v>#DIV/0!</v>
      </c>
      <c r="I59" s="80">
        <f t="shared" si="14"/>
        <v>0</v>
      </c>
      <c r="J59" s="82"/>
      <c r="K59" s="126"/>
    </row>
    <row r="60" spans="1:11" ht="15.75" hidden="1" customHeight="1">
      <c r="A60" s="34" t="s">
        <v>109</v>
      </c>
      <c r="B60" s="41" t="s">
        <v>106</v>
      </c>
      <c r="C60" s="36" t="s">
        <v>8</v>
      </c>
      <c r="D60" s="18"/>
      <c r="E60" s="83">
        <f t="shared" si="1"/>
        <v>0</v>
      </c>
      <c r="F60" s="19"/>
      <c r="G60" s="27">
        <f t="shared" si="2"/>
        <v>0</v>
      </c>
      <c r="H60" s="7" t="e">
        <f t="shared" si="3"/>
        <v>#DIV/0!</v>
      </c>
      <c r="I60" s="83">
        <f t="shared" si="14"/>
        <v>0</v>
      </c>
      <c r="J60" s="84"/>
      <c r="K60" s="39"/>
    </row>
    <row r="61" spans="1:11" ht="15.75" hidden="1" customHeight="1">
      <c r="A61" s="34" t="s">
        <v>110</v>
      </c>
      <c r="B61" s="41" t="s">
        <v>107</v>
      </c>
      <c r="C61" s="36" t="s">
        <v>8</v>
      </c>
      <c r="D61" s="18"/>
      <c r="E61" s="83">
        <f t="shared" si="1"/>
        <v>0</v>
      </c>
      <c r="F61" s="19"/>
      <c r="G61" s="27">
        <f t="shared" si="2"/>
        <v>0</v>
      </c>
      <c r="H61" s="7" t="e">
        <f t="shared" si="3"/>
        <v>#DIV/0!</v>
      </c>
      <c r="I61" s="83">
        <f t="shared" si="14"/>
        <v>0</v>
      </c>
      <c r="J61" s="84"/>
      <c r="K61" s="39"/>
    </row>
    <row r="62" spans="1:11" ht="15.75" hidden="1" customHeight="1">
      <c r="A62" s="34" t="s">
        <v>111</v>
      </c>
      <c r="B62" s="44" t="s">
        <v>108</v>
      </c>
      <c r="C62" s="36" t="s">
        <v>8</v>
      </c>
      <c r="D62" s="18"/>
      <c r="E62" s="83">
        <f t="shared" si="1"/>
        <v>0</v>
      </c>
      <c r="F62" s="19"/>
      <c r="G62" s="27">
        <f t="shared" si="2"/>
        <v>0</v>
      </c>
      <c r="H62" s="7" t="e">
        <f t="shared" si="3"/>
        <v>#DIV/0!</v>
      </c>
      <c r="I62" s="83">
        <f t="shared" si="14"/>
        <v>0</v>
      </c>
      <c r="J62" s="84"/>
      <c r="K62" s="39"/>
    </row>
    <row r="63" spans="1:11" s="4" customFormat="1" ht="48.75" hidden="1" customHeight="1">
      <c r="A63" s="43" t="s">
        <v>91</v>
      </c>
      <c r="B63" s="6" t="s">
        <v>57</v>
      </c>
      <c r="C63" s="21" t="s">
        <v>8</v>
      </c>
      <c r="D63" s="28"/>
      <c r="E63" s="80">
        <f t="shared" si="1"/>
        <v>0</v>
      </c>
      <c r="F63" s="27"/>
      <c r="G63" s="27">
        <f t="shared" si="2"/>
        <v>0</v>
      </c>
      <c r="H63" s="7" t="e">
        <f t="shared" si="3"/>
        <v>#DIV/0!</v>
      </c>
      <c r="I63" s="80">
        <f t="shared" si="14"/>
        <v>0</v>
      </c>
      <c r="J63" s="82"/>
      <c r="K63" s="126"/>
    </row>
    <row r="64" spans="1:11" s="59" customFormat="1" ht="25.5" customHeight="1">
      <c r="A64" s="54" t="s">
        <v>51</v>
      </c>
      <c r="B64" s="77" t="s">
        <v>52</v>
      </c>
      <c r="C64" s="56" t="s">
        <v>8</v>
      </c>
      <c r="D64" s="60">
        <f t="shared" ref="D64:E64" si="15">SUM(D65)</f>
        <v>17095</v>
      </c>
      <c r="E64" s="85">
        <f t="shared" si="15"/>
        <v>14358.7413</v>
      </c>
      <c r="F64" s="60">
        <f>SUM(F65)</f>
        <v>22355.574549000004</v>
      </c>
      <c r="G64" s="57">
        <f t="shared" si="2"/>
        <v>5260.5745490000045</v>
      </c>
      <c r="H64" s="61">
        <f t="shared" si="3"/>
        <v>30.772591687627987</v>
      </c>
      <c r="I64" s="85">
        <f t="shared" si="14"/>
        <v>7996.8332490000048</v>
      </c>
      <c r="J64" s="91">
        <f>F64/E64*100</f>
        <v>155.693135504851</v>
      </c>
      <c r="K64" s="157" t="s">
        <v>213</v>
      </c>
    </row>
    <row r="65" spans="1:11" s="59" customFormat="1" ht="27" customHeight="1">
      <c r="A65" s="54" t="s">
        <v>31</v>
      </c>
      <c r="B65" s="77" t="s">
        <v>53</v>
      </c>
      <c r="C65" s="56" t="s">
        <v>8</v>
      </c>
      <c r="D65" s="57">
        <v>17095</v>
      </c>
      <c r="E65" s="57">
        <f t="shared" ref="E65:F65" si="16">E71+E72+E76+E77+E82+E83+E90+E91</f>
        <v>14358.7413</v>
      </c>
      <c r="F65" s="57">
        <f t="shared" si="16"/>
        <v>22355.574549000004</v>
      </c>
      <c r="G65" s="57">
        <f t="shared" si="2"/>
        <v>5260.5745490000045</v>
      </c>
      <c r="H65" s="61">
        <f t="shared" si="3"/>
        <v>30.772591687627987</v>
      </c>
      <c r="I65" s="80">
        <f t="shared" si="14"/>
        <v>7996.8332490000048</v>
      </c>
      <c r="J65" s="82">
        <f>F65/E65*100</f>
        <v>155.693135504851</v>
      </c>
      <c r="K65" s="158"/>
    </row>
    <row r="66" spans="1:11" s="4" customFormat="1" ht="15.75" hidden="1" customHeight="1">
      <c r="A66" s="43"/>
      <c r="B66" s="6" t="s">
        <v>12</v>
      </c>
      <c r="C66" s="21" t="s">
        <v>8</v>
      </c>
      <c r="D66" s="28"/>
      <c r="E66" s="80">
        <f t="shared" si="1"/>
        <v>0</v>
      </c>
      <c r="F66" s="27"/>
      <c r="G66" s="27">
        <f t="shared" si="2"/>
        <v>0</v>
      </c>
      <c r="H66" s="7"/>
      <c r="I66" s="80">
        <f t="shared" si="14"/>
        <v>0</v>
      </c>
      <c r="J66" s="82"/>
      <c r="K66" s="158"/>
    </row>
    <row r="67" spans="1:11" s="4" customFormat="1" ht="15.75" hidden="1" customHeight="1">
      <c r="A67" s="43"/>
      <c r="B67" s="6" t="s">
        <v>54</v>
      </c>
      <c r="C67" s="21" t="s">
        <v>8</v>
      </c>
      <c r="D67" s="28"/>
      <c r="E67" s="80">
        <f t="shared" si="1"/>
        <v>0</v>
      </c>
      <c r="F67" s="27"/>
      <c r="G67" s="27">
        <f t="shared" si="2"/>
        <v>0</v>
      </c>
      <c r="H67" s="7"/>
      <c r="I67" s="80">
        <f t="shared" si="14"/>
        <v>0</v>
      </c>
      <c r="J67" s="82"/>
      <c r="K67" s="158"/>
    </row>
    <row r="68" spans="1:11" s="4" customFormat="1" ht="15.75" hidden="1" customHeight="1">
      <c r="A68" s="43"/>
      <c r="B68" s="6" t="s">
        <v>16</v>
      </c>
      <c r="C68" s="21" t="s">
        <v>8</v>
      </c>
      <c r="D68" s="28"/>
      <c r="E68" s="80">
        <f t="shared" si="1"/>
        <v>0</v>
      </c>
      <c r="F68" s="27"/>
      <c r="G68" s="27">
        <f t="shared" si="2"/>
        <v>0</v>
      </c>
      <c r="H68" s="7"/>
      <c r="I68" s="80">
        <f t="shared" si="14"/>
        <v>0</v>
      </c>
      <c r="J68" s="82"/>
      <c r="K68" s="158"/>
    </row>
    <row r="69" spans="1:11" s="4" customFormat="1" ht="15.75" hidden="1" customHeight="1">
      <c r="A69" s="43"/>
      <c r="B69" s="46" t="s">
        <v>160</v>
      </c>
      <c r="C69" s="51" t="s">
        <v>8</v>
      </c>
      <c r="D69" s="28"/>
      <c r="E69" s="80"/>
      <c r="F69" s="27"/>
      <c r="G69" s="27">
        <f t="shared" si="2"/>
        <v>0</v>
      </c>
      <c r="H69" s="7"/>
      <c r="I69" s="80"/>
      <c r="J69" s="82"/>
      <c r="K69" s="126"/>
    </row>
    <row r="70" spans="1:11" s="4" customFormat="1" ht="15.75" hidden="1" customHeight="1">
      <c r="A70" s="43"/>
      <c r="B70" s="6" t="s">
        <v>18</v>
      </c>
      <c r="C70" s="21" t="s">
        <v>8</v>
      </c>
      <c r="D70" s="28"/>
      <c r="E70" s="80">
        <f t="shared" si="1"/>
        <v>0</v>
      </c>
      <c r="F70" s="27"/>
      <c r="G70" s="27">
        <f t="shared" si="2"/>
        <v>0</v>
      </c>
      <c r="H70" s="7"/>
      <c r="I70" s="80">
        <f>F70-E70</f>
        <v>0</v>
      </c>
      <c r="J70" s="82"/>
      <c r="K70" s="126"/>
    </row>
    <row r="71" spans="1:11" s="4" customFormat="1" ht="15.75" customHeight="1">
      <c r="A71" s="43" t="s">
        <v>33</v>
      </c>
      <c r="B71" s="6" t="s">
        <v>55</v>
      </c>
      <c r="C71" s="21" t="s">
        <v>8</v>
      </c>
      <c r="D71" s="28">
        <v>14569.9</v>
      </c>
      <c r="E71" s="80">
        <f t="shared" si="1"/>
        <v>12195.006299999999</v>
      </c>
      <c r="F71" s="27">
        <v>14500.136</v>
      </c>
      <c r="G71" s="27">
        <f t="shared" si="2"/>
        <v>-69.763999999999214</v>
      </c>
      <c r="H71" s="7">
        <f t="shared" si="3"/>
        <v>-0.47882277846793198</v>
      </c>
      <c r="I71" s="80">
        <f>F71-E71</f>
        <v>2305.1297000000013</v>
      </c>
      <c r="J71" s="92">
        <f>F71/E71</f>
        <v>1.1890224279752937</v>
      </c>
      <c r="K71" s="122"/>
    </row>
    <row r="72" spans="1:11" s="4" customFormat="1" ht="15.75" customHeight="1">
      <c r="A72" s="43" t="s">
        <v>35</v>
      </c>
      <c r="B72" s="6" t="s">
        <v>165</v>
      </c>
      <c r="C72" s="21"/>
      <c r="D72" s="28">
        <v>1442.4</v>
      </c>
      <c r="E72" s="80">
        <f t="shared" si="1"/>
        <v>1207.2888</v>
      </c>
      <c r="F72" s="27">
        <f>SUM(F73:F75)</f>
        <v>1456.7259999999999</v>
      </c>
      <c r="G72" s="27">
        <f t="shared" ref="G72:G132" si="17">F72-D72</f>
        <v>14.325999999999794</v>
      </c>
      <c r="H72" s="7">
        <f t="shared" ref="H72:H132" si="18">G72/D72*100</f>
        <v>0.99320576816415651</v>
      </c>
      <c r="I72" s="117">
        <f>F72-E72</f>
        <v>249.43719999999985</v>
      </c>
      <c r="J72" s="118">
        <f>F72/E72</f>
        <v>1.2066093879111608</v>
      </c>
      <c r="K72" s="122"/>
    </row>
    <row r="73" spans="1:11" s="40" customFormat="1" ht="15.75" customHeight="1">
      <c r="A73" s="45" t="s">
        <v>191</v>
      </c>
      <c r="B73" s="35" t="s">
        <v>23</v>
      </c>
      <c r="C73" s="36" t="s">
        <v>8</v>
      </c>
      <c r="D73" s="52"/>
      <c r="E73" s="89">
        <f>D72*0.837</f>
        <v>1207.2888</v>
      </c>
      <c r="F73" s="37">
        <v>823.827</v>
      </c>
      <c r="G73" s="27">
        <f t="shared" si="17"/>
        <v>823.827</v>
      </c>
      <c r="H73" s="7"/>
      <c r="I73" s="93"/>
      <c r="J73" s="94"/>
      <c r="K73" s="39"/>
    </row>
    <row r="74" spans="1:11" s="40" customFormat="1" ht="15.75" customHeight="1">
      <c r="A74" s="45" t="s">
        <v>192</v>
      </c>
      <c r="B74" s="35" t="s">
        <v>95</v>
      </c>
      <c r="C74" s="36" t="s">
        <v>8</v>
      </c>
      <c r="D74" s="42"/>
      <c r="E74" s="89">
        <f t="shared" si="1"/>
        <v>0</v>
      </c>
      <c r="F74" s="37">
        <v>427.58</v>
      </c>
      <c r="G74" s="27">
        <f t="shared" si="17"/>
        <v>427.58</v>
      </c>
      <c r="H74" s="7"/>
      <c r="I74" s="89">
        <f t="shared" ref="I74:I79" si="19">F74-E74</f>
        <v>427.58</v>
      </c>
      <c r="J74" s="90"/>
      <c r="K74" s="39"/>
    </row>
    <row r="75" spans="1:11" s="40" customFormat="1" ht="15.75" customHeight="1">
      <c r="A75" s="45" t="s">
        <v>193</v>
      </c>
      <c r="B75" s="35" t="s">
        <v>24</v>
      </c>
      <c r="C75" s="36" t="s">
        <v>8</v>
      </c>
      <c r="D75" s="42"/>
      <c r="E75" s="89">
        <f t="shared" si="1"/>
        <v>0</v>
      </c>
      <c r="F75" s="37">
        <v>205.31899999999999</v>
      </c>
      <c r="G75" s="27">
        <f t="shared" si="17"/>
        <v>205.31899999999999</v>
      </c>
      <c r="H75" s="7"/>
      <c r="I75" s="89">
        <f t="shared" si="19"/>
        <v>205.31899999999999</v>
      </c>
      <c r="J75" s="90"/>
      <c r="K75" s="39"/>
    </row>
    <row r="76" spans="1:11" s="4" customFormat="1" ht="33" customHeight="1">
      <c r="A76" s="43" t="s">
        <v>37</v>
      </c>
      <c r="B76" s="6" t="s">
        <v>26</v>
      </c>
      <c r="C76" s="21" t="s">
        <v>8</v>
      </c>
      <c r="D76" s="28">
        <v>143.30000000000001</v>
      </c>
      <c r="E76" s="80">
        <f>D76*0.837</f>
        <v>119.94210000000001</v>
      </c>
      <c r="F76" s="53">
        <v>317.52535999999998</v>
      </c>
      <c r="G76" s="27">
        <f>F76-D76</f>
        <v>174.22535999999997</v>
      </c>
      <c r="H76" s="7">
        <f>G76/D76*100</f>
        <v>121.58085136078154</v>
      </c>
      <c r="I76" s="80">
        <f t="shared" si="19"/>
        <v>197.58325999999997</v>
      </c>
      <c r="J76" s="82">
        <f>F76/E76*100</f>
        <v>264.732199953144</v>
      </c>
      <c r="K76" s="148" t="s">
        <v>214</v>
      </c>
    </row>
    <row r="77" spans="1:11" s="4" customFormat="1" ht="36" customHeight="1">
      <c r="A77" s="43" t="s">
        <v>38</v>
      </c>
      <c r="B77" s="6" t="s">
        <v>175</v>
      </c>
      <c r="C77" s="21" t="s">
        <v>8</v>
      </c>
      <c r="D77" s="28">
        <v>21</v>
      </c>
      <c r="E77" s="80">
        <f>D77*0.837</f>
        <v>17.576999999999998</v>
      </c>
      <c r="F77" s="27">
        <v>18.5625</v>
      </c>
      <c r="G77" s="27">
        <f>F77-D77</f>
        <v>-2.4375</v>
      </c>
      <c r="H77" s="7">
        <f>G77/D77*100</f>
        <v>-11.607142857142858</v>
      </c>
      <c r="I77" s="80">
        <f t="shared" si="19"/>
        <v>0.98550000000000182</v>
      </c>
      <c r="J77" s="82">
        <f>F77/E77*100</f>
        <v>105.60675883256529</v>
      </c>
      <c r="K77" s="157" t="s">
        <v>215</v>
      </c>
    </row>
    <row r="78" spans="1:11" s="40" customFormat="1" ht="15.75" hidden="1" customHeight="1">
      <c r="A78" s="45" t="s">
        <v>142</v>
      </c>
      <c r="B78" s="35" t="s">
        <v>145</v>
      </c>
      <c r="C78" s="36" t="s">
        <v>8</v>
      </c>
      <c r="D78" s="42"/>
      <c r="E78" s="89">
        <f t="shared" ref="E78:E108" si="20">D78*0.837</f>
        <v>0</v>
      </c>
      <c r="F78" s="37">
        <v>296.77800000000002</v>
      </c>
      <c r="G78" s="27">
        <f t="shared" si="17"/>
        <v>296.77800000000002</v>
      </c>
      <c r="H78" s="7" t="e">
        <f t="shared" si="18"/>
        <v>#DIV/0!</v>
      </c>
      <c r="I78" s="89">
        <f t="shared" si="19"/>
        <v>296.77800000000002</v>
      </c>
      <c r="J78" s="90"/>
      <c r="K78" s="158"/>
    </row>
    <row r="79" spans="1:11" s="40" customFormat="1" ht="15.75" hidden="1" customHeight="1">
      <c r="A79" s="45" t="s">
        <v>143</v>
      </c>
      <c r="B79" s="35" t="s">
        <v>146</v>
      </c>
      <c r="C79" s="36" t="s">
        <v>8</v>
      </c>
      <c r="D79" s="42"/>
      <c r="E79" s="89">
        <f t="shared" si="20"/>
        <v>0</v>
      </c>
      <c r="F79" s="37"/>
      <c r="G79" s="27">
        <f t="shared" si="17"/>
        <v>0</v>
      </c>
      <c r="H79" s="7" t="e">
        <f t="shared" si="18"/>
        <v>#DIV/0!</v>
      </c>
      <c r="I79" s="89">
        <f t="shared" si="19"/>
        <v>0</v>
      </c>
      <c r="J79" s="90"/>
      <c r="K79" s="158"/>
    </row>
    <row r="80" spans="1:11" s="40" customFormat="1" ht="15.75" hidden="1" customHeight="1">
      <c r="A80" s="45" t="s">
        <v>156</v>
      </c>
      <c r="B80" s="35" t="s">
        <v>153</v>
      </c>
      <c r="C80" s="36" t="s">
        <v>8</v>
      </c>
      <c r="D80" s="42"/>
      <c r="E80" s="89"/>
      <c r="F80" s="37"/>
      <c r="G80" s="27">
        <f t="shared" si="17"/>
        <v>0</v>
      </c>
      <c r="H80" s="7" t="e">
        <f t="shared" si="18"/>
        <v>#DIV/0!</v>
      </c>
      <c r="I80" s="89"/>
      <c r="J80" s="90"/>
      <c r="K80" s="158"/>
    </row>
    <row r="81" spans="1:11" s="40" customFormat="1" ht="15.75" hidden="1" customHeight="1">
      <c r="A81" s="45" t="s">
        <v>144</v>
      </c>
      <c r="B81" s="35" t="s">
        <v>147</v>
      </c>
      <c r="C81" s="36" t="s">
        <v>8</v>
      </c>
      <c r="D81" s="42"/>
      <c r="E81" s="89">
        <f t="shared" si="20"/>
        <v>0</v>
      </c>
      <c r="F81" s="37"/>
      <c r="G81" s="27">
        <f t="shared" si="17"/>
        <v>0</v>
      </c>
      <c r="H81" s="7" t="e">
        <f t="shared" si="18"/>
        <v>#DIV/0!</v>
      </c>
      <c r="I81" s="89">
        <f>F81-E81</f>
        <v>0</v>
      </c>
      <c r="J81" s="90"/>
      <c r="K81" s="158"/>
    </row>
    <row r="82" spans="1:11" s="4" customFormat="1" ht="15.75" customHeight="1">
      <c r="A82" s="43" t="s">
        <v>40</v>
      </c>
      <c r="B82" s="6" t="s">
        <v>56</v>
      </c>
      <c r="C82" s="21" t="s">
        <v>8</v>
      </c>
      <c r="D82" s="28">
        <v>95.4</v>
      </c>
      <c r="E82" s="80">
        <f t="shared" si="20"/>
        <v>79.849800000000002</v>
      </c>
      <c r="F82" s="53">
        <v>873.48481000000004</v>
      </c>
      <c r="G82" s="27">
        <f t="shared" si="17"/>
        <v>778.08481000000006</v>
      </c>
      <c r="H82" s="7">
        <f t="shared" si="18"/>
        <v>815.60252620545077</v>
      </c>
      <c r="I82" s="80">
        <f>F82-E82</f>
        <v>793.63501000000008</v>
      </c>
      <c r="J82" s="82">
        <f>F82/E82*100</f>
        <v>1093.9098282024502</v>
      </c>
      <c r="K82" s="39" t="s">
        <v>213</v>
      </c>
    </row>
    <row r="83" spans="1:11" ht="31.5" customHeight="1">
      <c r="A83" s="43" t="s">
        <v>41</v>
      </c>
      <c r="B83" s="6" t="s">
        <v>136</v>
      </c>
      <c r="C83" s="21" t="s">
        <v>8</v>
      </c>
      <c r="D83" s="28">
        <v>759.3</v>
      </c>
      <c r="E83" s="80">
        <f>D83*0.837+50.31</f>
        <v>685.84410000000003</v>
      </c>
      <c r="F83" s="27">
        <f>SUM(F84:F88)</f>
        <v>4187.9380000000001</v>
      </c>
      <c r="G83" s="27">
        <f t="shared" ref="G83:G88" si="21">F83-D83</f>
        <v>3428.6379999999999</v>
      </c>
      <c r="H83" s="7">
        <f>G83/D83*100</f>
        <v>451.55248254971684</v>
      </c>
      <c r="K83" s="179" t="s">
        <v>222</v>
      </c>
    </row>
    <row r="84" spans="1:11">
      <c r="A84" s="45" t="s">
        <v>117</v>
      </c>
      <c r="B84" s="41" t="s">
        <v>122</v>
      </c>
      <c r="C84" s="36" t="s">
        <v>8</v>
      </c>
      <c r="D84" s="42"/>
      <c r="E84" s="83">
        <f>D84*0.837</f>
        <v>0</v>
      </c>
      <c r="F84" s="37">
        <v>2027.55</v>
      </c>
      <c r="G84" s="27">
        <f t="shared" si="21"/>
        <v>2027.55</v>
      </c>
      <c r="H84" s="7"/>
      <c r="K84" s="180"/>
    </row>
    <row r="85" spans="1:11" s="4" customFormat="1" ht="20.25" customHeight="1">
      <c r="A85" s="45" t="s">
        <v>118</v>
      </c>
      <c r="B85" s="41" t="s">
        <v>123</v>
      </c>
      <c r="C85" s="36" t="s">
        <v>8</v>
      </c>
      <c r="D85" s="42"/>
      <c r="E85" s="83">
        <f>D85*0.837</f>
        <v>0</v>
      </c>
      <c r="F85" s="37">
        <v>671.61099999999999</v>
      </c>
      <c r="G85" s="27">
        <f t="shared" si="21"/>
        <v>671.61099999999999</v>
      </c>
      <c r="H85" s="7"/>
      <c r="I85" s="80">
        <f>F83-E83</f>
        <v>3502.0938999999998</v>
      </c>
      <c r="J85" s="82">
        <f>F83/E83*100</f>
        <v>610.62535931999707</v>
      </c>
      <c r="K85" s="180"/>
    </row>
    <row r="86" spans="1:11" s="40" customFormat="1" ht="15.75" customHeight="1">
      <c r="A86" s="45" t="s">
        <v>119</v>
      </c>
      <c r="B86" s="41" t="s">
        <v>124</v>
      </c>
      <c r="C86" s="36" t="s">
        <v>8</v>
      </c>
      <c r="D86" s="42"/>
      <c r="E86" s="83">
        <f>D86*0.837</f>
        <v>0</v>
      </c>
      <c r="F86" s="37">
        <v>633.601</v>
      </c>
      <c r="G86" s="27">
        <f t="shared" si="21"/>
        <v>633.601</v>
      </c>
      <c r="H86" s="7"/>
      <c r="I86" s="89">
        <f>F84-E84</f>
        <v>2027.55</v>
      </c>
      <c r="J86" s="90"/>
      <c r="K86" s="180"/>
    </row>
    <row r="87" spans="1:11" s="40" customFormat="1" ht="15.75" hidden="1" customHeight="1">
      <c r="A87" s="45" t="s">
        <v>117</v>
      </c>
      <c r="B87" s="41" t="s">
        <v>125</v>
      </c>
      <c r="C87" s="36" t="s">
        <v>8</v>
      </c>
      <c r="D87" s="42"/>
      <c r="E87" s="83">
        <f>D87*0.837</f>
        <v>0</v>
      </c>
      <c r="F87" s="37"/>
      <c r="G87" s="27">
        <f t="shared" si="21"/>
        <v>0</v>
      </c>
      <c r="H87" s="7"/>
      <c r="I87" s="89">
        <f>F85-E85</f>
        <v>671.61099999999999</v>
      </c>
      <c r="J87" s="90"/>
      <c r="K87" s="180"/>
    </row>
    <row r="88" spans="1:11" s="40" customFormat="1" ht="15.75" customHeight="1">
      <c r="A88" s="45" t="s">
        <v>120</v>
      </c>
      <c r="B88" s="41" t="s">
        <v>155</v>
      </c>
      <c r="C88" s="36" t="s">
        <v>8</v>
      </c>
      <c r="D88" s="42"/>
      <c r="E88" s="83">
        <f>D88*0.837</f>
        <v>0</v>
      </c>
      <c r="F88" s="37">
        <v>855.17600000000004</v>
      </c>
      <c r="G88" s="27">
        <f t="shared" si="21"/>
        <v>855.17600000000004</v>
      </c>
      <c r="H88" s="7"/>
      <c r="I88" s="89">
        <f>F86-E86</f>
        <v>633.601</v>
      </c>
      <c r="J88" s="90"/>
      <c r="K88" s="181"/>
    </row>
    <row r="89" spans="1:11" s="40" customFormat="1" ht="15.75" hidden="1" customHeight="1">
      <c r="I89" s="89">
        <f>F87-E87</f>
        <v>0</v>
      </c>
      <c r="J89" s="90"/>
      <c r="K89" s="39"/>
    </row>
    <row r="90" spans="1:11" s="4" customFormat="1" ht="54" customHeight="1">
      <c r="A90" s="43" t="s">
        <v>43</v>
      </c>
      <c r="B90" s="6" t="s">
        <v>57</v>
      </c>
      <c r="C90" s="21" t="s">
        <v>8</v>
      </c>
      <c r="D90" s="28">
        <v>63.6</v>
      </c>
      <c r="E90" s="80">
        <f>D90*0.837</f>
        <v>53.233199999999997</v>
      </c>
      <c r="F90" s="27">
        <v>350.52249999999998</v>
      </c>
      <c r="G90" s="27">
        <f t="shared" ref="G90:G99" si="22">F90-D90</f>
        <v>286.92249999999996</v>
      </c>
      <c r="H90" s="7">
        <f>G90/D90*100</f>
        <v>451.13600628930806</v>
      </c>
      <c r="I90" s="80">
        <f>F90-E90</f>
        <v>297.28929999999997</v>
      </c>
      <c r="J90" s="82">
        <f>F90/E90*100</f>
        <v>658.46595733489619</v>
      </c>
      <c r="K90" s="142" t="s">
        <v>210</v>
      </c>
    </row>
    <row r="91" spans="1:11" s="4" customFormat="1" ht="15.75" customHeight="1">
      <c r="A91" s="43" t="s">
        <v>44</v>
      </c>
      <c r="B91" s="6" t="s">
        <v>194</v>
      </c>
      <c r="C91" s="21"/>
      <c r="D91" s="28">
        <f>D92+D93+D94+D106+D107+D108</f>
        <v>0</v>
      </c>
      <c r="E91" s="28">
        <f t="shared" ref="E91:F91" si="23">E92+E93+E94+E106+E107+E108</f>
        <v>0</v>
      </c>
      <c r="F91" s="28">
        <f t="shared" si="23"/>
        <v>650.67937899999993</v>
      </c>
      <c r="G91" s="123">
        <f t="shared" si="22"/>
        <v>650.67937899999993</v>
      </c>
      <c r="H91" s="7"/>
      <c r="I91" s="80"/>
      <c r="J91" s="82"/>
      <c r="K91" s="176" t="s">
        <v>209</v>
      </c>
    </row>
    <row r="92" spans="1:11" s="127" customFormat="1" ht="15.75" customHeight="1">
      <c r="A92" s="119" t="s">
        <v>195</v>
      </c>
      <c r="B92" s="120" t="s">
        <v>34</v>
      </c>
      <c r="C92" s="121" t="s">
        <v>8</v>
      </c>
      <c r="D92" s="122"/>
      <c r="E92" s="117">
        <f>D92*0.837</f>
        <v>0</v>
      </c>
      <c r="F92" s="123">
        <v>296.779359</v>
      </c>
      <c r="G92" s="123">
        <f t="shared" si="22"/>
        <v>296.779359</v>
      </c>
      <c r="H92" s="124"/>
      <c r="I92" s="117">
        <f>F92-E92</f>
        <v>296.779359</v>
      </c>
      <c r="J92" s="125"/>
      <c r="K92" s="177"/>
    </row>
    <row r="93" spans="1:11" s="127" customFormat="1" ht="15.75" customHeight="1">
      <c r="A93" s="119" t="s">
        <v>196</v>
      </c>
      <c r="B93" s="120" t="s">
        <v>39</v>
      </c>
      <c r="C93" s="121" t="s">
        <v>8</v>
      </c>
      <c r="D93" s="122"/>
      <c r="E93" s="117">
        <f>D93*0.837</f>
        <v>0</v>
      </c>
      <c r="F93" s="123"/>
      <c r="G93" s="123">
        <f t="shared" si="22"/>
        <v>0</v>
      </c>
      <c r="H93" s="124"/>
      <c r="I93" s="117">
        <f>F93-E93</f>
        <v>0</v>
      </c>
      <c r="J93" s="125"/>
      <c r="K93" s="177"/>
    </row>
    <row r="94" spans="1:11" s="127" customFormat="1" ht="18" customHeight="1">
      <c r="A94" s="119" t="s">
        <v>197</v>
      </c>
      <c r="B94" s="120" t="s">
        <v>42</v>
      </c>
      <c r="C94" s="121" t="s">
        <v>8</v>
      </c>
      <c r="D94" s="122">
        <f t="shared" ref="D94:F94" si="24">SUM(D95:D99)</f>
        <v>0</v>
      </c>
      <c r="E94" s="128">
        <f t="shared" si="24"/>
        <v>0</v>
      </c>
      <c r="F94" s="122">
        <f t="shared" si="24"/>
        <v>170.73518999999999</v>
      </c>
      <c r="G94" s="123">
        <f t="shared" si="22"/>
        <v>170.73518999999999</v>
      </c>
      <c r="H94" s="124"/>
      <c r="I94" s="128">
        <f>SUM(I95:I99)</f>
        <v>170.73518999999999</v>
      </c>
      <c r="J94" s="129"/>
      <c r="K94" s="177"/>
    </row>
    <row r="95" spans="1:11" s="40" customFormat="1" ht="20.25" hidden="1" customHeight="1">
      <c r="A95" s="119" t="s">
        <v>198</v>
      </c>
      <c r="B95" s="41" t="s">
        <v>112</v>
      </c>
      <c r="C95" s="36" t="s">
        <v>8</v>
      </c>
      <c r="D95" s="37"/>
      <c r="E95" s="83">
        <f>D95*0.837</f>
        <v>0</v>
      </c>
      <c r="F95" s="37">
        <v>157.97105999999999</v>
      </c>
      <c r="G95" s="27">
        <f t="shared" si="22"/>
        <v>157.97105999999999</v>
      </c>
      <c r="H95" s="7"/>
      <c r="I95" s="89">
        <f>F95-E95</f>
        <v>157.97105999999999</v>
      </c>
      <c r="J95" s="90"/>
      <c r="K95" s="177"/>
    </row>
    <row r="96" spans="1:11" s="40" customFormat="1" ht="20.25" hidden="1" customHeight="1">
      <c r="A96" s="119" t="s">
        <v>199</v>
      </c>
      <c r="B96" s="41" t="s">
        <v>113</v>
      </c>
      <c r="C96" s="36" t="s">
        <v>8</v>
      </c>
      <c r="D96" s="37"/>
      <c r="E96" s="83">
        <f>D96*0.837</f>
        <v>0</v>
      </c>
      <c r="F96" s="37"/>
      <c r="G96" s="27">
        <f t="shared" si="22"/>
        <v>0</v>
      </c>
      <c r="H96" s="7"/>
      <c r="I96" s="89">
        <f>F96-E96</f>
        <v>0</v>
      </c>
      <c r="J96" s="90"/>
      <c r="K96" s="177"/>
    </row>
    <row r="97" spans="1:11" s="40" customFormat="1" ht="20.25" hidden="1" customHeight="1">
      <c r="A97" s="119" t="s">
        <v>200</v>
      </c>
      <c r="B97" s="41" t="s">
        <v>114</v>
      </c>
      <c r="C97" s="36" t="s">
        <v>8</v>
      </c>
      <c r="D97" s="37"/>
      <c r="E97" s="83">
        <f>D97*0.837</f>
        <v>0</v>
      </c>
      <c r="F97" s="37">
        <f>5.04985+7.71428</f>
        <v>12.76413</v>
      </c>
      <c r="G97" s="27">
        <f t="shared" si="22"/>
        <v>12.76413</v>
      </c>
      <c r="H97" s="7"/>
      <c r="I97" s="89">
        <f>F97-E97</f>
        <v>12.76413</v>
      </c>
      <c r="J97" s="90"/>
      <c r="K97" s="177"/>
    </row>
    <row r="98" spans="1:11" s="40" customFormat="1" ht="20.25" hidden="1" customHeight="1">
      <c r="A98" s="119" t="s">
        <v>201</v>
      </c>
      <c r="B98" s="41" t="s">
        <v>115</v>
      </c>
      <c r="C98" s="36" t="s">
        <v>8</v>
      </c>
      <c r="D98" s="37"/>
      <c r="E98" s="83">
        <f>D98*0.837</f>
        <v>0</v>
      </c>
      <c r="F98" s="37"/>
      <c r="G98" s="27">
        <f t="shared" si="22"/>
        <v>0</v>
      </c>
      <c r="H98" s="7"/>
      <c r="I98" s="89">
        <f>F98-E98</f>
        <v>0</v>
      </c>
      <c r="J98" s="90"/>
      <c r="K98" s="177"/>
    </row>
    <row r="99" spans="1:11" s="40" customFormat="1" ht="20.25" hidden="1" customHeight="1">
      <c r="A99" s="119" t="s">
        <v>202</v>
      </c>
      <c r="B99" s="41" t="s">
        <v>116</v>
      </c>
      <c r="C99" s="36" t="s">
        <v>8</v>
      </c>
      <c r="D99" s="37"/>
      <c r="E99" s="83">
        <f>D99*0.837</f>
        <v>0</v>
      </c>
      <c r="F99" s="37"/>
      <c r="G99" s="27">
        <f t="shared" si="22"/>
        <v>0</v>
      </c>
      <c r="H99" s="7"/>
      <c r="I99" s="89">
        <f>F99-E99</f>
        <v>0</v>
      </c>
      <c r="J99" s="90"/>
      <c r="K99" s="177"/>
    </row>
    <row r="100" spans="1:11" s="40" customFormat="1" ht="20.25" hidden="1" customHeight="1">
      <c r="A100" s="119" t="s">
        <v>203</v>
      </c>
      <c r="B100" s="41"/>
      <c r="C100" s="36"/>
      <c r="D100" s="37"/>
      <c r="E100" s="83"/>
      <c r="F100" s="37"/>
      <c r="G100" s="27"/>
      <c r="H100" s="7"/>
      <c r="I100" s="89"/>
      <c r="J100" s="90"/>
      <c r="K100" s="177"/>
    </row>
    <row r="101" spans="1:11" s="4" customFormat="1" ht="15.75" hidden="1" customHeight="1">
      <c r="A101" s="119" t="s">
        <v>198</v>
      </c>
      <c r="B101" s="6" t="s">
        <v>58</v>
      </c>
      <c r="C101" s="21" t="s">
        <v>8</v>
      </c>
      <c r="D101" s="28"/>
      <c r="E101" s="80">
        <f t="shared" si="20"/>
        <v>0</v>
      </c>
      <c r="F101" s="27"/>
      <c r="G101" s="27">
        <f t="shared" si="17"/>
        <v>0</v>
      </c>
      <c r="H101" s="7"/>
      <c r="I101" s="80">
        <f>F101-E101</f>
        <v>0</v>
      </c>
      <c r="J101" s="82"/>
      <c r="K101" s="177"/>
    </row>
    <row r="102" spans="1:11" s="4" customFormat="1" ht="15" hidden="1" customHeight="1">
      <c r="A102" s="119" t="s">
        <v>199</v>
      </c>
      <c r="B102" s="6" t="s">
        <v>127</v>
      </c>
      <c r="C102" s="21" t="s">
        <v>8</v>
      </c>
      <c r="D102" s="28"/>
      <c r="E102" s="80">
        <f t="shared" si="20"/>
        <v>0</v>
      </c>
      <c r="F102" s="27"/>
      <c r="G102" s="27">
        <f t="shared" si="17"/>
        <v>0</v>
      </c>
      <c r="H102" s="7"/>
      <c r="I102" s="80">
        <f>F102-E102</f>
        <v>0</v>
      </c>
      <c r="J102" s="82"/>
      <c r="K102" s="177"/>
    </row>
    <row r="103" spans="1:11" s="4" customFormat="1" ht="15.75" hidden="1" customHeight="1">
      <c r="A103" s="119" t="s">
        <v>200</v>
      </c>
      <c r="B103" s="6" t="s">
        <v>45</v>
      </c>
      <c r="C103" s="21" t="s">
        <v>8</v>
      </c>
      <c r="D103" s="28"/>
      <c r="E103" s="80"/>
      <c r="F103" s="28"/>
      <c r="G103" s="27">
        <f t="shared" si="17"/>
        <v>0</v>
      </c>
      <c r="H103" s="7"/>
      <c r="I103" s="85"/>
      <c r="J103" s="86"/>
      <c r="K103" s="177"/>
    </row>
    <row r="104" spans="1:11" s="40" customFormat="1" ht="15" hidden="1" customHeight="1">
      <c r="A104" s="45"/>
      <c r="B104" s="35" t="s">
        <v>137</v>
      </c>
      <c r="C104" s="36" t="s">
        <v>8</v>
      </c>
      <c r="D104" s="42"/>
      <c r="E104" s="83"/>
      <c r="F104" s="37"/>
      <c r="G104" s="27">
        <f t="shared" si="17"/>
        <v>0</v>
      </c>
      <c r="H104" s="7"/>
      <c r="I104" s="89"/>
      <c r="J104" s="90"/>
      <c r="K104" s="177"/>
    </row>
    <row r="105" spans="1:11" s="40" customFormat="1" ht="15" hidden="1" customHeight="1">
      <c r="A105" s="45"/>
      <c r="B105" s="35" t="s">
        <v>138</v>
      </c>
      <c r="C105" s="36" t="s">
        <v>8</v>
      </c>
      <c r="D105" s="42"/>
      <c r="E105" s="83"/>
      <c r="F105" s="37"/>
      <c r="G105" s="27">
        <f t="shared" si="17"/>
        <v>0</v>
      </c>
      <c r="H105" s="7"/>
      <c r="I105" s="89"/>
      <c r="J105" s="90"/>
      <c r="K105" s="177"/>
    </row>
    <row r="106" spans="1:11" s="127" customFormat="1" ht="15" customHeight="1">
      <c r="A106" s="119" t="s">
        <v>198</v>
      </c>
      <c r="B106" s="120" t="s">
        <v>174</v>
      </c>
      <c r="C106" s="121" t="s">
        <v>8</v>
      </c>
      <c r="D106" s="122"/>
      <c r="E106" s="117">
        <f t="shared" si="20"/>
        <v>0</v>
      </c>
      <c r="F106" s="123">
        <f>49.733+4.196</f>
        <v>53.928999999999995</v>
      </c>
      <c r="G106" s="123">
        <f t="shared" si="17"/>
        <v>53.928999999999995</v>
      </c>
      <c r="H106" s="124"/>
      <c r="I106" s="117">
        <f>F106-E106</f>
        <v>53.928999999999995</v>
      </c>
      <c r="J106" s="125"/>
      <c r="K106" s="177"/>
    </row>
    <row r="107" spans="1:11" s="127" customFormat="1" ht="15" customHeight="1">
      <c r="A107" s="119" t="s">
        <v>199</v>
      </c>
      <c r="B107" s="120" t="s">
        <v>59</v>
      </c>
      <c r="C107" s="121" t="s">
        <v>8</v>
      </c>
      <c r="D107" s="122"/>
      <c r="E107" s="117">
        <f t="shared" si="20"/>
        <v>0</v>
      </c>
      <c r="F107" s="123">
        <v>29.36253</v>
      </c>
      <c r="G107" s="123">
        <f t="shared" si="17"/>
        <v>29.36253</v>
      </c>
      <c r="H107" s="124"/>
      <c r="I107" s="117">
        <f>F107-E107</f>
        <v>29.36253</v>
      </c>
      <c r="J107" s="125"/>
      <c r="K107" s="177"/>
    </row>
    <row r="108" spans="1:11" s="127" customFormat="1" ht="15" customHeight="1">
      <c r="A108" s="119" t="s">
        <v>200</v>
      </c>
      <c r="B108" s="120" t="s">
        <v>154</v>
      </c>
      <c r="C108" s="121" t="s">
        <v>8</v>
      </c>
      <c r="D108" s="122"/>
      <c r="E108" s="117">
        <f t="shared" si="20"/>
        <v>0</v>
      </c>
      <c r="F108" s="123">
        <v>99.8733</v>
      </c>
      <c r="G108" s="123">
        <f t="shared" si="17"/>
        <v>99.8733</v>
      </c>
      <c r="H108" s="124"/>
      <c r="I108" s="117">
        <f>F108-E108</f>
        <v>99.8733</v>
      </c>
      <c r="J108" s="125"/>
      <c r="K108" s="178"/>
    </row>
    <row r="109" spans="1:11" s="4" customFormat="1" ht="15" hidden="1" customHeight="1">
      <c r="A109" s="43" t="s">
        <v>157</v>
      </c>
      <c r="B109" s="6" t="s">
        <v>159</v>
      </c>
      <c r="C109" s="21" t="s">
        <v>8</v>
      </c>
      <c r="D109" s="28"/>
      <c r="E109" s="80"/>
      <c r="F109" s="27"/>
      <c r="G109" s="27">
        <f t="shared" si="17"/>
        <v>0</v>
      </c>
      <c r="H109" s="7" t="e">
        <f t="shared" si="18"/>
        <v>#DIV/0!</v>
      </c>
      <c r="I109" s="80"/>
      <c r="J109" s="82"/>
      <c r="K109" s="126"/>
    </row>
    <row r="110" spans="1:11" s="4" customFormat="1" ht="15" hidden="1" customHeight="1">
      <c r="A110" s="43"/>
      <c r="B110" s="6" t="s">
        <v>158</v>
      </c>
      <c r="C110" s="21" t="s">
        <v>8</v>
      </c>
      <c r="D110" s="28"/>
      <c r="E110" s="80"/>
      <c r="F110" s="27"/>
      <c r="G110" s="27">
        <f t="shared" si="17"/>
        <v>0</v>
      </c>
      <c r="H110" s="7" t="e">
        <f t="shared" si="18"/>
        <v>#DIV/0!</v>
      </c>
      <c r="I110" s="80"/>
      <c r="J110" s="82"/>
      <c r="K110" s="126"/>
    </row>
    <row r="111" spans="1:11" s="59" customFormat="1" ht="35.25" customHeight="1">
      <c r="A111" s="54" t="s">
        <v>60</v>
      </c>
      <c r="B111" s="55" t="s">
        <v>61</v>
      </c>
      <c r="C111" s="56" t="s">
        <v>8</v>
      </c>
      <c r="D111" s="60">
        <f>SUM(D7+D64)</f>
        <v>160819</v>
      </c>
      <c r="E111" s="85">
        <f>SUM(E7+E64)</f>
        <v>134655.72930000001</v>
      </c>
      <c r="F111" s="60">
        <f>SUM(F7+F64)</f>
        <v>155985.91891900002</v>
      </c>
      <c r="G111" s="57">
        <f t="shared" si="17"/>
        <v>-4833.0810809999821</v>
      </c>
      <c r="H111" s="61">
        <f t="shared" si="18"/>
        <v>-3.0052923354827366</v>
      </c>
      <c r="I111" s="85">
        <f t="shared" ref="I111:I122" si="25">F111-E111</f>
        <v>21330.189619000012</v>
      </c>
      <c r="J111" s="85">
        <f>F111/E111*100</f>
        <v>115.84053625485062</v>
      </c>
      <c r="K111" s="142" t="s">
        <v>206</v>
      </c>
    </row>
    <row r="112" spans="1:11" s="59" customFormat="1" ht="24.75" customHeight="1">
      <c r="A112" s="54" t="s">
        <v>62</v>
      </c>
      <c r="B112" s="55" t="s">
        <v>63</v>
      </c>
      <c r="C112" s="56" t="s">
        <v>8</v>
      </c>
      <c r="D112" s="60">
        <f>D113-D111</f>
        <v>-9.9999999976716936E-2</v>
      </c>
      <c r="E112" s="86"/>
      <c r="F112" s="60">
        <f>F113-F111</f>
        <v>-21339.172778600012</v>
      </c>
      <c r="G112" s="57">
        <f t="shared" si="17"/>
        <v>-21339.072778600035</v>
      </c>
      <c r="H112" s="61"/>
      <c r="I112" s="85">
        <f t="shared" si="25"/>
        <v>-21339.172778600012</v>
      </c>
      <c r="J112" s="95"/>
      <c r="K112" s="142"/>
    </row>
    <row r="113" spans="1:15" s="59" customFormat="1" ht="35.25" customHeight="1">
      <c r="A113" s="54" t="s">
        <v>64</v>
      </c>
      <c r="B113" s="55" t="s">
        <v>65</v>
      </c>
      <c r="C113" s="56" t="s">
        <v>8</v>
      </c>
      <c r="D113" s="60">
        <f>SUM(D114:D116)</f>
        <v>160818.90000000002</v>
      </c>
      <c r="E113" s="85">
        <f t="shared" ref="E113:F113" si="26">SUM(E114:E116)</f>
        <v>134655.72863600001</v>
      </c>
      <c r="F113" s="60">
        <f>SUM(F114:F116)</f>
        <v>134646.74614040001</v>
      </c>
      <c r="G113" s="57">
        <f t="shared" si="17"/>
        <v>-26172.153859600017</v>
      </c>
      <c r="H113" s="61">
        <f t="shared" si="18"/>
        <v>-16.27430224905158</v>
      </c>
      <c r="I113" s="85">
        <f t="shared" si="25"/>
        <v>-8.9824956000084057</v>
      </c>
      <c r="J113" s="95">
        <f>F113/D113*100</f>
        <v>83.725697750948413</v>
      </c>
      <c r="K113" s="157" t="s">
        <v>207</v>
      </c>
    </row>
    <row r="114" spans="1:15" ht="15.75" customHeight="1">
      <c r="A114" s="8"/>
      <c r="B114" s="9" t="s">
        <v>85</v>
      </c>
      <c r="C114" s="22" t="s">
        <v>8</v>
      </c>
      <c r="D114" s="18">
        <v>51381.847000000002</v>
      </c>
      <c r="E114" s="83">
        <f>E118*E124</f>
        <v>45789.562000000005</v>
      </c>
      <c r="F114" s="19">
        <f>F118*F123</f>
        <v>44248.357348000005</v>
      </c>
      <c r="G114" s="27">
        <f t="shared" si="17"/>
        <v>-7133.4896519999966</v>
      </c>
      <c r="H114" s="7">
        <f t="shared" si="18"/>
        <v>-13.883287714433459</v>
      </c>
      <c r="I114" s="83">
        <f t="shared" si="25"/>
        <v>-1541.2046520000004</v>
      </c>
      <c r="J114" s="96">
        <f t="shared" ref="J114:J120" si="27">F114/D114*100</f>
        <v>86.11671228556655</v>
      </c>
      <c r="K114" s="158"/>
    </row>
    <row r="115" spans="1:15" ht="15.75" customHeight="1">
      <c r="A115" s="8"/>
      <c r="B115" s="9" t="s">
        <v>86</v>
      </c>
      <c r="C115" s="22" t="s">
        <v>8</v>
      </c>
      <c r="D115" s="18">
        <v>41872.574000000001</v>
      </c>
      <c r="E115" s="83">
        <f t="shared" ref="E115:E116" si="28">E119*E125</f>
        <v>30135.676636000004</v>
      </c>
      <c r="F115" s="19">
        <f>F119*F123</f>
        <v>30957.078932000004</v>
      </c>
      <c r="G115" s="27">
        <f t="shared" si="17"/>
        <v>-10915.495067999997</v>
      </c>
      <c r="H115" s="7">
        <f t="shared" si="18"/>
        <v>-26.068364146899579</v>
      </c>
      <c r="I115" s="83">
        <f t="shared" si="25"/>
        <v>821.40229600000021</v>
      </c>
      <c r="J115" s="96">
        <f t="shared" si="27"/>
        <v>73.931635853100417</v>
      </c>
      <c r="K115" s="158"/>
    </row>
    <row r="116" spans="1:15" ht="15.75" customHeight="1">
      <c r="A116" s="8"/>
      <c r="B116" s="9" t="s">
        <v>87</v>
      </c>
      <c r="C116" s="22" t="s">
        <v>8</v>
      </c>
      <c r="D116" s="18">
        <v>67564.479000000007</v>
      </c>
      <c r="E116" s="83">
        <f t="shared" si="28"/>
        <v>58730.490000000005</v>
      </c>
      <c r="F116" s="19">
        <f>F120*F123</f>
        <v>59441.309860400004</v>
      </c>
      <c r="G116" s="27">
        <f t="shared" si="17"/>
        <v>-8123.1691396000024</v>
      </c>
      <c r="H116" s="7">
        <f t="shared" si="18"/>
        <v>-12.022839900238115</v>
      </c>
      <c r="I116" s="83">
        <f t="shared" si="25"/>
        <v>710.81986039999902</v>
      </c>
      <c r="J116" s="96">
        <f t="shared" si="27"/>
        <v>87.977160099761889</v>
      </c>
      <c r="K116" s="172"/>
    </row>
    <row r="117" spans="1:15" s="59" customFormat="1" ht="15.75" customHeight="1">
      <c r="A117" s="54" t="s">
        <v>66</v>
      </c>
      <c r="B117" s="55" t="s">
        <v>67</v>
      </c>
      <c r="C117" s="56"/>
      <c r="D117" s="60">
        <v>320.17400000000004</v>
      </c>
      <c r="E117" s="80">
        <f>D117*0.8</f>
        <v>256.13920000000002</v>
      </c>
      <c r="F117" s="60">
        <f>SUM(F118:F120)</f>
        <v>256.37232699999998</v>
      </c>
      <c r="G117" s="57">
        <f t="shared" si="17"/>
        <v>-63.801673000000051</v>
      </c>
      <c r="H117" s="61">
        <f t="shared" si="18"/>
        <v>-19.927187404348899</v>
      </c>
      <c r="I117" s="83">
        <f t="shared" si="25"/>
        <v>0.23312699999996767</v>
      </c>
      <c r="J117" s="95">
        <f>F117/D117*100</f>
        <v>80.072812595651101</v>
      </c>
      <c r="K117" s="173" t="s">
        <v>208</v>
      </c>
    </row>
    <row r="118" spans="1:15" ht="15.75" customHeight="1">
      <c r="A118" s="17"/>
      <c r="B118" s="9" t="s">
        <v>85</v>
      </c>
      <c r="C118" s="22" t="s">
        <v>68</v>
      </c>
      <c r="D118" s="18">
        <v>102.29600000000001</v>
      </c>
      <c r="E118" s="83">
        <f>90.374-3.189</f>
        <v>87.185000000000002</v>
      </c>
      <c r="F118" s="19">
        <v>84.250489999999999</v>
      </c>
      <c r="G118" s="27">
        <f t="shared" si="17"/>
        <v>-18.045510000000007</v>
      </c>
      <c r="H118" s="7">
        <f t="shared" si="18"/>
        <v>-17.640484476421374</v>
      </c>
      <c r="I118" s="83">
        <f t="shared" si="25"/>
        <v>-2.9345100000000031</v>
      </c>
      <c r="J118" s="96">
        <f t="shared" si="27"/>
        <v>82.359515523578636</v>
      </c>
      <c r="K118" s="174"/>
    </row>
    <row r="119" spans="1:15" ht="15.75" customHeight="1">
      <c r="A119" s="17"/>
      <c r="B119" s="9" t="s">
        <v>86</v>
      </c>
      <c r="C119" s="22" t="s">
        <v>68</v>
      </c>
      <c r="D119" s="18">
        <v>83.364000000000004</v>
      </c>
      <c r="E119" s="83">
        <f>54.19043+3.189</f>
        <v>57.379429999999999</v>
      </c>
      <c r="F119" s="19">
        <v>58.94341</v>
      </c>
      <c r="G119" s="27">
        <f t="shared" si="17"/>
        <v>-24.420590000000004</v>
      </c>
      <c r="H119" s="7">
        <f t="shared" si="18"/>
        <v>-29.293927834556889</v>
      </c>
      <c r="I119" s="83">
        <f t="shared" si="25"/>
        <v>1.5639800000000008</v>
      </c>
      <c r="J119" s="96">
        <f t="shared" si="27"/>
        <v>70.706072165443118</v>
      </c>
      <c r="K119" s="174"/>
    </row>
    <row r="120" spans="1:15" ht="15.75" customHeight="1">
      <c r="A120" s="17"/>
      <c r="B120" s="9" t="s">
        <v>87</v>
      </c>
      <c r="C120" s="22" t="s">
        <v>68</v>
      </c>
      <c r="D120" s="18">
        <v>134.51400000000001</v>
      </c>
      <c r="E120" s="83">
        <v>111.825</v>
      </c>
      <c r="F120" s="19">
        <v>113.178427</v>
      </c>
      <c r="G120" s="27">
        <f t="shared" si="17"/>
        <v>-21.335573000000011</v>
      </c>
      <c r="H120" s="7">
        <f t="shared" si="18"/>
        <v>-15.861228571003769</v>
      </c>
      <c r="I120" s="83">
        <f t="shared" si="25"/>
        <v>1.3534269999999964</v>
      </c>
      <c r="J120" s="96">
        <f t="shared" si="27"/>
        <v>84.138771428996222</v>
      </c>
      <c r="K120" s="175"/>
    </row>
    <row r="121" spans="1:15" s="59" customFormat="1" ht="15.75" customHeight="1">
      <c r="A121" s="160" t="s">
        <v>72</v>
      </c>
      <c r="B121" s="162" t="s">
        <v>73</v>
      </c>
      <c r="C121" s="62" t="s">
        <v>74</v>
      </c>
      <c r="D121" s="63">
        <v>9.3000000000000007</v>
      </c>
      <c r="E121" s="63"/>
      <c r="F121" s="63">
        <v>9.3000000000000007</v>
      </c>
      <c r="G121" s="57">
        <f t="shared" si="17"/>
        <v>0</v>
      </c>
      <c r="H121" s="61">
        <f t="shared" si="18"/>
        <v>0</v>
      </c>
      <c r="I121" s="64">
        <f t="shared" si="25"/>
        <v>9.3000000000000007</v>
      </c>
      <c r="J121" s="60">
        <f t="shared" ref="J121:J122" si="29">E121/D121</f>
        <v>0</v>
      </c>
      <c r="K121" s="153"/>
    </row>
    <row r="122" spans="1:15" s="59" customFormat="1" ht="15.75" customHeight="1">
      <c r="A122" s="161"/>
      <c r="B122" s="163"/>
      <c r="C122" s="62" t="s">
        <v>68</v>
      </c>
      <c r="D122" s="63">
        <v>354.56</v>
      </c>
      <c r="E122" s="63"/>
      <c r="F122" s="63"/>
      <c r="G122" s="57">
        <f t="shared" si="17"/>
        <v>-354.56</v>
      </c>
      <c r="H122" s="61">
        <f t="shared" si="18"/>
        <v>-100</v>
      </c>
      <c r="I122" s="64">
        <f t="shared" si="25"/>
        <v>0</v>
      </c>
      <c r="J122" s="60">
        <f t="shared" si="29"/>
        <v>0</v>
      </c>
      <c r="K122" s="116"/>
    </row>
    <row r="123" spans="1:15" s="59" customFormat="1" ht="15.75" customHeight="1">
      <c r="A123" s="54" t="s">
        <v>69</v>
      </c>
      <c r="B123" s="55" t="s">
        <v>70</v>
      </c>
      <c r="C123" s="62" t="s">
        <v>71</v>
      </c>
      <c r="D123" s="63">
        <v>502.286</v>
      </c>
      <c r="E123" s="97"/>
      <c r="F123" s="63">
        <v>525.20000000000005</v>
      </c>
      <c r="G123" s="57">
        <f t="shared" si="17"/>
        <v>22.914000000000044</v>
      </c>
      <c r="H123" s="61">
        <f t="shared" si="18"/>
        <v>4.5619427975297029</v>
      </c>
      <c r="I123" s="97"/>
      <c r="J123" s="98"/>
      <c r="K123" s="154"/>
    </row>
    <row r="124" spans="1:15" ht="15.75" customHeight="1">
      <c r="A124" s="8"/>
      <c r="B124" s="9" t="s">
        <v>85</v>
      </c>
      <c r="C124" s="23" t="s">
        <v>71</v>
      </c>
      <c r="D124" s="26">
        <v>525.20000000000005</v>
      </c>
      <c r="E124" s="113">
        <v>525.20000000000005</v>
      </c>
      <c r="F124" s="26">
        <v>525.20000000000005</v>
      </c>
      <c r="G124" s="27">
        <f t="shared" si="17"/>
        <v>0</v>
      </c>
      <c r="H124" s="7">
        <f t="shared" si="18"/>
        <v>0</v>
      </c>
      <c r="I124" s="83"/>
      <c r="J124" s="99"/>
      <c r="K124" s="143"/>
    </row>
    <row r="125" spans="1:15" ht="15.75" customHeight="1">
      <c r="A125" s="8"/>
      <c r="B125" s="9" t="s">
        <v>86</v>
      </c>
      <c r="C125" s="23" t="s">
        <v>71</v>
      </c>
      <c r="D125" s="26">
        <v>525.20000000000005</v>
      </c>
      <c r="E125" s="113">
        <v>525.20000000000005</v>
      </c>
      <c r="F125" s="26">
        <v>525.20000000000005</v>
      </c>
      <c r="G125" s="27">
        <f t="shared" si="17"/>
        <v>0</v>
      </c>
      <c r="H125" s="7">
        <f t="shared" si="18"/>
        <v>0</v>
      </c>
      <c r="I125" s="83"/>
      <c r="J125" s="99"/>
      <c r="K125" s="143"/>
      <c r="O125" s="3" t="s">
        <v>141</v>
      </c>
    </row>
    <row r="126" spans="1:15" ht="15.75" customHeight="1">
      <c r="A126" s="8"/>
      <c r="B126" s="9" t="s">
        <v>87</v>
      </c>
      <c r="C126" s="23" t="s">
        <v>71</v>
      </c>
      <c r="D126" s="26">
        <v>525.20000000000005</v>
      </c>
      <c r="E126" s="113">
        <v>525.20000000000005</v>
      </c>
      <c r="F126" s="26">
        <v>525.20000000000005</v>
      </c>
      <c r="G126" s="27">
        <f t="shared" si="17"/>
        <v>0</v>
      </c>
      <c r="H126" s="7">
        <f t="shared" si="18"/>
        <v>0</v>
      </c>
      <c r="I126" s="83"/>
      <c r="J126" s="99"/>
      <c r="K126" s="143"/>
    </row>
    <row r="127" spans="1:15" s="68" customFormat="1" ht="18" customHeight="1">
      <c r="A127" s="65" t="s">
        <v>75</v>
      </c>
      <c r="B127" s="66" t="s">
        <v>76</v>
      </c>
      <c r="C127" s="67" t="s">
        <v>77</v>
      </c>
      <c r="D127" s="65">
        <f>SUM(D128:D129)</f>
        <v>152</v>
      </c>
      <c r="E127" s="100"/>
      <c r="F127" s="65">
        <f>SUM(F128:F129)</f>
        <v>90</v>
      </c>
      <c r="G127" s="57">
        <f t="shared" si="17"/>
        <v>-62</v>
      </c>
      <c r="H127" s="61">
        <f t="shared" si="18"/>
        <v>-40.789473684210527</v>
      </c>
      <c r="I127" s="100">
        <f t="shared" ref="I127:I132" si="30">F127-E127</f>
        <v>90</v>
      </c>
      <c r="J127" s="101"/>
      <c r="K127" s="155"/>
    </row>
    <row r="128" spans="1:15" s="13" customFormat="1" ht="18" customHeight="1">
      <c r="A128" s="11"/>
      <c r="B128" s="10" t="s">
        <v>78</v>
      </c>
      <c r="C128" s="23" t="s">
        <v>77</v>
      </c>
      <c r="D128" s="12">
        <v>130</v>
      </c>
      <c r="E128" s="102"/>
      <c r="F128" s="12">
        <v>77</v>
      </c>
      <c r="G128" s="27">
        <f t="shared" si="17"/>
        <v>-53</v>
      </c>
      <c r="H128" s="7">
        <f t="shared" si="18"/>
        <v>-40.769230769230766</v>
      </c>
      <c r="I128" s="102">
        <f t="shared" si="30"/>
        <v>77</v>
      </c>
      <c r="J128" s="103"/>
      <c r="K128" s="144"/>
    </row>
    <row r="129" spans="1:11" s="13" customFormat="1" ht="18" customHeight="1">
      <c r="A129" s="11"/>
      <c r="B129" s="10" t="s">
        <v>79</v>
      </c>
      <c r="C129" s="23" t="s">
        <v>77</v>
      </c>
      <c r="D129" s="12">
        <v>22</v>
      </c>
      <c r="E129" s="102"/>
      <c r="F129" s="12">
        <v>13</v>
      </c>
      <c r="G129" s="27">
        <f t="shared" si="17"/>
        <v>-9</v>
      </c>
      <c r="H129" s="7">
        <f t="shared" si="18"/>
        <v>-40.909090909090914</v>
      </c>
      <c r="I129" s="102">
        <f t="shared" si="30"/>
        <v>13</v>
      </c>
      <c r="J129" s="103"/>
      <c r="K129" s="144"/>
    </row>
    <row r="130" spans="1:11" s="72" customFormat="1">
      <c r="A130" s="69" t="s">
        <v>80</v>
      </c>
      <c r="B130" s="70" t="s">
        <v>81</v>
      </c>
      <c r="C130" s="71" t="s">
        <v>71</v>
      </c>
      <c r="D130" s="60">
        <v>69173.600000000006</v>
      </c>
      <c r="E130" s="85"/>
      <c r="F130" s="60">
        <f>(F15+F71)/12/F127*1000</f>
        <v>78603.854629629626</v>
      </c>
      <c r="G130" s="57">
        <f t="shared" si="17"/>
        <v>9430.2546296296205</v>
      </c>
      <c r="H130" s="61">
        <f t="shared" si="18"/>
        <v>13.632736520333797</v>
      </c>
      <c r="I130" s="85">
        <f t="shared" si="30"/>
        <v>78603.854629629626</v>
      </c>
      <c r="J130" s="104"/>
      <c r="K130" s="156"/>
    </row>
    <row r="131" spans="1:11">
      <c r="A131" s="14"/>
      <c r="B131" s="15" t="s">
        <v>82</v>
      </c>
      <c r="C131" s="24" t="s">
        <v>71</v>
      </c>
      <c r="D131" s="18">
        <v>68601.399999999994</v>
      </c>
      <c r="E131" s="87"/>
      <c r="F131" s="18">
        <f>F15/12/F128*1000</f>
        <v>76181.847402597414</v>
      </c>
      <c r="G131" s="27">
        <f t="shared" si="17"/>
        <v>7580.4474025974196</v>
      </c>
      <c r="H131" s="7">
        <f t="shared" si="18"/>
        <v>11.049989362604</v>
      </c>
      <c r="I131" s="83">
        <f t="shared" si="30"/>
        <v>76181.847402597414</v>
      </c>
      <c r="J131" s="105"/>
      <c r="K131" s="149"/>
    </row>
    <row r="132" spans="1:11">
      <c r="A132" s="15"/>
      <c r="B132" s="15" t="s">
        <v>83</v>
      </c>
      <c r="C132" s="24" t="s">
        <v>71</v>
      </c>
      <c r="D132" s="18">
        <v>77356.600000000006</v>
      </c>
      <c r="E132" s="87"/>
      <c r="F132" s="18">
        <f>F71/12/F129*1000</f>
        <v>92949.589743589735</v>
      </c>
      <c r="G132" s="27">
        <f t="shared" si="17"/>
        <v>15592.989743589729</v>
      </c>
      <c r="H132" s="7">
        <f t="shared" si="18"/>
        <v>20.157284244123613</v>
      </c>
      <c r="I132" s="83">
        <f t="shared" si="30"/>
        <v>92949.589743589735</v>
      </c>
      <c r="J132" s="105"/>
      <c r="K132" s="149"/>
    </row>
    <row r="133" spans="1:11" s="31" customFormat="1" ht="63" customHeight="1">
      <c r="A133" s="29"/>
      <c r="B133" s="29" t="s">
        <v>168</v>
      </c>
      <c r="C133" s="30"/>
      <c r="E133" s="110"/>
      <c r="F133" s="29" t="s">
        <v>169</v>
      </c>
      <c r="I133" s="106"/>
      <c r="J133" s="107"/>
      <c r="K133" s="150"/>
    </row>
    <row r="134" spans="1:11" s="31" customFormat="1" ht="63" customHeight="1">
      <c r="A134" s="29"/>
      <c r="B134" s="29" t="s">
        <v>140</v>
      </c>
      <c r="C134" s="32"/>
      <c r="E134" s="110"/>
      <c r="F134" s="29" t="s">
        <v>170</v>
      </c>
      <c r="I134" s="108"/>
      <c r="J134" s="107"/>
      <c r="K134" s="150"/>
    </row>
    <row r="135" spans="1:11" s="31" customFormat="1" ht="63" customHeight="1">
      <c r="A135" s="33"/>
      <c r="B135" s="29" t="s">
        <v>139</v>
      </c>
      <c r="C135" s="33"/>
      <c r="E135" s="110"/>
      <c r="F135" s="29" t="s">
        <v>171</v>
      </c>
      <c r="I135" s="109"/>
      <c r="J135" s="110"/>
      <c r="K135" s="150"/>
    </row>
  </sheetData>
  <mergeCells count="17">
    <mergeCell ref="K52:K54"/>
    <mergeCell ref="K45:K49"/>
    <mergeCell ref="K64:K68"/>
    <mergeCell ref="K77:K81"/>
    <mergeCell ref="J1:K1"/>
    <mergeCell ref="A121:A122"/>
    <mergeCell ref="B121:B122"/>
    <mergeCell ref="A4:J4"/>
    <mergeCell ref="A3:J3"/>
    <mergeCell ref="A5:J5"/>
    <mergeCell ref="K7:K19"/>
    <mergeCell ref="K30:K34"/>
    <mergeCell ref="K36:K42"/>
    <mergeCell ref="K113:K116"/>
    <mergeCell ref="K117:K120"/>
    <mergeCell ref="K91:K108"/>
    <mergeCell ref="K83:K88"/>
  </mergeCells>
  <pageMargins left="0.62992125984251968" right="0.15748031496062992" top="0.48" bottom="0.23622047244094491" header="0.31496062992125984" footer="0.31496062992125984"/>
  <pageSetup paperSize="9" scale="58" orientation="landscape" r:id="rId1"/>
  <rowBreaks count="2" manualBreakCount="2">
    <brk id="63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ИТС по МТ за18г</vt:lpstr>
      <vt:lpstr>'ИТС по МТ за18г'!Заголовки_для_печати</vt:lpstr>
      <vt:lpstr>'ИТС по МТ за18г'!Область_печати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2019-04-25T06:39:15Z</dcterms:modified>
</cp:coreProperties>
</file>