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сведения" sheetId="4" r:id="rId1"/>
    <sheet name="отчет" sheetId="3" r:id="rId2"/>
  </sheets>
  <externalReferences>
    <externalReference r:id="rId3"/>
  </externalReferences>
  <definedNames>
    <definedName name="АБП">'[1]Служебный ФКРБ'!$A$2:$A$136</definedName>
    <definedName name="ВидПредмета">'[1]Вид предмета'!$A$1:$A$3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OFFSET([1]ОПГЗ!$A$1,MATCH('[1]План ГЗ'!$P1,[1]ОПГЗ!$A$1:$A$65536,0)-1,1,COUNTIF([1]ОПГЗ!$A$1:$A$65536,'[1]План ГЗ'!$P1),1)</definedName>
    <definedName name="Подпрограмма">'[1]Служебный ФКРБ'!$C$2:$C$31</definedName>
    <definedName name="Программа">'[1]Служебный ФКРБ'!$B$2:$B$145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R117" i="4"/>
  <c r="J110"/>
  <c r="O107"/>
  <c r="O101" s="1"/>
  <c r="L107"/>
  <c r="O106"/>
  <c r="M106"/>
  <c r="L106"/>
  <c r="L101" s="1"/>
  <c r="M102"/>
  <c r="J102"/>
  <c r="N101"/>
  <c r="M101"/>
  <c r="K101"/>
  <c r="J101"/>
  <c r="I101"/>
  <c r="F101"/>
  <c r="H101" s="1"/>
  <c r="H100"/>
  <c r="F100"/>
  <c r="I99"/>
  <c r="M98"/>
  <c r="L98"/>
  <c r="L96" s="1"/>
  <c r="I98"/>
  <c r="I97"/>
  <c r="O96"/>
  <c r="N96"/>
  <c r="M96"/>
  <c r="K96"/>
  <c r="J96"/>
  <c r="I96"/>
  <c r="F96"/>
  <c r="H96" s="1"/>
  <c r="I94"/>
  <c r="I91" s="1"/>
  <c r="O91"/>
  <c r="N91"/>
  <c r="M91"/>
  <c r="L91"/>
  <c r="K91"/>
  <c r="J91"/>
  <c r="H91"/>
  <c r="F91"/>
  <c r="F90"/>
  <c r="H90" s="1"/>
  <c r="H89"/>
  <c r="F89"/>
  <c r="I88"/>
  <c r="K85"/>
  <c r="K84"/>
  <c r="K83" s="1"/>
  <c r="O83"/>
  <c r="N83"/>
  <c r="M83"/>
  <c r="L83"/>
  <c r="J83"/>
  <c r="I83"/>
  <c r="H83"/>
  <c r="F83"/>
  <c r="M82"/>
  <c r="L82"/>
  <c r="M80"/>
  <c r="L80"/>
  <c r="K80"/>
  <c r="J80"/>
  <c r="I80"/>
  <c r="H80"/>
  <c r="F80"/>
  <c r="F79"/>
  <c r="H79" s="1"/>
  <c r="H78"/>
  <c r="F78"/>
  <c r="O76"/>
  <c r="M76"/>
  <c r="M72" s="1"/>
  <c r="M67" s="1"/>
  <c r="M66" s="1"/>
  <c r="H76"/>
  <c r="F76"/>
  <c r="F75"/>
  <c r="H75" s="1"/>
  <c r="J74"/>
  <c r="I74"/>
  <c r="F74"/>
  <c r="H74" s="1"/>
  <c r="E74"/>
  <c r="F73"/>
  <c r="H73" s="1"/>
  <c r="H72" s="1"/>
  <c r="O72"/>
  <c r="N72"/>
  <c r="L72"/>
  <c r="K72"/>
  <c r="J72"/>
  <c r="I72"/>
  <c r="F72"/>
  <c r="E72"/>
  <c r="F71"/>
  <c r="H71" s="1"/>
  <c r="H70"/>
  <c r="F70"/>
  <c r="I69"/>
  <c r="F69"/>
  <c r="H69" s="1"/>
  <c r="H68" s="1"/>
  <c r="O68"/>
  <c r="O67" s="1"/>
  <c r="O66" s="1"/>
  <c r="N68"/>
  <c r="M68"/>
  <c r="L68"/>
  <c r="K68"/>
  <c r="K67" s="1"/>
  <c r="K66" s="1"/>
  <c r="J68"/>
  <c r="I68"/>
  <c r="E68"/>
  <c r="N67"/>
  <c r="J67"/>
  <c r="J66" s="1"/>
  <c r="J117" s="1"/>
  <c r="J118" s="1"/>
  <c r="E67"/>
  <c r="E66" s="1"/>
  <c r="K61"/>
  <c r="F61"/>
  <c r="H61" s="1"/>
  <c r="H60"/>
  <c r="F60"/>
  <c r="F59"/>
  <c r="H59" s="1"/>
  <c r="H58"/>
  <c r="F58"/>
  <c r="F57"/>
  <c r="H57" s="1"/>
  <c r="H56"/>
  <c r="F56"/>
  <c r="F55"/>
  <c r="H55" s="1"/>
  <c r="H54"/>
  <c r="F54"/>
  <c r="I52"/>
  <c r="I51"/>
  <c r="I50"/>
  <c r="I49"/>
  <c r="J48"/>
  <c r="I48"/>
  <c r="H48"/>
  <c r="F48"/>
  <c r="I45"/>
  <c r="K44"/>
  <c r="K38" s="1"/>
  <c r="K34" s="1"/>
  <c r="J38"/>
  <c r="I38"/>
  <c r="H38"/>
  <c r="F38"/>
  <c r="F37"/>
  <c r="H37" s="1"/>
  <c r="H35"/>
  <c r="F35"/>
  <c r="F34" s="1"/>
  <c r="O34"/>
  <c r="N34"/>
  <c r="M34"/>
  <c r="L34"/>
  <c r="J34"/>
  <c r="I34"/>
  <c r="E34"/>
  <c r="M33"/>
  <c r="M31" s="1"/>
  <c r="M16" s="1"/>
  <c r="L33"/>
  <c r="L31" s="1"/>
  <c r="L16" s="1"/>
  <c r="E33"/>
  <c r="F33" s="1"/>
  <c r="H32"/>
  <c r="F32"/>
  <c r="O31"/>
  <c r="N31"/>
  <c r="K31"/>
  <c r="J31"/>
  <c r="I31"/>
  <c r="E31"/>
  <c r="O27"/>
  <c r="Q117" s="1"/>
  <c r="L27"/>
  <c r="F27"/>
  <c r="H27" s="1"/>
  <c r="H26"/>
  <c r="M25"/>
  <c r="L25"/>
  <c r="H25"/>
  <c r="F25"/>
  <c r="F21" s="1"/>
  <c r="F24"/>
  <c r="H24" s="1"/>
  <c r="J23"/>
  <c r="I23"/>
  <c r="E23"/>
  <c r="F23" s="1"/>
  <c r="H23" s="1"/>
  <c r="H22"/>
  <c r="H21" s="1"/>
  <c r="F22"/>
  <c r="O21"/>
  <c r="N21"/>
  <c r="M21"/>
  <c r="L21"/>
  <c r="K21"/>
  <c r="J21"/>
  <c r="I21"/>
  <c r="E21"/>
  <c r="H20"/>
  <c r="F20"/>
  <c r="F19"/>
  <c r="H19" s="1"/>
  <c r="I18"/>
  <c r="I17" s="1"/>
  <c r="I16" s="1"/>
  <c r="F18"/>
  <c r="H18" s="1"/>
  <c r="H17" s="1"/>
  <c r="O17"/>
  <c r="O16" s="1"/>
  <c r="N17"/>
  <c r="N16" s="1"/>
  <c r="M17"/>
  <c r="L17"/>
  <c r="K17"/>
  <c r="J17"/>
  <c r="J16" s="1"/>
  <c r="F17"/>
  <c r="E17"/>
  <c r="E16" s="1"/>
  <c r="H33" l="1"/>
  <c r="H31" s="1"/>
  <c r="H16" s="1"/>
  <c r="F31"/>
  <c r="F16" s="1"/>
  <c r="K16"/>
  <c r="E117"/>
  <c r="E119" s="1"/>
  <c r="M117"/>
  <c r="M118" s="1"/>
  <c r="H34"/>
  <c r="L67"/>
  <c r="L66" s="1"/>
  <c r="L117" s="1"/>
  <c r="L118" s="1"/>
  <c r="H67"/>
  <c r="H66" s="1"/>
  <c r="I67"/>
  <c r="I66" s="1"/>
  <c r="I117" s="1"/>
  <c r="I118" s="1"/>
  <c r="K117"/>
  <c r="K118" s="1"/>
  <c r="O117"/>
  <c r="O118" s="1"/>
  <c r="F68"/>
  <c r="F67" s="1"/>
  <c r="F66" s="1"/>
  <c r="H117" l="1"/>
  <c r="F117"/>
  <c r="E121"/>
  <c r="H119"/>
  <c r="J110" i="3" l="1"/>
  <c r="O107"/>
  <c r="O101" s="1"/>
  <c r="L107"/>
  <c r="O106"/>
  <c r="M106"/>
  <c r="L106"/>
  <c r="L101" s="1"/>
  <c r="M102"/>
  <c r="J102"/>
  <c r="N101"/>
  <c r="K101"/>
  <c r="I101"/>
  <c r="F101"/>
  <c r="H101" s="1"/>
  <c r="F100"/>
  <c r="H100" s="1"/>
  <c r="I99"/>
  <c r="M98"/>
  <c r="M96" s="1"/>
  <c r="L98"/>
  <c r="L96" s="1"/>
  <c r="I98"/>
  <c r="I97"/>
  <c r="O96"/>
  <c r="N96"/>
  <c r="K96"/>
  <c r="J96"/>
  <c r="F96"/>
  <c r="H96" s="1"/>
  <c r="I94"/>
  <c r="I91" s="1"/>
  <c r="O91"/>
  <c r="N91"/>
  <c r="M91"/>
  <c r="L91"/>
  <c r="K91"/>
  <c r="J91"/>
  <c r="F91"/>
  <c r="H91" s="1"/>
  <c r="F90"/>
  <c r="H90" s="1"/>
  <c r="F89"/>
  <c r="H89" s="1"/>
  <c r="I88"/>
  <c r="K85"/>
  <c r="K84"/>
  <c r="O83"/>
  <c r="N83"/>
  <c r="M83"/>
  <c r="L83"/>
  <c r="J83"/>
  <c r="I83"/>
  <c r="F83"/>
  <c r="H83" s="1"/>
  <c r="M82"/>
  <c r="M80" s="1"/>
  <c r="L82"/>
  <c r="L80" s="1"/>
  <c r="K80"/>
  <c r="J80"/>
  <c r="I80"/>
  <c r="F80"/>
  <c r="H80" s="1"/>
  <c r="F79"/>
  <c r="H79" s="1"/>
  <c r="H78"/>
  <c r="F78"/>
  <c r="O76"/>
  <c r="M76"/>
  <c r="M72" s="1"/>
  <c r="H76"/>
  <c r="F76"/>
  <c r="F75"/>
  <c r="H75" s="1"/>
  <c r="J74"/>
  <c r="I74"/>
  <c r="E74"/>
  <c r="F74" s="1"/>
  <c r="H74" s="1"/>
  <c r="F73"/>
  <c r="H73" s="1"/>
  <c r="O72"/>
  <c r="N72"/>
  <c r="L72"/>
  <c r="K72"/>
  <c r="J72"/>
  <c r="I72"/>
  <c r="E72"/>
  <c r="F71"/>
  <c r="H71" s="1"/>
  <c r="F70"/>
  <c r="H70" s="1"/>
  <c r="I69"/>
  <c r="F69"/>
  <c r="O68"/>
  <c r="N68"/>
  <c r="M68"/>
  <c r="L68"/>
  <c r="K68"/>
  <c r="J68"/>
  <c r="I68"/>
  <c r="E68"/>
  <c r="E67" s="1"/>
  <c r="E66" s="1"/>
  <c r="K61"/>
  <c r="F61"/>
  <c r="H61" s="1"/>
  <c r="F60"/>
  <c r="H60" s="1"/>
  <c r="F59"/>
  <c r="H59" s="1"/>
  <c r="F58"/>
  <c r="H58" s="1"/>
  <c r="F57"/>
  <c r="H57" s="1"/>
  <c r="H56"/>
  <c r="F56"/>
  <c r="F55"/>
  <c r="H55" s="1"/>
  <c r="H54"/>
  <c r="F54"/>
  <c r="I52"/>
  <c r="I51"/>
  <c r="I50"/>
  <c r="I49"/>
  <c r="J48"/>
  <c r="F48"/>
  <c r="H48" s="1"/>
  <c r="I45"/>
  <c r="I38" s="1"/>
  <c r="K44"/>
  <c r="K38" s="1"/>
  <c r="J38"/>
  <c r="J34" s="1"/>
  <c r="F38"/>
  <c r="H38" s="1"/>
  <c r="F37"/>
  <c r="H37" s="1"/>
  <c r="F35"/>
  <c r="H35" s="1"/>
  <c r="O34"/>
  <c r="N34"/>
  <c r="M34"/>
  <c r="L34"/>
  <c r="E34"/>
  <c r="M33"/>
  <c r="M31" s="1"/>
  <c r="L33"/>
  <c r="L31" s="1"/>
  <c r="E33"/>
  <c r="F33" s="1"/>
  <c r="F32"/>
  <c r="H32" s="1"/>
  <c r="O31"/>
  <c r="N31"/>
  <c r="K31"/>
  <c r="J31"/>
  <c r="I31"/>
  <c r="E31"/>
  <c r="O27"/>
  <c r="Q117" s="1"/>
  <c r="L27"/>
  <c r="F27"/>
  <c r="H27" s="1"/>
  <c r="H26"/>
  <c r="M25"/>
  <c r="L25"/>
  <c r="L21" s="1"/>
  <c r="F25"/>
  <c r="F24"/>
  <c r="H24" s="1"/>
  <c r="J23"/>
  <c r="I23"/>
  <c r="E23"/>
  <c r="F23" s="1"/>
  <c r="H23" s="1"/>
  <c r="H22"/>
  <c r="F22"/>
  <c r="O21"/>
  <c r="N21"/>
  <c r="M21"/>
  <c r="K21"/>
  <c r="J21"/>
  <c r="I21"/>
  <c r="E21"/>
  <c r="F20"/>
  <c r="H20" s="1"/>
  <c r="F19"/>
  <c r="H19" s="1"/>
  <c r="I18"/>
  <c r="I17" s="1"/>
  <c r="F18"/>
  <c r="H18" s="1"/>
  <c r="O17"/>
  <c r="N17"/>
  <c r="M17"/>
  <c r="L17"/>
  <c r="K17"/>
  <c r="J17"/>
  <c r="E17"/>
  <c r="M101" l="1"/>
  <c r="J101"/>
  <c r="J67" s="1"/>
  <c r="J66" s="1"/>
  <c r="F68"/>
  <c r="I48"/>
  <c r="I34" s="1"/>
  <c r="O16"/>
  <c r="H72"/>
  <c r="R117"/>
  <c r="I96"/>
  <c r="I67" s="1"/>
  <c r="I66" s="1"/>
  <c r="F21"/>
  <c r="N67"/>
  <c r="M67"/>
  <c r="M66" s="1"/>
  <c r="J16"/>
  <c r="E16"/>
  <c r="E117" s="1"/>
  <c r="E119" s="1"/>
  <c r="H17"/>
  <c r="H25"/>
  <c r="H21" s="1"/>
  <c r="L16"/>
  <c r="K34"/>
  <c r="F72"/>
  <c r="F67" s="1"/>
  <c r="F66" s="1"/>
  <c r="N16"/>
  <c r="F17"/>
  <c r="I16"/>
  <c r="M16"/>
  <c r="F34"/>
  <c r="O67"/>
  <c r="O66" s="1"/>
  <c r="K83"/>
  <c r="K67" s="1"/>
  <c r="K66" s="1"/>
  <c r="H33"/>
  <c r="H31" s="1"/>
  <c r="F31"/>
  <c r="K16"/>
  <c r="H34"/>
  <c r="L67"/>
  <c r="L66" s="1"/>
  <c r="H69"/>
  <c r="H68" s="1"/>
  <c r="H67" s="1"/>
  <c r="H66" s="1"/>
  <c r="M117" l="1"/>
  <c r="M118" s="1"/>
  <c r="L117"/>
  <c r="L118" s="1"/>
  <c r="O117"/>
  <c r="O118" s="1"/>
  <c r="F16"/>
  <c r="F117" s="1"/>
  <c r="J117"/>
  <c r="J118" s="1"/>
  <c r="K117"/>
  <c r="K118" s="1"/>
  <c r="I117"/>
  <c r="I118" s="1"/>
  <c r="H16"/>
  <c r="H117" s="1"/>
  <c r="H119"/>
  <c r="E121"/>
</calcChain>
</file>

<file path=xl/sharedStrings.xml><?xml version="1.0" encoding="utf-8"?>
<sst xmlns="http://schemas.openxmlformats.org/spreadsheetml/2006/main" count="508" uniqueCount="192">
  <si>
    <t>№ п/п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</si>
  <si>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</si>
  <si>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</si>
  <si>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</si>
  <si>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</si>
  <si>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1.1.</t>
  </si>
  <si>
    <t xml:space="preserve">Амортизация </t>
  </si>
  <si>
    <t>Ремонт всего, в том числе</t>
  </si>
  <si>
    <t xml:space="preserve">капитальный ремонт, не приводящий к увеличению стоимости основных средств </t>
  </si>
  <si>
    <t>Содержание  зданий и сооружений</t>
  </si>
  <si>
    <t>4.1.</t>
  </si>
  <si>
    <t>4.2.</t>
  </si>
  <si>
    <t>Коммунальные расходы, пр. деят.</t>
  </si>
  <si>
    <t>Охрана труда и техника безопасности</t>
  </si>
  <si>
    <t>Пропуск паводковых вод</t>
  </si>
  <si>
    <t>Оплата за химический анализ воды</t>
  </si>
  <si>
    <t>Автотранспортные услуги</t>
  </si>
  <si>
    <t>Услуги по обслуживанию тревожной кнопки</t>
  </si>
  <si>
    <t>II.</t>
  </si>
  <si>
    <t>Расходы периода всего:</t>
  </si>
  <si>
    <t>Общие и административные всего, в том числе</t>
  </si>
  <si>
    <t>5.1.</t>
  </si>
  <si>
    <t>сырье и материалы, всего, в том числе</t>
  </si>
  <si>
    <t>запасные части</t>
  </si>
  <si>
    <t>ГСМ</t>
  </si>
  <si>
    <t>5.2.</t>
  </si>
  <si>
    <t>электроэнергия</t>
  </si>
  <si>
    <t>5.3.</t>
  </si>
  <si>
    <t>Расходы на оплату труда, всего, в т.ч.</t>
  </si>
  <si>
    <t>заработная плата админстративного персонала</t>
  </si>
  <si>
    <t>социальный налог</t>
  </si>
  <si>
    <t>5.4.</t>
  </si>
  <si>
    <t>услуги банка</t>
  </si>
  <si>
    <t>5.5.</t>
  </si>
  <si>
    <t>амортизация немат.активов</t>
  </si>
  <si>
    <t>5.6.</t>
  </si>
  <si>
    <t>5.7.</t>
  </si>
  <si>
    <t>коммунальные услуги</t>
  </si>
  <si>
    <t>Обслуживание базы "Закон"</t>
  </si>
  <si>
    <t>Командировочные расходы</t>
  </si>
  <si>
    <t>Представительские расходы, связь, периодическая печать</t>
  </si>
  <si>
    <t>5.11.</t>
  </si>
  <si>
    <t>налоговые платежи</t>
  </si>
  <si>
    <t>5.12.</t>
  </si>
  <si>
    <t>плата за загрязнение окружающей среды</t>
  </si>
  <si>
    <t>другие расходы</t>
  </si>
  <si>
    <t>III</t>
  </si>
  <si>
    <t>Всего затрат</t>
  </si>
  <si>
    <t>IV</t>
  </si>
  <si>
    <t>V</t>
  </si>
  <si>
    <t>Всего доходов</t>
  </si>
  <si>
    <t>VI</t>
  </si>
  <si>
    <t>Объем оказываемых услуг</t>
  </si>
  <si>
    <t>тыс.м.3</t>
  </si>
  <si>
    <t>VII</t>
  </si>
  <si>
    <t>Тариф (без НДС)</t>
  </si>
  <si>
    <t>тенге/м3</t>
  </si>
  <si>
    <t>Д.Абдикамитов</t>
  </si>
  <si>
    <t>Согласно Приложению 2</t>
  </si>
  <si>
    <t>Фактически сложившиеся показатели тарифной сметы</t>
  </si>
  <si>
    <t>СВЕДЕНИЯ</t>
  </si>
  <si>
    <t>об исполнении тарифной сметы по регулируемому виду деятельности: Услуги по регулированию  поверхностного стока при помощи подпорныхгидротехнических сооружений.</t>
  </si>
  <si>
    <t>Индекс ИТС-1</t>
  </si>
  <si>
    <t>Периодичность: полугодовая</t>
  </si>
  <si>
    <r>
      <t>Адрес электронной почты:</t>
    </r>
    <r>
      <rPr>
        <b/>
        <u/>
        <sz val="10"/>
        <color theme="1"/>
        <rFont val="Times New Roman"/>
        <family val="1"/>
        <charset val="204"/>
      </rPr>
      <t xml:space="preserve"> kvodhoz65@mail.ru</t>
    </r>
  </si>
  <si>
    <r>
      <t xml:space="preserve">Адрес: </t>
    </r>
    <r>
      <rPr>
        <u/>
        <sz val="10"/>
        <color theme="1"/>
        <rFont val="Times New Roman"/>
        <family val="1"/>
        <charset val="204"/>
      </rPr>
      <t>г.Костанай улица Академика Ш.Шаяхметова 117</t>
    </r>
  </si>
  <si>
    <r>
      <t xml:space="preserve">Наименование организации:  </t>
    </r>
    <r>
      <rPr>
        <u/>
        <sz val="10"/>
        <color theme="1"/>
        <rFont val="Times New Roman"/>
        <family val="1"/>
        <charset val="204"/>
      </rPr>
      <t>Костанайский филиал РГП на ПХВ "Казводхоз"</t>
    </r>
  </si>
  <si>
    <t>Телефон: 8(7142)57-44-46</t>
  </si>
  <si>
    <t>Директор</t>
  </si>
  <si>
    <t>Гл.экономист</t>
  </si>
  <si>
    <t>Е.Очешлюк</t>
  </si>
  <si>
    <t>ОТЧЕТ</t>
  </si>
  <si>
    <t>наименование показателей</t>
  </si>
  <si>
    <t>-//-</t>
  </si>
  <si>
    <t>1.2.</t>
  </si>
  <si>
    <t>горюче-смазочные материалы</t>
  </si>
  <si>
    <t>1.3.</t>
  </si>
  <si>
    <t>2.</t>
  </si>
  <si>
    <t>2.1.</t>
  </si>
  <si>
    <t>Заработная плата производственного персонала</t>
  </si>
  <si>
    <t>2.2.</t>
  </si>
  <si>
    <t>Социальный налог</t>
  </si>
  <si>
    <t>5</t>
  </si>
  <si>
    <t>Прочие затраты всего, в том числе</t>
  </si>
  <si>
    <t>Техническое обслуживание и ремонт системы видеонаблюдения</t>
  </si>
  <si>
    <t>Техническое обслуживание и ремонт средств пожарной сигнализации</t>
  </si>
  <si>
    <t>Услуги по ежегодн.обязат.медосмотру</t>
  </si>
  <si>
    <t>Утилизация (ртуть содержащих ламп,отработанных масел,отработанных аккмуляторных батарей,использованных шин )</t>
  </si>
  <si>
    <t>6.</t>
  </si>
  <si>
    <t>6.1.</t>
  </si>
  <si>
    <t>6.1.1.</t>
  </si>
  <si>
    <t>6.1.2.</t>
  </si>
  <si>
    <t>6.1.3</t>
  </si>
  <si>
    <t>6.2.</t>
  </si>
  <si>
    <t>6.2.1.</t>
  </si>
  <si>
    <t>6.2.2.</t>
  </si>
  <si>
    <t>6.3.</t>
  </si>
  <si>
    <t>6.4.</t>
  </si>
  <si>
    <t>6.5.</t>
  </si>
  <si>
    <t>расходы на содержание и обслуживание  техни- ческих средств, вычислительной техники и т.д.</t>
  </si>
  <si>
    <t>6.6.</t>
  </si>
  <si>
    <t>6.7.</t>
  </si>
  <si>
    <t>6.8.</t>
  </si>
  <si>
    <t>6.10.</t>
  </si>
  <si>
    <t>6.11.</t>
  </si>
  <si>
    <t>6.12.</t>
  </si>
  <si>
    <t>6.13.</t>
  </si>
  <si>
    <t>Доход (РБ*СП)</t>
  </si>
  <si>
    <t>Причины отклонения</t>
  </si>
  <si>
    <t>к Правилам утверждения  тарифов (цен,ставок сборов) и тарифных смет на регулируемые услуги (товары,работы) субъектов естественных монополий от 19.07.2013 года № 215-ОД</t>
  </si>
  <si>
    <t>2.3.</t>
  </si>
  <si>
    <t>6.2.3.</t>
  </si>
  <si>
    <t>Невыполнение плановых показателей  сложилось за счет уменьшения водозабора промышленных и коммунальных предприятий.</t>
  </si>
  <si>
    <t>Отчетный период  2018 год</t>
  </si>
  <si>
    <t xml:space="preserve">Приложение1 </t>
  </si>
  <si>
    <t>ед.изм.</t>
  </si>
  <si>
    <t>принято ДАРЕМ (приказ № 107-ОД от 16.05.16г)</t>
  </si>
  <si>
    <t>на 1 м3</t>
  </si>
  <si>
    <t>объем</t>
  </si>
  <si>
    <t>затраты на                        53 000 м3</t>
  </si>
  <si>
    <t>для работы 1 раз</t>
  </si>
  <si>
    <t>для работы 2 раз</t>
  </si>
  <si>
    <t>для работы ПР-2 версия</t>
  </si>
  <si>
    <t>9 месяц факт по 1С программе</t>
  </si>
  <si>
    <t>фактич. показатели за                             9 месяцев                     2018 г.</t>
  </si>
  <si>
    <t xml:space="preserve">запасные части.ремонт а/маш                                 </t>
  </si>
  <si>
    <t>среднемесячная заработная плата</t>
  </si>
  <si>
    <t>тыс.</t>
  </si>
  <si>
    <t>численность</t>
  </si>
  <si>
    <t>чел</t>
  </si>
  <si>
    <t>ОСМС</t>
  </si>
  <si>
    <t>3.1.</t>
  </si>
  <si>
    <t>Инвестиционная программа</t>
  </si>
  <si>
    <t>3.2.</t>
  </si>
  <si>
    <t>Капитальный ремонт за счет прибыли</t>
  </si>
  <si>
    <t>3.3.</t>
  </si>
  <si>
    <t>Шнекороторное навесное оборудование за счет прибыли</t>
  </si>
  <si>
    <t>затраты на проверку и аттестацию приборов учета, лабораторий, обследование энергооборудования</t>
  </si>
  <si>
    <t>6 водохранилищ*104,166 тенге(эл-нур-сервис)</t>
  </si>
  <si>
    <t>приобретение рукавиц</t>
  </si>
  <si>
    <t>приобретение спец.одежды</t>
  </si>
  <si>
    <t>приобретение аптечек 6участков+ауп</t>
  </si>
  <si>
    <t>приобретение  моющих средств порошок,мыло</t>
  </si>
  <si>
    <t>огнезащитная обработка дер.конструкций                             адм.здания и гаража</t>
  </si>
  <si>
    <t>приобретение и перезарядка огнетушителей</t>
  </si>
  <si>
    <t>обучение тех.руководителей 5 чел * 9000тенге</t>
  </si>
  <si>
    <t>обучение произ.персонал  21 чел * 9000тенге</t>
  </si>
  <si>
    <t>испытание защ.средств, проверка электроинструментов 4 производственных участка * 25982 тенге</t>
  </si>
  <si>
    <t>веревка 20 п.м * 4 участка * 450 тенге</t>
  </si>
  <si>
    <t>мешок 500 шт * 4 участка * 55 тенге</t>
  </si>
  <si>
    <r>
      <t xml:space="preserve">песок 10м3 * 4 участка *1500 тенге </t>
    </r>
    <r>
      <rPr>
        <b/>
        <i/>
        <sz val="10"/>
        <color indexed="8"/>
        <rFont val="Times New Roman"/>
        <family val="1"/>
        <charset val="204"/>
      </rPr>
      <t>ВЕТОШЬ</t>
    </r>
  </si>
  <si>
    <t>щебень 10м3 * 4 участка *4500 тенге</t>
  </si>
  <si>
    <t>гсм 1120 литров * 142,86 (160)</t>
  </si>
  <si>
    <r>
      <t>Страхование транспортных средств</t>
    </r>
    <r>
      <rPr>
        <sz val="10"/>
        <color indexed="8"/>
        <rFont val="Times New Roman"/>
        <family val="1"/>
        <charset val="204"/>
      </rPr>
      <t xml:space="preserve"> </t>
    </r>
  </si>
  <si>
    <t>5.10</t>
  </si>
  <si>
    <t>5.13.</t>
  </si>
  <si>
    <t>5.16.</t>
  </si>
  <si>
    <t>Приобретение счетчиков воды</t>
  </si>
  <si>
    <r>
      <t xml:space="preserve">Приобретение счетчика тепла             </t>
    </r>
    <r>
      <rPr>
        <b/>
        <sz val="10"/>
        <color indexed="8"/>
        <rFont val="Times New Roman"/>
        <family val="1"/>
        <charset val="204"/>
      </rPr>
      <t xml:space="preserve"> водолазные работы</t>
    </r>
  </si>
  <si>
    <r>
      <t xml:space="preserve">Разработка проекта по выбросам               </t>
    </r>
    <r>
      <rPr>
        <b/>
        <sz val="10"/>
        <color indexed="8"/>
        <rFont val="Times New Roman"/>
        <family val="1"/>
        <charset val="204"/>
      </rPr>
      <t xml:space="preserve">    шнекоротор</t>
    </r>
  </si>
  <si>
    <t>Демонтаж автомобиля</t>
  </si>
  <si>
    <t>параграф</t>
  </si>
  <si>
    <t>Содержание и обслуживание компьютерной техники</t>
  </si>
  <si>
    <t>тепловая энергия</t>
  </si>
  <si>
    <t>сервесное обслуживание тепло счетчика взлет</t>
  </si>
  <si>
    <t>счетчики воды и тепла</t>
  </si>
  <si>
    <t>вывоз и прием ТБО</t>
  </si>
  <si>
    <t>Подача пит.воды и уд.сточных вод 10 м3*12 мес</t>
  </si>
  <si>
    <t>услуги связи</t>
  </si>
  <si>
    <t>услуги почтовой связи</t>
  </si>
  <si>
    <t>переодическая печать</t>
  </si>
  <si>
    <t>услуги курьерской почты</t>
  </si>
  <si>
    <t>налог на транспорт</t>
  </si>
  <si>
    <t>имущественный налог</t>
  </si>
  <si>
    <t xml:space="preserve">налог на землю </t>
  </si>
  <si>
    <t>Канцелярские товары,бумага,бланки</t>
  </si>
  <si>
    <t>Услуги дезинфекции и дератизации</t>
  </si>
  <si>
    <t>Повышение квалификации</t>
  </si>
  <si>
    <t>????? 50-150</t>
  </si>
  <si>
    <t xml:space="preserve">Объявление в газету </t>
  </si>
  <si>
    <t>Страхование работников АУП</t>
  </si>
  <si>
    <t>????</t>
  </si>
  <si>
    <t>Страхование автотранспорта (шкода)</t>
  </si>
  <si>
    <t>антивирусная защита</t>
  </si>
  <si>
    <t>штраф антимон</t>
  </si>
  <si>
    <t>новогодние подарки</t>
  </si>
  <si>
    <t>Услуги по бухгалтерскому учету</t>
  </si>
  <si>
    <t>благотворительная помощь</t>
  </si>
  <si>
    <t>гос.пошлина</t>
  </si>
  <si>
    <t>нотар.услуги</t>
  </si>
  <si>
    <t>мат.помощь</t>
  </si>
  <si>
    <t>1,19-1,31</t>
  </si>
</sst>
</file>

<file path=xl/styles.xml><?xml version="1.0" encoding="utf-8"?>
<styleSheet xmlns="http://schemas.openxmlformats.org/spreadsheetml/2006/main">
  <numFmts count="9">
    <numFmt numFmtId="164" formatCode="0.0"/>
    <numFmt numFmtId="165" formatCode="#,##0.0"/>
    <numFmt numFmtId="166" formatCode="&quot; &quot;#,##0.00&quot;    &quot;;&quot;-&quot;#,##0.00&quot;    &quot;;&quot; -&quot;#&quot;    &quot;;@&quot; &quot;"/>
    <numFmt numFmtId="167" formatCode="0.00000"/>
    <numFmt numFmtId="168" formatCode="0.0000"/>
    <numFmt numFmtId="169" formatCode="#,##0.000"/>
    <numFmt numFmtId="170" formatCode="[$-419]General"/>
    <numFmt numFmtId="171" formatCode="#,##0.00&quot; &quot;[$руб.-419];[Red]&quot;-&quot;#,##0.00&quot; &quot;[$руб.-419]"/>
    <numFmt numFmtId="172" formatCode="_-* #,##0.00_р_._-;\-* #,##0.00_р_._-;_-* &quot;-&quot;??_р_._-;_-@_-"/>
  </numFmts>
  <fonts count="5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7">
    <xf numFmtId="0" fontId="0" fillId="0" borderId="0"/>
    <xf numFmtId="0" fontId="11" fillId="0" borderId="0"/>
    <xf numFmtId="0" fontId="10" fillId="0" borderId="0"/>
    <xf numFmtId="0" fontId="12" fillId="0" borderId="0"/>
    <xf numFmtId="166" fontId="12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165" fontId="12" fillId="0" borderId="0" applyBorder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170" fontId="12" fillId="0" borderId="0" applyBorder="0" applyProtection="0"/>
    <xf numFmtId="169" fontId="12" fillId="0" borderId="0" applyBorder="0" applyProtection="0"/>
    <xf numFmtId="0" fontId="24" fillId="0" borderId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/>
    <xf numFmtId="0" fontId="28" fillId="0" borderId="0" applyNumberFormat="0" applyBorder="0" applyProtection="0"/>
    <xf numFmtId="171" fontId="28" fillId="0" borderId="0" applyBorder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30" fillId="22" borderId="9" applyNumberFormat="0" applyAlignment="0" applyProtection="0"/>
    <xf numFmtId="0" fontId="30" fillId="22" borderId="9" applyNumberFormat="0" applyAlignment="0" applyProtection="0"/>
    <xf numFmtId="0" fontId="30" fillId="22" borderId="9" applyNumberFormat="0" applyAlignment="0" applyProtection="0"/>
    <xf numFmtId="0" fontId="31" fillId="22" borderId="8" applyNumberFormat="0" applyAlignment="0" applyProtection="0"/>
    <xf numFmtId="0" fontId="31" fillId="22" borderId="8" applyNumberFormat="0" applyAlignment="0" applyProtection="0"/>
    <xf numFmtId="0" fontId="31" fillId="22" borderId="8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23" borderId="14" applyNumberFormat="0" applyAlignment="0" applyProtection="0"/>
    <xf numFmtId="0" fontId="36" fillId="23" borderId="14" applyNumberFormat="0" applyAlignment="0" applyProtection="0"/>
    <xf numFmtId="0" fontId="36" fillId="23" borderId="1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0" fillId="0" borderId="0"/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24" fillId="0" borderId="0"/>
    <xf numFmtId="0" fontId="39" fillId="0" borderId="0"/>
    <xf numFmtId="0" fontId="10" fillId="0" borderId="0"/>
    <xf numFmtId="0" fontId="10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39" fillId="0" borderId="0">
      <alignment horizontal="center"/>
    </xf>
    <xf numFmtId="0" fontId="39" fillId="0" borderId="0"/>
    <xf numFmtId="0" fontId="24" fillId="0" borderId="0"/>
    <xf numFmtId="0" fontId="39" fillId="0" borderId="0"/>
    <xf numFmtId="0" fontId="10" fillId="0" borderId="0"/>
    <xf numFmtId="0" fontId="10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39" fillId="0" borderId="0">
      <alignment horizontal="center"/>
    </xf>
    <xf numFmtId="0" fontId="39" fillId="0" borderId="0"/>
    <xf numFmtId="0" fontId="24" fillId="0" borderId="0"/>
    <xf numFmtId="0" fontId="39" fillId="0" borderId="0">
      <alignment horizontal="center"/>
    </xf>
    <xf numFmtId="0" fontId="39" fillId="0" borderId="0"/>
    <xf numFmtId="0" fontId="39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27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/>
    <xf numFmtId="0" fontId="39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/>
    <xf numFmtId="0" fontId="10" fillId="0" borderId="0"/>
    <xf numFmtId="0" fontId="39" fillId="0" borderId="0"/>
    <xf numFmtId="0" fontId="39" fillId="0" borderId="0">
      <alignment horizont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>
      <alignment horizontal="center"/>
    </xf>
    <xf numFmtId="0" fontId="39" fillId="0" borderId="0">
      <alignment horizontal="center"/>
    </xf>
    <xf numFmtId="0" fontId="10" fillId="0" borderId="0"/>
    <xf numFmtId="0" fontId="10" fillId="0" borderId="0"/>
    <xf numFmtId="0" fontId="41" fillId="0" borderId="0"/>
    <xf numFmtId="0" fontId="10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24" fillId="0" borderId="0"/>
    <xf numFmtId="0" fontId="39" fillId="0" borderId="0"/>
    <xf numFmtId="0" fontId="10" fillId="0" borderId="0"/>
    <xf numFmtId="0" fontId="24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24" fillId="0" borderId="0"/>
    <xf numFmtId="0" fontId="39" fillId="0" borderId="0">
      <alignment horizontal="center"/>
    </xf>
    <xf numFmtId="0" fontId="39" fillId="0" borderId="0"/>
    <xf numFmtId="0" fontId="24" fillId="0" borderId="0"/>
    <xf numFmtId="0" fontId="10" fillId="0" borderId="0"/>
    <xf numFmtId="0" fontId="42" fillId="0" borderId="0">
      <alignment horizontal="left"/>
    </xf>
    <xf numFmtId="0" fontId="24" fillId="0" borderId="0"/>
    <xf numFmtId="0" fontId="10" fillId="0" borderId="0"/>
    <xf numFmtId="0" fontId="24" fillId="0" borderId="0"/>
    <xf numFmtId="0" fontId="42" fillId="0" borderId="0">
      <alignment horizontal="left"/>
    </xf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39" fillId="0" borderId="0">
      <alignment horizontal="center"/>
    </xf>
    <xf numFmtId="0" fontId="42" fillId="0" borderId="0">
      <alignment horizontal="left"/>
    </xf>
    <xf numFmtId="0" fontId="24" fillId="0" borderId="0"/>
    <xf numFmtId="0" fontId="10" fillId="0" borderId="0"/>
    <xf numFmtId="0" fontId="10" fillId="0" borderId="0"/>
    <xf numFmtId="0" fontId="39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39" fillId="0" borderId="0"/>
    <xf numFmtId="0" fontId="40" fillId="0" borderId="0">
      <alignment horizontal="center"/>
    </xf>
    <xf numFmtId="0" fontId="40" fillId="0" borderId="0"/>
    <xf numFmtId="0" fontId="40" fillId="0" borderId="0"/>
    <xf numFmtId="0" fontId="24" fillId="0" borderId="0"/>
    <xf numFmtId="0" fontId="42" fillId="0" borderId="0">
      <alignment horizontal="left"/>
    </xf>
    <xf numFmtId="0" fontId="40" fillId="0" borderId="0"/>
    <xf numFmtId="0" fontId="10" fillId="0" borderId="0"/>
    <xf numFmtId="0" fontId="24" fillId="0" borderId="0"/>
    <xf numFmtId="0" fontId="39" fillId="0" borderId="0"/>
    <xf numFmtId="0" fontId="39" fillId="0" borderId="0"/>
    <xf numFmtId="0" fontId="40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>
      <alignment horizontal="center"/>
    </xf>
    <xf numFmtId="0" fontId="39" fillId="0" borderId="0">
      <alignment horizontal="center"/>
    </xf>
    <xf numFmtId="0" fontId="43" fillId="0" borderId="0"/>
    <xf numFmtId="0" fontId="43" fillId="0" borderId="0"/>
    <xf numFmtId="0" fontId="39" fillId="0" borderId="0">
      <alignment horizontal="center"/>
    </xf>
    <xf numFmtId="0" fontId="1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24" fillId="0" borderId="0"/>
    <xf numFmtId="0" fontId="43" fillId="0" borderId="0"/>
    <xf numFmtId="0" fontId="43" fillId="0" borderId="0"/>
    <xf numFmtId="0" fontId="10" fillId="0" borderId="0"/>
    <xf numFmtId="0" fontId="43" fillId="0" borderId="0"/>
    <xf numFmtId="0" fontId="43" fillId="0" borderId="0"/>
    <xf numFmtId="0" fontId="24" fillId="0" borderId="0"/>
    <xf numFmtId="0" fontId="39" fillId="0" borderId="0"/>
    <xf numFmtId="0" fontId="10" fillId="0" borderId="0"/>
    <xf numFmtId="0" fontId="39" fillId="0" borderId="0"/>
    <xf numFmtId="0" fontId="39" fillId="0" borderId="0"/>
    <xf numFmtId="0" fontId="40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43" fillId="0" borderId="0"/>
    <xf numFmtId="0" fontId="42" fillId="0" borderId="0">
      <alignment horizontal="left"/>
    </xf>
    <xf numFmtId="0" fontId="39" fillId="0" borderId="0">
      <alignment horizontal="center"/>
    </xf>
    <xf numFmtId="0" fontId="11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0" fillId="0" borderId="0"/>
    <xf numFmtId="0" fontId="24" fillId="0" borderId="0"/>
    <xf numFmtId="0" fontId="39" fillId="0" borderId="0"/>
    <xf numFmtId="0" fontId="39" fillId="0" borderId="0"/>
    <xf numFmtId="0" fontId="11" fillId="0" borderId="0"/>
    <xf numFmtId="0" fontId="10" fillId="0" borderId="0"/>
    <xf numFmtId="0" fontId="39" fillId="0" borderId="0"/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42" fillId="0" borderId="0">
      <alignment horizontal="left"/>
    </xf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2" fillId="0" borderId="0">
      <alignment horizontal="left"/>
    </xf>
    <xf numFmtId="0" fontId="39" fillId="0" borderId="0">
      <alignment horizontal="center"/>
    </xf>
    <xf numFmtId="0" fontId="39" fillId="0" borderId="0">
      <alignment horizontal="center"/>
    </xf>
    <xf numFmtId="0" fontId="42" fillId="0" borderId="0">
      <alignment horizontal="left"/>
    </xf>
    <xf numFmtId="0" fontId="39" fillId="0" borderId="0"/>
    <xf numFmtId="0" fontId="39" fillId="0" borderId="0"/>
    <xf numFmtId="0" fontId="44" fillId="0" borderId="0">
      <alignment vertical="center"/>
    </xf>
    <xf numFmtId="0" fontId="45" fillId="0" borderId="0"/>
    <xf numFmtId="0" fontId="39" fillId="0" borderId="0"/>
    <xf numFmtId="0" fontId="45" fillId="0" borderId="0"/>
    <xf numFmtId="0" fontId="39" fillId="0" borderId="0"/>
    <xf numFmtId="0" fontId="24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11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3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horizont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horizontal="center"/>
    </xf>
    <xf numFmtId="0" fontId="43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39" fillId="0" borderId="0">
      <alignment horizont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46" fillId="0" borderId="0"/>
    <xf numFmtId="0" fontId="39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39" fillId="0" borderId="0">
      <alignment horizontal="center"/>
    </xf>
    <xf numFmtId="0" fontId="39" fillId="0" borderId="0"/>
    <xf numFmtId="0" fontId="39" fillId="0" borderId="0"/>
    <xf numFmtId="0" fontId="39" fillId="0" borderId="0">
      <alignment horizontal="center"/>
    </xf>
    <xf numFmtId="0" fontId="39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39" fillId="0" borderId="0">
      <alignment horizontal="center"/>
    </xf>
    <xf numFmtId="0" fontId="39" fillId="0" borderId="0"/>
    <xf numFmtId="0" fontId="39" fillId="0" borderId="0"/>
    <xf numFmtId="0" fontId="10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39" fillId="0" borderId="0">
      <alignment horizontal="center"/>
    </xf>
    <xf numFmtId="0" fontId="39" fillId="0" borderId="0"/>
    <xf numFmtId="0" fontId="39" fillId="0" borderId="0"/>
    <xf numFmtId="0" fontId="11" fillId="0" borderId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39" fillId="0" borderId="0">
      <alignment horizontal="center"/>
    </xf>
    <xf numFmtId="0" fontId="11" fillId="0" borderId="0"/>
    <xf numFmtId="0" fontId="39" fillId="0" borderId="0">
      <alignment horizontal="center"/>
    </xf>
    <xf numFmtId="3" fontId="47" fillId="25" borderId="1"/>
    <xf numFmtId="3" fontId="47" fillId="25" borderId="1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6" borderId="15" applyNumberFormat="0" applyFont="0" applyAlignment="0" applyProtection="0"/>
    <xf numFmtId="0" fontId="39" fillId="26" borderId="15" applyNumberFormat="0" applyFont="0" applyAlignment="0" applyProtection="0"/>
    <xf numFmtId="0" fontId="39" fillId="26" borderId="15" applyNumberFormat="0" applyFont="0" applyAlignment="0" applyProtection="0"/>
    <xf numFmtId="0" fontId="39" fillId="26" borderId="15" applyNumberFormat="0" applyFont="0" applyAlignment="0" applyProtection="0"/>
    <xf numFmtId="0" fontId="39" fillId="26" borderId="15" applyNumberFormat="0" applyFont="0" applyAlignment="0" applyProtection="0"/>
    <xf numFmtId="0" fontId="40" fillId="26" borderId="15" applyNumberFormat="0" applyFont="0" applyAlignment="0" applyProtection="0"/>
    <xf numFmtId="0" fontId="39" fillId="26" borderId="15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0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47" fillId="5" borderId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3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13" fillId="2" borderId="0" applyNumberFormat="0" applyBorder="0" applyAlignment="0" applyProtection="0"/>
  </cellStyleXfs>
  <cellXfs count="128">
    <xf numFmtId="0" fontId="0" fillId="0" borderId="0" xfId="0"/>
    <xf numFmtId="0" fontId="6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/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6" applyFont="1" applyFill="1"/>
    <xf numFmtId="4" fontId="7" fillId="0" borderId="0" xfId="6" applyNumberFormat="1" applyFont="1" applyFill="1"/>
    <xf numFmtId="0" fontId="7" fillId="0" borderId="0" xfId="6" applyFont="1" applyFill="1" applyAlignment="1">
      <alignment horizontal="center" vertical="center"/>
    </xf>
    <xf numFmtId="0" fontId="7" fillId="0" borderId="0" xfId="6" applyFont="1" applyFill="1" applyAlignment="1">
      <alignment vertical="center" shrinkToFit="1"/>
    </xf>
    <xf numFmtId="0" fontId="6" fillId="0" borderId="1" xfId="6" applyFont="1" applyFill="1" applyBorder="1" applyAlignment="1">
      <alignment horizontal="center" vertical="center" wrapText="1" shrinkToFit="1"/>
    </xf>
    <xf numFmtId="0" fontId="6" fillId="0" borderId="1" xfId="6" applyFont="1" applyFill="1" applyBorder="1" applyAlignment="1">
      <alignment horizontal="center" vertical="center"/>
    </xf>
    <xf numFmtId="4" fontId="6" fillId="0" borderId="1" xfId="6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shrinkToFit="1"/>
    </xf>
    <xf numFmtId="0" fontId="7" fillId="0" borderId="1" xfId="6" applyFont="1" applyFill="1" applyBorder="1"/>
    <xf numFmtId="4" fontId="7" fillId="0" borderId="1" xfId="6" applyNumberFormat="1" applyFont="1" applyFill="1" applyBorder="1"/>
    <xf numFmtId="3" fontId="7" fillId="0" borderId="1" xfId="6" applyNumberFormat="1" applyFont="1" applyFill="1" applyBorder="1" applyAlignment="1">
      <alignment horizontal="center"/>
    </xf>
    <xf numFmtId="0" fontId="6" fillId="0" borderId="1" xfId="6" applyFont="1" applyFill="1" applyBorder="1" applyAlignment="1">
      <alignment vertical="center" wrapText="1" shrinkToFit="1"/>
    </xf>
    <xf numFmtId="164" fontId="6" fillId="0" borderId="1" xfId="6" applyNumberFormat="1" applyFont="1" applyFill="1" applyBorder="1" applyAlignment="1">
      <alignment horizontal="center" vertical="center" shrinkToFit="1"/>
    </xf>
    <xf numFmtId="168" fontId="6" fillId="0" borderId="1" xfId="6" applyNumberFormat="1" applyFont="1" applyFill="1" applyBorder="1" applyAlignment="1">
      <alignment horizontal="center" vertical="center" shrinkToFit="1"/>
    </xf>
    <xf numFmtId="4" fontId="6" fillId="0" borderId="1" xfId="6" applyNumberFormat="1" applyFont="1" applyFill="1" applyBorder="1" applyAlignment="1">
      <alignment horizontal="center" vertical="center" shrinkToFit="1"/>
    </xf>
    <xf numFmtId="14" fontId="7" fillId="0" borderId="1" xfId="6" applyNumberFormat="1" applyFont="1" applyFill="1" applyBorder="1" applyAlignment="1">
      <alignment horizontal="center" vertical="center" wrapText="1" shrinkToFit="1"/>
    </xf>
    <xf numFmtId="0" fontId="7" fillId="0" borderId="1" xfId="6" applyFont="1" applyFill="1" applyBorder="1" applyAlignment="1">
      <alignment vertical="center" wrapText="1" shrinkToFit="1"/>
    </xf>
    <xf numFmtId="0" fontId="7" fillId="0" borderId="1" xfId="6" applyFont="1" applyFill="1" applyBorder="1" applyAlignment="1">
      <alignment horizontal="center" vertical="center" wrapText="1" shrinkToFit="1"/>
    </xf>
    <xf numFmtId="0" fontId="7" fillId="0" borderId="1" xfId="6" applyFont="1" applyFill="1" applyBorder="1" applyAlignment="1">
      <alignment horizontal="center" vertical="center"/>
    </xf>
    <xf numFmtId="14" fontId="7" fillId="0" borderId="2" xfId="6" applyNumberFormat="1" applyFont="1" applyFill="1" applyBorder="1" applyAlignment="1">
      <alignment horizontal="center" vertical="center" wrapText="1" shrinkToFit="1"/>
    </xf>
    <xf numFmtId="0" fontId="7" fillId="0" borderId="1" xfId="6" applyFont="1" applyFill="1" applyBorder="1" applyAlignment="1">
      <alignment vertical="top" wrapText="1"/>
    </xf>
    <xf numFmtId="2" fontId="7" fillId="0" borderId="1" xfId="6" applyNumberFormat="1" applyFont="1" applyFill="1" applyBorder="1" applyAlignment="1">
      <alignment horizontal="center" vertical="center"/>
    </xf>
    <xf numFmtId="14" fontId="6" fillId="0" borderId="1" xfId="6" applyNumberFormat="1" applyFont="1" applyFill="1" applyBorder="1" applyAlignment="1">
      <alignment horizontal="center" vertical="center" wrapText="1" shrinkToFit="1"/>
    </xf>
    <xf numFmtId="0" fontId="6" fillId="0" borderId="1" xfId="6" applyFont="1" applyFill="1" applyBorder="1" applyAlignment="1">
      <alignment horizontal="center" vertical="center" shrinkToFit="1"/>
    </xf>
    <xf numFmtId="14" fontId="7" fillId="0" borderId="2" xfId="6" applyNumberFormat="1" applyFont="1" applyFill="1" applyBorder="1" applyAlignment="1">
      <alignment horizontal="center" vertical="center" wrapText="1" shrinkToFit="1"/>
    </xf>
    <xf numFmtId="14" fontId="7" fillId="0" borderId="3" xfId="6" applyNumberFormat="1" applyFont="1" applyFill="1" applyBorder="1" applyAlignment="1">
      <alignment horizontal="center" vertical="center" wrapText="1" shrinkToFit="1"/>
    </xf>
    <xf numFmtId="0" fontId="14" fillId="0" borderId="1" xfId="6" applyFont="1" applyFill="1" applyBorder="1" applyAlignment="1">
      <alignment vertical="center" wrapText="1" shrinkToFit="1"/>
    </xf>
    <xf numFmtId="0" fontId="14" fillId="0" borderId="1" xfId="6" applyFont="1" applyFill="1" applyBorder="1" applyAlignment="1">
      <alignment horizontal="center" vertical="center" wrapText="1" shrinkToFit="1"/>
    </xf>
    <xf numFmtId="1" fontId="14" fillId="0" borderId="1" xfId="6" applyNumberFormat="1" applyFont="1" applyFill="1" applyBorder="1" applyAlignment="1">
      <alignment horizontal="center" vertical="center" shrinkToFit="1"/>
    </xf>
    <xf numFmtId="3" fontId="7" fillId="0" borderId="1" xfId="6" applyNumberFormat="1" applyFont="1" applyFill="1" applyBorder="1"/>
    <xf numFmtId="14" fontId="7" fillId="0" borderId="4" xfId="6" applyNumberFormat="1" applyFont="1" applyFill="1" applyBorder="1" applyAlignment="1">
      <alignment horizontal="center" vertical="center" wrapText="1" shrinkToFit="1"/>
    </xf>
    <xf numFmtId="0" fontId="14" fillId="0" borderId="1" xfId="6" applyFont="1" applyFill="1" applyBorder="1" applyAlignment="1">
      <alignment horizontal="center" vertical="center"/>
    </xf>
    <xf numFmtId="4" fontId="6" fillId="0" borderId="1" xfId="6" applyNumberFormat="1" applyFont="1" applyFill="1" applyBorder="1"/>
    <xf numFmtId="4" fontId="6" fillId="0" borderId="1" xfId="6" applyNumberFormat="1" applyFont="1" applyFill="1" applyBorder="1" applyAlignment="1">
      <alignment horizontal="center"/>
    </xf>
    <xf numFmtId="169" fontId="6" fillId="0" borderId="1" xfId="6" applyNumberFormat="1" applyFont="1" applyFill="1" applyBorder="1" applyAlignment="1">
      <alignment horizontal="center"/>
    </xf>
    <xf numFmtId="49" fontId="7" fillId="0" borderId="1" xfId="6" applyNumberFormat="1" applyFont="1" applyFill="1" applyBorder="1" applyAlignment="1">
      <alignment horizontal="center" vertical="center" wrapText="1" shrinkToFit="1"/>
    </xf>
    <xf numFmtId="169" fontId="7" fillId="0" borderId="1" xfId="6" applyNumberFormat="1" applyFont="1" applyFill="1" applyBorder="1"/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center" vertical="center"/>
    </xf>
    <xf numFmtId="168" fontId="6" fillId="0" borderId="1" xfId="6" applyNumberFormat="1" applyFont="1" applyFill="1" applyBorder="1" applyAlignment="1">
      <alignment horizontal="center" vertical="center"/>
    </xf>
    <xf numFmtId="4" fontId="6" fillId="0" borderId="1" xfId="6" applyNumberFormat="1" applyFont="1" applyFill="1" applyBorder="1" applyAlignment="1">
      <alignment horizontal="center" vertical="center"/>
    </xf>
    <xf numFmtId="49" fontId="7" fillId="0" borderId="1" xfId="6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vertical="center" wrapText="1"/>
    </xf>
    <xf numFmtId="0" fontId="7" fillId="0" borderId="1" xfId="6" applyFont="1" applyFill="1" applyBorder="1" applyAlignment="1">
      <alignment horizontal="center" vertical="center" wrapText="1"/>
    </xf>
    <xf numFmtId="4" fontId="7" fillId="0" borderId="1" xfId="6" applyNumberFormat="1" applyFont="1" applyFill="1" applyBorder="1" applyAlignment="1">
      <alignment horizontal="center"/>
    </xf>
    <xf numFmtId="0" fontId="7" fillId="0" borderId="1" xfId="6" applyFont="1" applyFill="1" applyBorder="1" applyAlignment="1">
      <alignment horizontal="right" vertical="center" wrapText="1"/>
    </xf>
    <xf numFmtId="16" fontId="7" fillId="0" borderId="1" xfId="6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right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/>
    </xf>
    <xf numFmtId="0" fontId="15" fillId="0" borderId="1" xfId="6" applyFont="1" applyFill="1" applyBorder="1"/>
    <xf numFmtId="4" fontId="15" fillId="0" borderId="1" xfId="6" applyNumberFormat="1" applyFont="1" applyFill="1" applyBorder="1"/>
    <xf numFmtId="0" fontId="16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right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6" applyFont="1" applyFill="1" applyBorder="1"/>
    <xf numFmtId="4" fontId="14" fillId="0" borderId="1" xfId="6" applyNumberFormat="1" applyFont="1" applyFill="1" applyBorder="1"/>
    <xf numFmtId="164" fontId="7" fillId="0" borderId="1" xfId="6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vertical="center" wrapText="1" shrinkToFit="1"/>
    </xf>
    <xf numFmtId="0" fontId="7" fillId="0" borderId="1" xfId="6" applyFont="1" applyFill="1" applyBorder="1" applyAlignment="1">
      <alignment vertical="center"/>
    </xf>
    <xf numFmtId="0" fontId="7" fillId="0" borderId="1" xfId="6" applyFont="1" applyFill="1" applyBorder="1" applyAlignment="1">
      <alignment horizontal="center" vertical="top" wrapText="1"/>
    </xf>
    <xf numFmtId="4" fontId="7" fillId="0" borderId="1" xfId="6" applyNumberFormat="1" applyFont="1" applyFill="1" applyBorder="1" applyAlignment="1">
      <alignment horizontal="center" vertical="center"/>
    </xf>
    <xf numFmtId="14" fontId="7" fillId="0" borderId="1" xfId="6" applyNumberFormat="1" applyFont="1" applyFill="1" applyBorder="1" applyAlignment="1">
      <alignment horizontal="center" vertical="center" wrapText="1"/>
    </xf>
    <xf numFmtId="14" fontId="7" fillId="0" borderId="1" xfId="6" applyNumberFormat="1" applyFont="1" applyFill="1" applyBorder="1" applyAlignment="1">
      <alignment horizontal="center" vertical="top" wrapText="1"/>
    </xf>
    <xf numFmtId="165" fontId="1" fillId="0" borderId="1" xfId="6" applyNumberFormat="1" applyFont="1" applyFill="1" applyBorder="1" applyAlignment="1">
      <alignment horizontal="center" vertical="center"/>
    </xf>
    <xf numFmtId="49" fontId="7" fillId="0" borderId="2" xfId="6" applyNumberFormat="1" applyFont="1" applyFill="1" applyBorder="1" applyAlignment="1">
      <alignment horizontal="center" vertical="top" wrapText="1"/>
    </xf>
    <xf numFmtId="0" fontId="6" fillId="0" borderId="1" xfId="6" applyFont="1" applyFill="1" applyBorder="1" applyAlignment="1">
      <alignment vertical="center" shrinkToFit="1"/>
    </xf>
    <xf numFmtId="0" fontId="7" fillId="0" borderId="2" xfId="6" applyFont="1" applyFill="1" applyBorder="1" applyAlignment="1">
      <alignment horizontal="center" vertical="center" wrapText="1" shrinkToFit="1"/>
    </xf>
    <xf numFmtId="0" fontId="16" fillId="0" borderId="1" xfId="6" applyFont="1" applyFill="1" applyBorder="1" applyAlignment="1">
      <alignment vertical="top" wrapText="1"/>
    </xf>
    <xf numFmtId="4" fontId="7" fillId="0" borderId="1" xfId="6" applyNumberFormat="1" applyFont="1" applyFill="1" applyBorder="1" applyAlignment="1">
      <alignment horizontal="right"/>
    </xf>
    <xf numFmtId="0" fontId="7" fillId="0" borderId="3" xfId="6" applyFont="1" applyFill="1" applyBorder="1" applyAlignment="1">
      <alignment horizontal="center" vertical="center" wrapText="1" shrinkToFit="1"/>
    </xf>
    <xf numFmtId="164" fontId="14" fillId="0" borderId="1" xfId="6" applyNumberFormat="1" applyFont="1" applyFill="1" applyBorder="1" applyAlignment="1">
      <alignment horizontal="center" vertical="center" shrinkToFit="1"/>
    </xf>
    <xf numFmtId="0" fontId="7" fillId="0" borderId="4" xfId="6" applyFont="1" applyFill="1" applyBorder="1" applyAlignment="1">
      <alignment horizontal="center" vertical="center" wrapText="1" shrinkToFit="1"/>
    </xf>
    <xf numFmtId="164" fontId="14" fillId="0" borderId="1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 shrinkToFit="1"/>
    </xf>
    <xf numFmtId="164" fontId="7" fillId="0" borderId="1" xfId="6" applyNumberFormat="1" applyFont="1" applyFill="1" applyBorder="1" applyAlignment="1">
      <alignment horizontal="center" vertical="center" shrinkToFit="1"/>
    </xf>
    <xf numFmtId="0" fontId="20" fillId="0" borderId="1" xfId="7" applyFont="1" applyFill="1" applyBorder="1" applyAlignment="1">
      <alignment horizontal="right" vertical="top" wrapText="1"/>
    </xf>
    <xf numFmtId="0" fontId="14" fillId="0" borderId="1" xfId="6" applyFont="1" applyFill="1" applyBorder="1" applyAlignment="1">
      <alignment horizontal="center" vertical="top" wrapText="1"/>
    </xf>
    <xf numFmtId="4" fontId="6" fillId="0" borderId="1" xfId="6" applyNumberFormat="1" applyFont="1" applyFill="1" applyBorder="1" applyAlignment="1">
      <alignment horizontal="right"/>
    </xf>
    <xf numFmtId="169" fontId="6" fillId="0" borderId="1" xfId="6" applyNumberFormat="1" applyFont="1" applyFill="1" applyBorder="1" applyAlignment="1">
      <alignment horizontal="right"/>
    </xf>
    <xf numFmtId="166" fontId="21" fillId="0" borderId="5" xfId="8" applyNumberFormat="1" applyFont="1" applyFill="1" applyBorder="1" applyAlignment="1" applyProtection="1">
      <alignment horizontal="right" vertical="center" wrapText="1"/>
    </xf>
    <xf numFmtId="4" fontId="7" fillId="3" borderId="1" xfId="6" applyNumberFormat="1" applyFont="1" applyFill="1" applyBorder="1"/>
    <xf numFmtId="170" fontId="21" fillId="0" borderId="5" xfId="9" applyNumberFormat="1" applyFont="1" applyFill="1" applyBorder="1" applyAlignment="1">
      <alignment horizontal="right" vertical="center" wrapText="1" shrinkToFit="1"/>
    </xf>
    <xf numFmtId="170" fontId="21" fillId="0" borderId="6" xfId="9" applyNumberFormat="1" applyFont="1" applyFill="1" applyBorder="1" applyAlignment="1">
      <alignment horizontal="right" vertical="center" wrapText="1" shrinkToFit="1"/>
    </xf>
    <xf numFmtId="170" fontId="21" fillId="0" borderId="1" xfId="9" applyNumberFormat="1" applyFont="1" applyFill="1" applyBorder="1" applyAlignment="1">
      <alignment horizontal="right" vertical="center" wrapText="1" shrinkToFit="1"/>
    </xf>
    <xf numFmtId="170" fontId="22" fillId="0" borderId="1" xfId="9" applyNumberFormat="1" applyFont="1" applyFill="1" applyBorder="1" applyAlignment="1">
      <alignment horizontal="right" vertical="center" wrapText="1" shrinkToFit="1"/>
    </xf>
    <xf numFmtId="0" fontId="23" fillId="0" borderId="1" xfId="6" applyFont="1" applyFill="1" applyBorder="1" applyAlignment="1">
      <alignment horizontal="center" vertical="top" wrapText="1"/>
    </xf>
    <xf numFmtId="164" fontId="23" fillId="0" borderId="1" xfId="6" applyNumberFormat="1" applyFont="1" applyFill="1" applyBorder="1" applyAlignment="1">
      <alignment horizontal="center" vertical="center"/>
    </xf>
    <xf numFmtId="0" fontId="23" fillId="0" borderId="1" xfId="6" applyFont="1" applyFill="1" applyBorder="1"/>
    <xf numFmtId="4" fontId="23" fillId="0" borderId="1" xfId="6" applyNumberFormat="1" applyFont="1" applyFill="1" applyBorder="1"/>
    <xf numFmtId="4" fontId="1" fillId="3" borderId="1" xfId="6" applyNumberFormat="1" applyFont="1" applyFill="1" applyBorder="1"/>
    <xf numFmtId="0" fontId="7" fillId="0" borderId="7" xfId="6" applyFont="1" applyFill="1" applyBorder="1"/>
    <xf numFmtId="0" fontId="6" fillId="0" borderId="1" xfId="6" applyFont="1" applyFill="1" applyBorder="1" applyAlignment="1">
      <alignment horizontal="center" vertical="top" wrapText="1"/>
    </xf>
    <xf numFmtId="0" fontId="6" fillId="0" borderId="1" xfId="6" applyFont="1" applyFill="1" applyBorder="1" applyAlignment="1">
      <alignment vertical="top" wrapText="1"/>
    </xf>
    <xf numFmtId="164" fontId="6" fillId="0" borderId="1" xfId="6" applyNumberFormat="1" applyFont="1" applyFill="1" applyBorder="1" applyAlignment="1">
      <alignment horizontal="center"/>
    </xf>
    <xf numFmtId="2" fontId="6" fillId="0" borderId="1" xfId="6" applyNumberFormat="1" applyFont="1" applyFill="1" applyBorder="1" applyAlignment="1">
      <alignment horizontal="center"/>
    </xf>
    <xf numFmtId="2" fontId="6" fillId="0" borderId="7" xfId="6" applyNumberFormat="1" applyFont="1" applyFill="1" applyBorder="1" applyAlignment="1">
      <alignment horizontal="center"/>
    </xf>
    <xf numFmtId="169" fontId="7" fillId="0" borderId="0" xfId="6" applyNumberFormat="1" applyFont="1" applyFill="1"/>
    <xf numFmtId="2" fontId="7" fillId="0" borderId="0" xfId="6" applyNumberFormat="1" applyFont="1" applyFill="1"/>
    <xf numFmtId="169" fontId="7" fillId="0" borderId="1" xfId="6" applyNumberFormat="1" applyFont="1" applyFill="1" applyBorder="1" applyAlignment="1">
      <alignment horizontal="center"/>
    </xf>
    <xf numFmtId="2" fontId="6" fillId="0" borderId="1" xfId="6" applyNumberFormat="1" applyFont="1" applyFill="1" applyBorder="1" applyAlignment="1">
      <alignment horizontal="center" vertical="center" shrinkToFit="1"/>
    </xf>
    <xf numFmtId="167" fontId="6" fillId="0" borderId="1" xfId="6" applyNumberFormat="1" applyFont="1" applyFill="1" applyBorder="1" applyAlignment="1">
      <alignment horizontal="center" vertical="center" shrinkToFit="1"/>
    </xf>
    <xf numFmtId="4" fontId="6" fillId="0" borderId="1" xfId="6" applyNumberFormat="1" applyFont="1" applyFill="1" applyBorder="1" applyAlignment="1">
      <alignment vertical="center"/>
    </xf>
    <xf numFmtId="167" fontId="6" fillId="0" borderId="1" xfId="6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6" fillId="0" borderId="1" xfId="6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</cellXfs>
  <cellStyles count="577">
    <cellStyle name="20% - Акцент1 2" xfId="10"/>
    <cellStyle name="20% - Акцент1 2 2" xfId="11"/>
    <cellStyle name="20% - Акцент1 2 2 2" xfId="12"/>
    <cellStyle name="20% - Акцент1 2 2 2 2" xfId="13"/>
    <cellStyle name="20% - Акцент1 2 2 3" xfId="14"/>
    <cellStyle name="20% - Акцент1 2 2_План финансирования на 2013 год" xfId="15"/>
    <cellStyle name="20% - Акцент1 2 3" xfId="16"/>
    <cellStyle name="20% - Акцент1 2 3 2" xfId="17"/>
    <cellStyle name="20% - Акцент1 2 4" xfId="18"/>
    <cellStyle name="20% - Акцент1 2_Август по объектно" xfId="19"/>
    <cellStyle name="20% - Акцент1 3" xfId="20"/>
    <cellStyle name="20% - Акцент2 2" xfId="21"/>
    <cellStyle name="20% - Акцент2 2 2" xfId="22"/>
    <cellStyle name="20% - Акцент2 2 2 2" xfId="23"/>
    <cellStyle name="20% - Акцент2 2 2 2 2" xfId="24"/>
    <cellStyle name="20% - Акцент2 2 2 3" xfId="25"/>
    <cellStyle name="20% - Акцент2 2 2_План финансирования на 2013 год" xfId="26"/>
    <cellStyle name="20% - Акцент2 2 3" xfId="27"/>
    <cellStyle name="20% - Акцент2 2 3 2" xfId="28"/>
    <cellStyle name="20% - Акцент2 2 4" xfId="29"/>
    <cellStyle name="20% - Акцент2 2_План финансирования на 2013 год" xfId="30"/>
    <cellStyle name="20% - Акцент2 3" xfId="31"/>
    <cellStyle name="20% - Акцент3 2" xfId="32"/>
    <cellStyle name="20% - Акцент3 2 2" xfId="33"/>
    <cellStyle name="20% - Акцент3 2 2 2" xfId="34"/>
    <cellStyle name="20% - Акцент3 2 2 2 2" xfId="35"/>
    <cellStyle name="20% - Акцент3 2 2 3" xfId="36"/>
    <cellStyle name="20% - Акцент3 2 2_План финансирования на 2013 год" xfId="37"/>
    <cellStyle name="20% - Акцент3 2 3" xfId="38"/>
    <cellStyle name="20% - Акцент3 2 3 2" xfId="39"/>
    <cellStyle name="20% - Акцент3 2 4" xfId="40"/>
    <cellStyle name="20% - Акцент3 2_Август по объектно" xfId="41"/>
    <cellStyle name="20% - Акцент3 3" xfId="42"/>
    <cellStyle name="20% - Акцент4 2" xfId="43"/>
    <cellStyle name="20% - Акцент4 2 2" xfId="44"/>
    <cellStyle name="20% - Акцент4 2 2 2" xfId="45"/>
    <cellStyle name="20% - Акцент4 2 2 2 2" xfId="46"/>
    <cellStyle name="20% - Акцент4 2 2 3" xfId="47"/>
    <cellStyle name="20% - Акцент4 2 2_План финансирования на 2013 год" xfId="48"/>
    <cellStyle name="20% - Акцент4 2 3" xfId="49"/>
    <cellStyle name="20% - Акцент4 2 3 2" xfId="50"/>
    <cellStyle name="20% - Акцент4 2 4" xfId="51"/>
    <cellStyle name="20% - Акцент4 2_План финансирования на 2013 год" xfId="52"/>
    <cellStyle name="20% - Акцент4 3" xfId="53"/>
    <cellStyle name="20% - Акцент5 2" xfId="54"/>
    <cellStyle name="20% - Акцент5 2 2" xfId="55"/>
    <cellStyle name="20% - Акцент5 2 2 2" xfId="56"/>
    <cellStyle name="20% - Акцент5 2 2 2 2" xfId="57"/>
    <cellStyle name="20% - Акцент5 2 2 3" xfId="58"/>
    <cellStyle name="20% - Акцент5 2 2_План финансирования на 2013 год" xfId="59"/>
    <cellStyle name="20% - Акцент5 2 3" xfId="60"/>
    <cellStyle name="20% - Акцент5 2 3 2" xfId="61"/>
    <cellStyle name="20% - Акцент5 2 4" xfId="62"/>
    <cellStyle name="20% - Акцент5 2_План финансирования на 2013 год" xfId="63"/>
    <cellStyle name="20% - Акцент5 3" xfId="64"/>
    <cellStyle name="20% - Акцент6 2" xfId="65"/>
    <cellStyle name="20% - Акцент6 2 2" xfId="66"/>
    <cellStyle name="20% - Акцент6 2 2 2" xfId="67"/>
    <cellStyle name="20% - Акцент6 2 2 2 2" xfId="68"/>
    <cellStyle name="20% - Акцент6 2 2 3" xfId="69"/>
    <cellStyle name="20% - Акцент6 2 2_План финансирования на 2013 год" xfId="70"/>
    <cellStyle name="20% - Акцент6 2 3" xfId="71"/>
    <cellStyle name="20% - Акцент6 2 3 2" xfId="72"/>
    <cellStyle name="20% - Акцент6 2 4" xfId="73"/>
    <cellStyle name="20% - Акцент6 2_Август по объектно" xfId="74"/>
    <cellStyle name="20% - Акцент6 3" xfId="75"/>
    <cellStyle name="40% - Акцент1 2" xfId="76"/>
    <cellStyle name="40% - Акцент1 2 2" xfId="77"/>
    <cellStyle name="40% - Акцент1 2 2 2" xfId="78"/>
    <cellStyle name="40% - Акцент1 2 2 2 2" xfId="79"/>
    <cellStyle name="40% - Акцент1 2 2 3" xfId="80"/>
    <cellStyle name="40% - Акцент1 2 2_План финансирования на 2013 год" xfId="81"/>
    <cellStyle name="40% - Акцент1 2 3" xfId="82"/>
    <cellStyle name="40% - Акцент1 2 3 2" xfId="83"/>
    <cellStyle name="40% - Акцент1 2 4" xfId="84"/>
    <cellStyle name="40% - Акцент1 2_План финансирования на 2013 год" xfId="85"/>
    <cellStyle name="40% - Акцент1 3" xfId="86"/>
    <cellStyle name="40% - Акцент2 2" xfId="87"/>
    <cellStyle name="40% - Акцент2 2 2" xfId="88"/>
    <cellStyle name="40% - Акцент2 2 2 2" xfId="89"/>
    <cellStyle name="40% - Акцент2 2 2 2 2" xfId="90"/>
    <cellStyle name="40% - Акцент2 2 2 3" xfId="91"/>
    <cellStyle name="40% - Акцент2 2 2_План финансирования на 2013 год" xfId="92"/>
    <cellStyle name="40% - Акцент2 2 3" xfId="93"/>
    <cellStyle name="40% - Акцент2 2 3 2" xfId="94"/>
    <cellStyle name="40% - Акцент2 2 4" xfId="95"/>
    <cellStyle name="40% - Акцент2 2_План финансирования на 2013 год" xfId="96"/>
    <cellStyle name="40% - Акцент2 3" xfId="97"/>
    <cellStyle name="40% - Акцент3 2" xfId="98"/>
    <cellStyle name="40% - Акцент3 2 2" xfId="99"/>
    <cellStyle name="40% - Акцент3 2 2 2" xfId="100"/>
    <cellStyle name="40% - Акцент3 2 2 2 2" xfId="101"/>
    <cellStyle name="40% - Акцент3 2 2 3" xfId="102"/>
    <cellStyle name="40% - Акцент3 2 2_План финансирования на 2013 год" xfId="103"/>
    <cellStyle name="40% - Акцент3 2 3" xfId="104"/>
    <cellStyle name="40% - Акцент3 2 3 2" xfId="105"/>
    <cellStyle name="40% - Акцент3 2 4" xfId="106"/>
    <cellStyle name="40% - Акцент3 2_Август по объектно" xfId="107"/>
    <cellStyle name="40% - Акцент3 3" xfId="108"/>
    <cellStyle name="40% - Акцент4 2" xfId="109"/>
    <cellStyle name="40% - Акцент4 2 2" xfId="110"/>
    <cellStyle name="40% - Акцент4 2 2 2" xfId="111"/>
    <cellStyle name="40% - Акцент4 2 2 2 2" xfId="112"/>
    <cellStyle name="40% - Акцент4 2 2 3" xfId="113"/>
    <cellStyle name="40% - Акцент4 2 2_План финансирования на 2013 год" xfId="114"/>
    <cellStyle name="40% - Акцент4 2 3" xfId="115"/>
    <cellStyle name="40% - Акцент4 2 3 2" xfId="116"/>
    <cellStyle name="40% - Акцент4 2 4" xfId="117"/>
    <cellStyle name="40% - Акцент4 2_План финансирования на 2013 год" xfId="118"/>
    <cellStyle name="40% - Акцент4 3" xfId="119"/>
    <cellStyle name="40% - Акцент5 2" xfId="120"/>
    <cellStyle name="40% - Акцент5 2 2" xfId="121"/>
    <cellStyle name="40% - Акцент5 2 2 2" xfId="122"/>
    <cellStyle name="40% - Акцент5 2 2 2 2" xfId="123"/>
    <cellStyle name="40% - Акцент5 2 2 3" xfId="124"/>
    <cellStyle name="40% - Акцент5 2 2_План финансирования на 2013 год" xfId="125"/>
    <cellStyle name="40% - Акцент5 2 3" xfId="126"/>
    <cellStyle name="40% - Акцент5 2 3 2" xfId="127"/>
    <cellStyle name="40% - Акцент5 2 4" xfId="128"/>
    <cellStyle name="40% - Акцент5 2_План финансирования на 2013 год" xfId="129"/>
    <cellStyle name="40% - Акцент5 3" xfId="130"/>
    <cellStyle name="40% - Акцент6 2" xfId="131"/>
    <cellStyle name="40% - Акцент6 2 2" xfId="132"/>
    <cellStyle name="40% - Акцент6 2 2 2" xfId="133"/>
    <cellStyle name="40% - Акцент6 2 2 2 2" xfId="134"/>
    <cellStyle name="40% - Акцент6 2 2 3" xfId="135"/>
    <cellStyle name="40% - Акцент6 2 2_План финансирования на 2013 год" xfId="136"/>
    <cellStyle name="40% - Акцент6 2 3" xfId="137"/>
    <cellStyle name="40% - Акцент6 2 3 2" xfId="138"/>
    <cellStyle name="40% - Акцент6 2 4" xfId="139"/>
    <cellStyle name="40% - Акцент6 2_План финансирования на 2013 год" xfId="140"/>
    <cellStyle name="40% - Акцент6 3" xfId="141"/>
    <cellStyle name="60% - Акцент1 2" xfId="142"/>
    <cellStyle name="60% - Акцент1 2 2" xfId="143"/>
    <cellStyle name="60% - Акцент1 2_Электроэнергия" xfId="144"/>
    <cellStyle name="60% - Акцент2 2" xfId="145"/>
    <cellStyle name="60% - Акцент2 2 2" xfId="146"/>
    <cellStyle name="60% - Акцент2 2_Электроэнергия" xfId="147"/>
    <cellStyle name="60% - Акцент3 2" xfId="148"/>
    <cellStyle name="60% - Акцент3 2 2" xfId="149"/>
    <cellStyle name="60% - Акцент3 2_Электроэнергия" xfId="150"/>
    <cellStyle name="60% - Акцент4 2" xfId="151"/>
    <cellStyle name="60% - Акцент4 2 2" xfId="152"/>
    <cellStyle name="60% - Акцент4 2_Электроэнергия" xfId="153"/>
    <cellStyle name="60% - Акцент5 2" xfId="154"/>
    <cellStyle name="60% - Акцент5 2 2" xfId="155"/>
    <cellStyle name="60% - Акцент5 2_Электроэнергия" xfId="156"/>
    <cellStyle name="60% - Акцент6 2" xfId="157"/>
    <cellStyle name="60% - Акцент6 2 2" xfId="158"/>
    <cellStyle name="60% - Акцент6 2_Электроэнергия" xfId="159"/>
    <cellStyle name="Excel Built-in Comma" xfId="4"/>
    <cellStyle name="Excel Built-in Comma 2" xfId="8"/>
    <cellStyle name="Excel Built-in Normal" xfId="3"/>
    <cellStyle name="Excel Built-in Normal 2" xfId="160"/>
    <cellStyle name="Excel Built-in Normal 3" xfId="161"/>
    <cellStyle name="Excel Built-in Normal 4" xfId="9"/>
    <cellStyle name="Excel Built-in Normal 5" xfId="162"/>
    <cellStyle name="Heading" xfId="163"/>
    <cellStyle name="Heading1" xfId="164"/>
    <cellStyle name="Normal_Sheet1" xfId="165"/>
    <cellStyle name="Result" xfId="166"/>
    <cellStyle name="Result2" xfId="167"/>
    <cellStyle name="Акцент1 2" xfId="168"/>
    <cellStyle name="Акцент1 2 2" xfId="169"/>
    <cellStyle name="Акцент1 2_Электроэнергия" xfId="170"/>
    <cellStyle name="Акцент2 2" xfId="171"/>
    <cellStyle name="Акцент2 2 2" xfId="172"/>
    <cellStyle name="Акцент2 2_Электроэнергия" xfId="173"/>
    <cellStyle name="Акцент3 2" xfId="174"/>
    <cellStyle name="Акцент3 2 2" xfId="175"/>
    <cellStyle name="Акцент3 2_Электроэнергия" xfId="176"/>
    <cellStyle name="Акцент4 2" xfId="177"/>
    <cellStyle name="Акцент4 2 2" xfId="178"/>
    <cellStyle name="Акцент4 2_Электроэнергия" xfId="179"/>
    <cellStyle name="Акцент5 2" xfId="180"/>
    <cellStyle name="Акцент5 2 2" xfId="181"/>
    <cellStyle name="Акцент5 2_Электроэнергия" xfId="182"/>
    <cellStyle name="Акцент6 2" xfId="183"/>
    <cellStyle name="Акцент6 2 2" xfId="184"/>
    <cellStyle name="Акцент6 2_Электроэнергия" xfId="185"/>
    <cellStyle name="Ввод  2" xfId="186"/>
    <cellStyle name="Ввод  2 2" xfId="187"/>
    <cellStyle name="Ввод  2_Электроэнергия" xfId="188"/>
    <cellStyle name="Вывод 2" xfId="189"/>
    <cellStyle name="Вывод 2 2" xfId="190"/>
    <cellStyle name="Вывод 2_Электроэнергия" xfId="191"/>
    <cellStyle name="Вычисление 2" xfId="192"/>
    <cellStyle name="Вычисление 2 2" xfId="193"/>
    <cellStyle name="Вычисление 2_Электроэнергия" xfId="194"/>
    <cellStyle name="Заголовок 1 2" xfId="195"/>
    <cellStyle name="Заголовок 1 2 2" xfId="196"/>
    <cellStyle name="Заголовок 1 2_Электроэнергия" xfId="197"/>
    <cellStyle name="Заголовок 2 2" xfId="198"/>
    <cellStyle name="Заголовок 2 2 2" xfId="199"/>
    <cellStyle name="Заголовок 2 2_Электроэнергия" xfId="200"/>
    <cellStyle name="Заголовок 3 2" xfId="201"/>
    <cellStyle name="Заголовок 3 2 2" xfId="202"/>
    <cellStyle name="Заголовок 3 2_Электроэнергия" xfId="203"/>
    <cellStyle name="Заголовок 4 2" xfId="204"/>
    <cellStyle name="Заголовок 4 2 2" xfId="205"/>
    <cellStyle name="Заголовок 4 2_Электроэнергия" xfId="206"/>
    <cellStyle name="Итог 2" xfId="207"/>
    <cellStyle name="Итог 2 2" xfId="208"/>
    <cellStyle name="Итог 2 2 2" xfId="209"/>
    <cellStyle name="Итог 2 2_Электроэнергия" xfId="210"/>
    <cellStyle name="Итог 2 3" xfId="211"/>
    <cellStyle name="Итог 2_Электроэнергия" xfId="212"/>
    <cellStyle name="Контрольная ячейка 2" xfId="213"/>
    <cellStyle name="Контрольная ячейка 2 2" xfId="214"/>
    <cellStyle name="Контрольная ячейка 2_Электроэнергия" xfId="215"/>
    <cellStyle name="Название 2" xfId="216"/>
    <cellStyle name="Название 2 2" xfId="217"/>
    <cellStyle name="Название 2_Электроэнергия" xfId="218"/>
    <cellStyle name="Нейтральный 2" xfId="219"/>
    <cellStyle name="Нейтральный 2 2" xfId="220"/>
    <cellStyle name="Нейтральный 2_Электроэнергия" xfId="221"/>
    <cellStyle name="Обычный" xfId="0" builtinId="0"/>
    <cellStyle name="Обычный 10" xfId="7"/>
    <cellStyle name="Обычный 10 2" xfId="222"/>
    <cellStyle name="Обычный 10 3" xfId="223"/>
    <cellStyle name="Обычный 10 3 2" xfId="224"/>
    <cellStyle name="Обычный 10 3 3" xfId="225"/>
    <cellStyle name="Обычный 10 4" xfId="226"/>
    <cellStyle name="Обычный 10 5" xfId="227"/>
    <cellStyle name="Обычный 10_Август по объектно" xfId="228"/>
    <cellStyle name="Обычный 11" xfId="229"/>
    <cellStyle name="Обычный 11 2" xfId="230"/>
    <cellStyle name="Обычный 11 3" xfId="231"/>
    <cellStyle name="Обычный 11 4" xfId="232"/>
    <cellStyle name="Обычный 11 4 2" xfId="233"/>
    <cellStyle name="Обычный 11 4 2 2" xfId="234"/>
    <cellStyle name="Обычный 11 4 3" xfId="235"/>
    <cellStyle name="Обычный 11 5" xfId="236"/>
    <cellStyle name="Обычный 11 6" xfId="237"/>
    <cellStyle name="Обычный 11_Август по объектно" xfId="238"/>
    <cellStyle name="Обычный 12" xfId="239"/>
    <cellStyle name="Обычный 12 2" xfId="240"/>
    <cellStyle name="Обычный 12 3" xfId="241"/>
    <cellStyle name="Обычный 12 4" xfId="242"/>
    <cellStyle name="Обычный 12 4 2" xfId="243"/>
    <cellStyle name="Обычный 12 4 2 2" xfId="244"/>
    <cellStyle name="Обычный 12 4 3" xfId="245"/>
    <cellStyle name="Обычный 12 5" xfId="246"/>
    <cellStyle name="Обычный 12 6" xfId="247"/>
    <cellStyle name="Обычный 12_Август по объектно" xfId="248"/>
    <cellStyle name="Обычный 13" xfId="249"/>
    <cellStyle name="Обычный 13 2" xfId="250"/>
    <cellStyle name="Обычный 13 2 2" xfId="251"/>
    <cellStyle name="Обычный 13 3" xfId="252"/>
    <cellStyle name="Обычный 13_Гидроузел на р.Тышкан" xfId="253"/>
    <cellStyle name="Обычный 14" xfId="254"/>
    <cellStyle name="Обычный 14 2" xfId="255"/>
    <cellStyle name="Обычный 14 3" xfId="256"/>
    <cellStyle name="Обычный 14_Гидроузел на р.Тышкан" xfId="257"/>
    <cellStyle name="Обычный 15" xfId="258"/>
    <cellStyle name="Обычный 15 2" xfId="259"/>
    <cellStyle name="Обычный 15 3" xfId="260"/>
    <cellStyle name="Обычный 15 4" xfId="261"/>
    <cellStyle name="Обычный 16" xfId="262"/>
    <cellStyle name="Обычный 16 2" xfId="263"/>
    <cellStyle name="Обычный 16 3" xfId="264"/>
    <cellStyle name="Обычный 16 4" xfId="265"/>
    <cellStyle name="Обычный 16_Гидроузел на р.Тышкан" xfId="266"/>
    <cellStyle name="Обычный 17" xfId="267"/>
    <cellStyle name="Обычный 17 2" xfId="268"/>
    <cellStyle name="Обычный 17 2 2" xfId="269"/>
    <cellStyle name="Обычный 17 3" xfId="270"/>
    <cellStyle name="Обычный 17 3 2" xfId="271"/>
    <cellStyle name="Обычный 17 4" xfId="272"/>
    <cellStyle name="Обычный 18" xfId="273"/>
    <cellStyle name="Обычный 18 2" xfId="274"/>
    <cellStyle name="Обычный 18 2 2" xfId="275"/>
    <cellStyle name="Обычный 18 3" xfId="276"/>
    <cellStyle name="Обычный 18 3 2" xfId="277"/>
    <cellStyle name="Обычный 18 4" xfId="278"/>
    <cellStyle name="Обычный 19" xfId="279"/>
    <cellStyle name="Обычный 19 2" xfId="280"/>
    <cellStyle name="Обычный 19 2 2" xfId="281"/>
    <cellStyle name="Обычный 19 3" xfId="282"/>
    <cellStyle name="Обычный 19 3 2" xfId="283"/>
    <cellStyle name="Обычный 19 4" xfId="284"/>
    <cellStyle name="Обычный 2" xfId="1"/>
    <cellStyle name="Обычный 2 10" xfId="285"/>
    <cellStyle name="Обычный 2 11" xfId="286"/>
    <cellStyle name="Обычный 2 12" xfId="6"/>
    <cellStyle name="Обычный 2 13" xfId="287"/>
    <cellStyle name="Обычный 2 2" xfId="2"/>
    <cellStyle name="Обычный 2 2 2" xfId="288"/>
    <cellStyle name="Обычный 2 2 2 2" xfId="289"/>
    <cellStyle name="Обычный 2 2 2 2 2" xfId="290"/>
    <cellStyle name="Обычный 2 2 2 2 2 2" xfId="291"/>
    <cellStyle name="Обычный 2 2 2 2 3" xfId="292"/>
    <cellStyle name="Обычный 2 2 2 3" xfId="293"/>
    <cellStyle name="Обычный 2 2 2 4" xfId="294"/>
    <cellStyle name="Обычный 2 2 2 6 2" xfId="295"/>
    <cellStyle name="Обычный 2 2 2_Гидроузел на р.Тышкан" xfId="296"/>
    <cellStyle name="Обычный 2 2 3" xfId="297"/>
    <cellStyle name="Обычный 2 2 3 2" xfId="298"/>
    <cellStyle name="Обычный 2 2 3 2 2" xfId="299"/>
    <cellStyle name="Обычный 2 2 3 3" xfId="300"/>
    <cellStyle name="Обычный 2 2 4" xfId="301"/>
    <cellStyle name="Обычный 2 2 4 2" xfId="302"/>
    <cellStyle name="Обычный 2 2 4 2 2" xfId="303"/>
    <cellStyle name="Обычный 2 2 4 3" xfId="304"/>
    <cellStyle name="Обычный 2 2 5" xfId="305"/>
    <cellStyle name="Обычный 2 2 6" xfId="306"/>
    <cellStyle name="Обычный 2 2 6 2" xfId="307"/>
    <cellStyle name="Обычный 2 2_админ.расходы" xfId="308"/>
    <cellStyle name="Обычный 2 3" xfId="309"/>
    <cellStyle name="Обычный 2 3 2" xfId="310"/>
    <cellStyle name="Обычный 2 3 3" xfId="311"/>
    <cellStyle name="Обычный 2 3 4" xfId="312"/>
    <cellStyle name="Обычный 2 3_Гидроузел на р.Тышкан" xfId="313"/>
    <cellStyle name="Обычный 2 4" xfId="314"/>
    <cellStyle name="Обычный 2 4 2" xfId="315"/>
    <cellStyle name="Обычный 2 4 2 2" xfId="316"/>
    <cellStyle name="Обычный 2 4 2 2 2" xfId="317"/>
    <cellStyle name="Обычный 2 4 2 3" xfId="318"/>
    <cellStyle name="Обычный 2 4 3" xfId="319"/>
    <cellStyle name="Обычный 2 4 4" xfId="320"/>
    <cellStyle name="Обычный 2 4 5" xfId="321"/>
    <cellStyle name="Обычный 2 5" xfId="322"/>
    <cellStyle name="Обычный 2 5 2" xfId="323"/>
    <cellStyle name="Обычный 2 5 3" xfId="324"/>
    <cellStyle name="Обычный 2 6" xfId="325"/>
    <cellStyle name="Обычный 2 6 2" xfId="326"/>
    <cellStyle name="Обычный 2 6 3" xfId="327"/>
    <cellStyle name="Обычный 2 6 3 2" xfId="328"/>
    <cellStyle name="Обычный 2 6 4" xfId="329"/>
    <cellStyle name="Обычный 2 6 5" xfId="330"/>
    <cellStyle name="Обычный 2 7" xfId="331"/>
    <cellStyle name="Обычный 2 7 2" xfId="332"/>
    <cellStyle name="Обычный 2 7 3" xfId="333"/>
    <cellStyle name="Обычный 2 8" xfId="334"/>
    <cellStyle name="Обычный 2 8 2" xfId="335"/>
    <cellStyle name="Обычный 2 9" xfId="336"/>
    <cellStyle name="Обычный 2_админ.расходы" xfId="337"/>
    <cellStyle name="Обычный 20" xfId="338"/>
    <cellStyle name="Обычный 20 2" xfId="339"/>
    <cellStyle name="Обычный 20 3" xfId="340"/>
    <cellStyle name="Обычный 20 3 2" xfId="341"/>
    <cellStyle name="Обычный 20 4" xfId="342"/>
    <cellStyle name="Обычный 21" xfId="343"/>
    <cellStyle name="Обычный 21 2" xfId="344"/>
    <cellStyle name="Обычный 21 2 2" xfId="345"/>
    <cellStyle name="Обычный 21 3" xfId="346"/>
    <cellStyle name="Обычный 21 3 2" xfId="347"/>
    <cellStyle name="Обычный 21 4" xfId="348"/>
    <cellStyle name="Обычный 22" xfId="349"/>
    <cellStyle name="Обычный 22 2" xfId="350"/>
    <cellStyle name="Обычный 22 3" xfId="351"/>
    <cellStyle name="Обычный 22 3 2" xfId="352"/>
    <cellStyle name="Обычный 23" xfId="353"/>
    <cellStyle name="Обычный 23 2" xfId="354"/>
    <cellStyle name="Обычный 23 2 2" xfId="355"/>
    <cellStyle name="Обычный 23 2 2 2" xfId="356"/>
    <cellStyle name="Обычный 23 2 2 3" xfId="357"/>
    <cellStyle name="Обычный 23 2_План финансирования на 2013 год" xfId="358"/>
    <cellStyle name="Обычный 23 3" xfId="359"/>
    <cellStyle name="Обычный 23 4" xfId="360"/>
    <cellStyle name="Обычный 23 4 2" xfId="361"/>
    <cellStyle name="Обычный 23 5" xfId="362"/>
    <cellStyle name="Обычный 23 6" xfId="363"/>
    <cellStyle name="Обычный 23_админ.расходы" xfId="364"/>
    <cellStyle name="Обычный 24" xfId="365"/>
    <cellStyle name="Обычный 24 2" xfId="366"/>
    <cellStyle name="Обычный 24 3" xfId="367"/>
    <cellStyle name="Обычный 24 3 2" xfId="368"/>
    <cellStyle name="Обычный 24 4" xfId="369"/>
    <cellStyle name="Обычный 24_админ.расходы" xfId="370"/>
    <cellStyle name="Обычный 25" xfId="371"/>
    <cellStyle name="Обычный 25 2" xfId="372"/>
    <cellStyle name="Обычный 25 2 2" xfId="373"/>
    <cellStyle name="Обычный 25 3" xfId="374"/>
    <cellStyle name="Обычный 25 3 2" xfId="375"/>
    <cellStyle name="Обычный 26" xfId="376"/>
    <cellStyle name="Обычный 26 2" xfId="377"/>
    <cellStyle name="Обычный 26 2 2" xfId="378"/>
    <cellStyle name="Обычный 26 3" xfId="379"/>
    <cellStyle name="Обычный 27" xfId="380"/>
    <cellStyle name="Обычный 27 2" xfId="381"/>
    <cellStyle name="Обычный 27 2 2" xfId="382"/>
    <cellStyle name="Обычный 27 3" xfId="383"/>
    <cellStyle name="Обычный 28" xfId="384"/>
    <cellStyle name="Обычный 29" xfId="385"/>
    <cellStyle name="Обычный 29 2" xfId="386"/>
    <cellStyle name="Обычный 29 2 2" xfId="387"/>
    <cellStyle name="Обычный 29 3" xfId="388"/>
    <cellStyle name="Обычный 29 4" xfId="389"/>
    <cellStyle name="Обычный 3" xfId="5"/>
    <cellStyle name="Обычный 3 10" xfId="390"/>
    <cellStyle name="Обычный 3 11" xfId="391"/>
    <cellStyle name="Обычный 3 2" xfId="392"/>
    <cellStyle name="Обычный 3 2 2" xfId="393"/>
    <cellStyle name="Обычный 3 2 2 2" xfId="394"/>
    <cellStyle name="Обычный 3 2 2 2 2" xfId="395"/>
    <cellStyle name="Обычный 3 2 2 3" xfId="396"/>
    <cellStyle name="Обычный 3 2 3" xfId="397"/>
    <cellStyle name="Обычный 3 2 4" xfId="398"/>
    <cellStyle name="Обычный 3 2 5" xfId="399"/>
    <cellStyle name="Обычный 3 2 5 2" xfId="400"/>
    <cellStyle name="Обычный 3 2 6" xfId="401"/>
    <cellStyle name="Обычный 3 2 7" xfId="402"/>
    <cellStyle name="Обычный 3 2_Каратальская плотина" xfId="403"/>
    <cellStyle name="Обычный 3 3" xfId="404"/>
    <cellStyle name="Обычный 3 3 2" xfId="405"/>
    <cellStyle name="Обычный 3 3 3" xfId="406"/>
    <cellStyle name="Обычный 3 4" xfId="407"/>
    <cellStyle name="Обычный 3 5" xfId="408"/>
    <cellStyle name="Обычный 3 6" xfId="409"/>
    <cellStyle name="Обычный 3 7" xfId="410"/>
    <cellStyle name="Обычный 3 8" xfId="411"/>
    <cellStyle name="Обычный 3 9" xfId="412"/>
    <cellStyle name="Обычный 3 9 2" xfId="413"/>
    <cellStyle name="Обычный 3_Гидроузел на р.Тышкан" xfId="414"/>
    <cellStyle name="Обычный 30" xfId="415"/>
    <cellStyle name="Обычный 31" xfId="416"/>
    <cellStyle name="Обычный 32" xfId="417"/>
    <cellStyle name="Обычный 33" xfId="418"/>
    <cellStyle name="Обычный 33 2" xfId="419"/>
    <cellStyle name="Обычный 34" xfId="420"/>
    <cellStyle name="Обычный 34 2" xfId="421"/>
    <cellStyle name="Обычный 34_План финансирования на 2013 год" xfId="422"/>
    <cellStyle name="Обычный 35" xfId="423"/>
    <cellStyle name="Обычный 35 2" xfId="424"/>
    <cellStyle name="Обычный 36" xfId="425"/>
    <cellStyle name="Обычный 37" xfId="426"/>
    <cellStyle name="Обычный 38" xfId="427"/>
    <cellStyle name="Обычный 39" xfId="428"/>
    <cellStyle name="Обычный 4" xfId="429"/>
    <cellStyle name="Обычный 4 2" xfId="430"/>
    <cellStyle name="Обычный 4 3" xfId="431"/>
    <cellStyle name="Обычный 4 3 2" xfId="432"/>
    <cellStyle name="Обычный 4 3 2 2" xfId="433"/>
    <cellStyle name="Обычный 4 3 3" xfId="434"/>
    <cellStyle name="Обычный 4 4" xfId="435"/>
    <cellStyle name="Обычный 4 4 2" xfId="436"/>
    <cellStyle name="Обычный 4 5" xfId="437"/>
    <cellStyle name="Обычный 4 6" xfId="438"/>
    <cellStyle name="Обычный 4_админ.расходы" xfId="439"/>
    <cellStyle name="Обычный 40" xfId="440"/>
    <cellStyle name="Обычный 41" xfId="441"/>
    <cellStyle name="Обычный 42" xfId="442"/>
    <cellStyle name="Обычный 43" xfId="443"/>
    <cellStyle name="Обычный 44" xfId="444"/>
    <cellStyle name="Обычный 45" xfId="445"/>
    <cellStyle name="Обычный 46" xfId="446"/>
    <cellStyle name="Обычный 47" xfId="447"/>
    <cellStyle name="Обычный 47 2" xfId="448"/>
    <cellStyle name="Обычный 47 3" xfId="449"/>
    <cellStyle name="Обычный 47 4" xfId="450"/>
    <cellStyle name="Обычный 48" xfId="451"/>
    <cellStyle name="Обычный 49" xfId="452"/>
    <cellStyle name="Обычный 5" xfId="453"/>
    <cellStyle name="Обычный 5 2" xfId="454"/>
    <cellStyle name="Обычный 5 2 2" xfId="455"/>
    <cellStyle name="Обычный 5 2 2 2" xfId="456"/>
    <cellStyle name="Обычный 5 2 3" xfId="457"/>
    <cellStyle name="Обычный 5 3" xfId="458"/>
    <cellStyle name="Обычный 5 4" xfId="459"/>
    <cellStyle name="Обычный 5_Гидроузел на р.Тышкан" xfId="460"/>
    <cellStyle name="Обычный 50" xfId="461"/>
    <cellStyle name="Обычный 51" xfId="462"/>
    <cellStyle name="Обычный 52" xfId="463"/>
    <cellStyle name="Обычный 53" xfId="464"/>
    <cellStyle name="Обычный 53 2" xfId="465"/>
    <cellStyle name="Обычный 54" xfId="466"/>
    <cellStyle name="Обычный 55" xfId="467"/>
    <cellStyle name="Обычный 56" xfId="468"/>
    <cellStyle name="Обычный 57" xfId="469"/>
    <cellStyle name="Обычный 57 2" xfId="470"/>
    <cellStyle name="Обычный 58" xfId="471"/>
    <cellStyle name="Обычный 6" xfId="472"/>
    <cellStyle name="Обычный 6 2" xfId="473"/>
    <cellStyle name="Обычный 6 2 2" xfId="474"/>
    <cellStyle name="Обычный 6 2 2 2" xfId="475"/>
    <cellStyle name="Обычный 6 2 3" xfId="476"/>
    <cellStyle name="Обычный 6 3" xfId="477"/>
    <cellStyle name="Обычный 6 4" xfId="478"/>
    <cellStyle name="Обычный 6_Гидроузел на р.Тышкан" xfId="479"/>
    <cellStyle name="Обычный 60" xfId="480"/>
    <cellStyle name="Обычный 7" xfId="481"/>
    <cellStyle name="Обычный 7 2" xfId="482"/>
    <cellStyle name="Обычный 7 2 2" xfId="483"/>
    <cellStyle name="Обычный 7 2 2 2" xfId="484"/>
    <cellStyle name="Обычный 7 2 3" xfId="485"/>
    <cellStyle name="Обычный 7 3" xfId="486"/>
    <cellStyle name="Обычный 7 4" xfId="487"/>
    <cellStyle name="Обычный 7_Гидроузел на р.Тышкан" xfId="488"/>
    <cellStyle name="Обычный 71 5" xfId="489"/>
    <cellStyle name="Обычный 77" xfId="490"/>
    <cellStyle name="Обычный 78" xfId="491"/>
    <cellStyle name="Обычный 8" xfId="492"/>
    <cellStyle name="Обычный 8 2" xfId="493"/>
    <cellStyle name="Обычный 8 2 2" xfId="494"/>
    <cellStyle name="Обычный 8 2 2 2" xfId="495"/>
    <cellStyle name="Обычный 8 2 3" xfId="496"/>
    <cellStyle name="Обычный 8 3" xfId="497"/>
    <cellStyle name="Обычный 8 4" xfId="498"/>
    <cellStyle name="Обычный 8_Гидроузел на р.Тышкан" xfId="499"/>
    <cellStyle name="Обычный 9" xfId="500"/>
    <cellStyle name="Обычный 9 2" xfId="501"/>
    <cellStyle name="Обычный 9 2 2" xfId="502"/>
    <cellStyle name="Обычный 9 2 2 2" xfId="503"/>
    <cellStyle name="Обычный 9 2 3" xfId="504"/>
    <cellStyle name="Обычный 9 3" xfId="505"/>
    <cellStyle name="Обычный 9 4" xfId="506"/>
    <cellStyle name="Обычный 9_Каратальская плотина" xfId="507"/>
    <cellStyle name="Отличный" xfId="508"/>
    <cellStyle name="Отличный 2" xfId="509"/>
    <cellStyle name="Плохой 2" xfId="510"/>
    <cellStyle name="Плохой 2 2" xfId="511"/>
    <cellStyle name="Плохой 2_Электроэнергия" xfId="512"/>
    <cellStyle name="Пояснение 2" xfId="513"/>
    <cellStyle name="Пояснение 2 2" xfId="514"/>
    <cellStyle name="Пояснение 2_Электроэнергия" xfId="515"/>
    <cellStyle name="Примечание 2" xfId="516"/>
    <cellStyle name="Примечание 2 2" xfId="517"/>
    <cellStyle name="Примечание 3" xfId="518"/>
    <cellStyle name="Примечание 3 2" xfId="519"/>
    <cellStyle name="Примечание 3 2 2" xfId="520"/>
    <cellStyle name="Примечание 3 3" xfId="521"/>
    <cellStyle name="Примечание 4" xfId="522"/>
    <cellStyle name="Процентный 2" xfId="523"/>
    <cellStyle name="Процентный 2 2" xfId="524"/>
    <cellStyle name="Процентный 2 2 2" xfId="525"/>
    <cellStyle name="Процентный 2 2 3" xfId="526"/>
    <cellStyle name="Процентный 2 3" xfId="527"/>
    <cellStyle name="Процентный 2 3 2" xfId="528"/>
    <cellStyle name="Процентный 2 4" xfId="529"/>
    <cellStyle name="Процентный 3" xfId="530"/>
    <cellStyle name="Процентный 3 2" xfId="531"/>
    <cellStyle name="Процентный 3 2 2" xfId="532"/>
    <cellStyle name="Процентный 3 2 2 2" xfId="533"/>
    <cellStyle name="Процентный 3 2 3" xfId="534"/>
    <cellStyle name="Процентный 3 3" xfId="535"/>
    <cellStyle name="Процентный 3 3 2" xfId="536"/>
    <cellStyle name="Процентный 3 4" xfId="537"/>
    <cellStyle name="Процентный 3 4 2" xfId="538"/>
    <cellStyle name="Процентный 3 5" xfId="539"/>
    <cellStyle name="Процентный 3 5 2" xfId="540"/>
    <cellStyle name="Процентный 3 5 3" xfId="541"/>
    <cellStyle name="Процентный 4" xfId="542"/>
    <cellStyle name="Процентный 5" xfId="543"/>
    <cellStyle name="Процентный 5 2" xfId="544"/>
    <cellStyle name="Процентный 5 2 2" xfId="545"/>
    <cellStyle name="Связанная ячейка 2" xfId="546"/>
    <cellStyle name="Связанная ячейка 2 2" xfId="547"/>
    <cellStyle name="Связанная ячейка 2_Электроэнергия" xfId="548"/>
    <cellStyle name="Стиль 1" xfId="549"/>
    <cellStyle name="Стиль 1 2" xfId="550"/>
    <cellStyle name="Стиль 1 2 2" xfId="551"/>
    <cellStyle name="Стиль 1 3" xfId="552"/>
    <cellStyle name="Стиль 1 3 2" xfId="553"/>
    <cellStyle name="Стиль 1 3 2 2" xfId="554"/>
    <cellStyle name="Стиль 1 3 3" xfId="555"/>
    <cellStyle name="Стиль 1 4" xfId="556"/>
    <cellStyle name="Стиль 1_штатное расписание на 2012 год (2.12.11)" xfId="557"/>
    <cellStyle name="Супер" xfId="558"/>
    <cellStyle name="Текст предупреждения 2" xfId="559"/>
    <cellStyle name="Текст предупреждения 2 2" xfId="560"/>
    <cellStyle name="Текст предупреждения 2_Электроэнергия" xfId="561"/>
    <cellStyle name="Финансовый 2" xfId="562"/>
    <cellStyle name="Финансовый 2 2" xfId="563"/>
    <cellStyle name="Финансовый 2 2 2" xfId="564"/>
    <cellStyle name="Финансовый 2 3" xfId="565"/>
    <cellStyle name="Финансовый 2 3 2" xfId="566"/>
    <cellStyle name="Финансовый 2 3 2 2" xfId="567"/>
    <cellStyle name="Финансовый 2 3 3" xfId="568"/>
    <cellStyle name="Финансовый 2 3 4" xfId="569"/>
    <cellStyle name="Финансовый 2 4" xfId="570"/>
    <cellStyle name="Финансовый 2 5" xfId="571"/>
    <cellStyle name="Финансовый 3" xfId="572"/>
    <cellStyle name="Хороший 2" xfId="573"/>
    <cellStyle name="Хороший 2 2" xfId="574"/>
    <cellStyle name="Хороший 2_Электроэнергия" xfId="575"/>
    <cellStyle name="Хороший 3" xfId="5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at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opLeftCell="A3" workbookViewId="0">
      <selection activeCell="O11" sqref="O11"/>
    </sheetView>
  </sheetViews>
  <sheetFormatPr defaultRowHeight="12.75"/>
  <cols>
    <col min="1" max="1" width="1.42578125" style="19" customWidth="1"/>
    <col min="2" max="2" width="6.42578125" style="19" customWidth="1"/>
    <col min="3" max="3" width="48.7109375" style="19" customWidth="1"/>
    <col min="4" max="4" width="8.5703125" style="19" customWidth="1"/>
    <col min="5" max="5" width="17" style="19" customWidth="1"/>
    <col min="6" max="7" width="9.140625" style="19" hidden="1" customWidth="1"/>
    <col min="8" max="8" width="11.5703125" style="20" hidden="1" customWidth="1"/>
    <col min="9" max="9" width="14.28515625" style="20" hidden="1" customWidth="1"/>
    <col min="10" max="10" width="15.140625" style="20" hidden="1" customWidth="1"/>
    <col min="11" max="14" width="15.42578125" style="20" hidden="1" customWidth="1"/>
    <col min="15" max="15" width="19" style="20" customWidth="1"/>
    <col min="16" max="16" width="11.85546875" style="19" hidden="1" customWidth="1"/>
    <col min="17" max="19" width="0" style="19" hidden="1" customWidth="1"/>
    <col min="20" max="20" width="39.85546875" style="19" customWidth="1"/>
    <col min="21" max="257" width="9.140625" style="19"/>
    <col min="258" max="258" width="1.42578125" style="19" customWidth="1"/>
    <col min="259" max="259" width="6.42578125" style="19" customWidth="1"/>
    <col min="260" max="260" width="48.7109375" style="19" customWidth="1"/>
    <col min="261" max="261" width="8.5703125" style="19" customWidth="1"/>
    <col min="262" max="262" width="10.7109375" style="19" bestFit="1" customWidth="1"/>
    <col min="263" max="513" width="9.140625" style="19"/>
    <col min="514" max="514" width="1.42578125" style="19" customWidth="1"/>
    <col min="515" max="515" width="6.42578125" style="19" customWidth="1"/>
    <col min="516" max="516" width="48.7109375" style="19" customWidth="1"/>
    <col min="517" max="517" width="8.5703125" style="19" customWidth="1"/>
    <col min="518" max="518" width="10.7109375" style="19" bestFit="1" customWidth="1"/>
    <col min="519" max="769" width="9.140625" style="19"/>
    <col min="770" max="770" width="1.42578125" style="19" customWidth="1"/>
    <col min="771" max="771" width="6.42578125" style="19" customWidth="1"/>
    <col min="772" max="772" width="48.7109375" style="19" customWidth="1"/>
    <col min="773" max="773" width="8.5703125" style="19" customWidth="1"/>
    <col min="774" max="774" width="10.7109375" style="19" bestFit="1" customWidth="1"/>
    <col min="775" max="1025" width="9.140625" style="19"/>
    <col min="1026" max="1026" width="1.42578125" style="19" customWidth="1"/>
    <col min="1027" max="1027" width="6.42578125" style="19" customWidth="1"/>
    <col min="1028" max="1028" width="48.7109375" style="19" customWidth="1"/>
    <col min="1029" max="1029" width="8.5703125" style="19" customWidth="1"/>
    <col min="1030" max="1030" width="10.7109375" style="19" bestFit="1" customWidth="1"/>
    <col min="1031" max="1281" width="9.140625" style="19"/>
    <col min="1282" max="1282" width="1.42578125" style="19" customWidth="1"/>
    <col min="1283" max="1283" width="6.42578125" style="19" customWidth="1"/>
    <col min="1284" max="1284" width="48.7109375" style="19" customWidth="1"/>
    <col min="1285" max="1285" width="8.5703125" style="19" customWidth="1"/>
    <col min="1286" max="1286" width="10.7109375" style="19" bestFit="1" customWidth="1"/>
    <col min="1287" max="1537" width="9.140625" style="19"/>
    <col min="1538" max="1538" width="1.42578125" style="19" customWidth="1"/>
    <col min="1539" max="1539" width="6.42578125" style="19" customWidth="1"/>
    <col min="1540" max="1540" width="48.7109375" style="19" customWidth="1"/>
    <col min="1541" max="1541" width="8.5703125" style="19" customWidth="1"/>
    <col min="1542" max="1542" width="10.7109375" style="19" bestFit="1" customWidth="1"/>
    <col min="1543" max="1793" width="9.140625" style="19"/>
    <col min="1794" max="1794" width="1.42578125" style="19" customWidth="1"/>
    <col min="1795" max="1795" width="6.42578125" style="19" customWidth="1"/>
    <col min="1796" max="1796" width="48.7109375" style="19" customWidth="1"/>
    <col min="1797" max="1797" width="8.5703125" style="19" customWidth="1"/>
    <col min="1798" max="1798" width="10.7109375" style="19" bestFit="1" customWidth="1"/>
    <col min="1799" max="2049" width="9.140625" style="19"/>
    <col min="2050" max="2050" width="1.42578125" style="19" customWidth="1"/>
    <col min="2051" max="2051" width="6.42578125" style="19" customWidth="1"/>
    <col min="2052" max="2052" width="48.7109375" style="19" customWidth="1"/>
    <col min="2053" max="2053" width="8.5703125" style="19" customWidth="1"/>
    <col min="2054" max="2054" width="10.7109375" style="19" bestFit="1" customWidth="1"/>
    <col min="2055" max="2305" width="9.140625" style="19"/>
    <col min="2306" max="2306" width="1.42578125" style="19" customWidth="1"/>
    <col min="2307" max="2307" width="6.42578125" style="19" customWidth="1"/>
    <col min="2308" max="2308" width="48.7109375" style="19" customWidth="1"/>
    <col min="2309" max="2309" width="8.5703125" style="19" customWidth="1"/>
    <col min="2310" max="2310" width="10.7109375" style="19" bestFit="1" customWidth="1"/>
    <col min="2311" max="2561" width="9.140625" style="19"/>
    <col min="2562" max="2562" width="1.42578125" style="19" customWidth="1"/>
    <col min="2563" max="2563" width="6.42578125" style="19" customWidth="1"/>
    <col min="2564" max="2564" width="48.7109375" style="19" customWidth="1"/>
    <col min="2565" max="2565" width="8.5703125" style="19" customWidth="1"/>
    <col min="2566" max="2566" width="10.7109375" style="19" bestFit="1" customWidth="1"/>
    <col min="2567" max="2817" width="9.140625" style="19"/>
    <col min="2818" max="2818" width="1.42578125" style="19" customWidth="1"/>
    <col min="2819" max="2819" width="6.42578125" style="19" customWidth="1"/>
    <col min="2820" max="2820" width="48.7109375" style="19" customWidth="1"/>
    <col min="2821" max="2821" width="8.5703125" style="19" customWidth="1"/>
    <col min="2822" max="2822" width="10.7109375" style="19" bestFit="1" customWidth="1"/>
    <col min="2823" max="3073" width="9.140625" style="19"/>
    <col min="3074" max="3074" width="1.42578125" style="19" customWidth="1"/>
    <col min="3075" max="3075" width="6.42578125" style="19" customWidth="1"/>
    <col min="3076" max="3076" width="48.7109375" style="19" customWidth="1"/>
    <col min="3077" max="3077" width="8.5703125" style="19" customWidth="1"/>
    <col min="3078" max="3078" width="10.7109375" style="19" bestFit="1" customWidth="1"/>
    <col min="3079" max="3329" width="9.140625" style="19"/>
    <col min="3330" max="3330" width="1.42578125" style="19" customWidth="1"/>
    <col min="3331" max="3331" width="6.42578125" style="19" customWidth="1"/>
    <col min="3332" max="3332" width="48.7109375" style="19" customWidth="1"/>
    <col min="3333" max="3333" width="8.5703125" style="19" customWidth="1"/>
    <col min="3334" max="3334" width="10.7109375" style="19" bestFit="1" customWidth="1"/>
    <col min="3335" max="3585" width="9.140625" style="19"/>
    <col min="3586" max="3586" width="1.42578125" style="19" customWidth="1"/>
    <col min="3587" max="3587" width="6.42578125" style="19" customWidth="1"/>
    <col min="3588" max="3588" width="48.7109375" style="19" customWidth="1"/>
    <col min="3589" max="3589" width="8.5703125" style="19" customWidth="1"/>
    <col min="3590" max="3590" width="10.7109375" style="19" bestFit="1" customWidth="1"/>
    <col min="3591" max="3841" width="9.140625" style="19"/>
    <col min="3842" max="3842" width="1.42578125" style="19" customWidth="1"/>
    <col min="3843" max="3843" width="6.42578125" style="19" customWidth="1"/>
    <col min="3844" max="3844" width="48.7109375" style="19" customWidth="1"/>
    <col min="3845" max="3845" width="8.5703125" style="19" customWidth="1"/>
    <col min="3846" max="3846" width="10.7109375" style="19" bestFit="1" customWidth="1"/>
    <col min="3847" max="4097" width="9.140625" style="19"/>
    <col min="4098" max="4098" width="1.42578125" style="19" customWidth="1"/>
    <col min="4099" max="4099" width="6.42578125" style="19" customWidth="1"/>
    <col min="4100" max="4100" width="48.7109375" style="19" customWidth="1"/>
    <col min="4101" max="4101" width="8.5703125" style="19" customWidth="1"/>
    <col min="4102" max="4102" width="10.7109375" style="19" bestFit="1" customWidth="1"/>
    <col min="4103" max="4353" width="9.140625" style="19"/>
    <col min="4354" max="4354" width="1.42578125" style="19" customWidth="1"/>
    <col min="4355" max="4355" width="6.42578125" style="19" customWidth="1"/>
    <col min="4356" max="4356" width="48.7109375" style="19" customWidth="1"/>
    <col min="4357" max="4357" width="8.5703125" style="19" customWidth="1"/>
    <col min="4358" max="4358" width="10.7109375" style="19" bestFit="1" customWidth="1"/>
    <col min="4359" max="4609" width="9.140625" style="19"/>
    <col min="4610" max="4610" width="1.42578125" style="19" customWidth="1"/>
    <col min="4611" max="4611" width="6.42578125" style="19" customWidth="1"/>
    <col min="4612" max="4612" width="48.7109375" style="19" customWidth="1"/>
    <col min="4613" max="4613" width="8.5703125" style="19" customWidth="1"/>
    <col min="4614" max="4614" width="10.7109375" style="19" bestFit="1" customWidth="1"/>
    <col min="4615" max="4865" width="9.140625" style="19"/>
    <col min="4866" max="4866" width="1.42578125" style="19" customWidth="1"/>
    <col min="4867" max="4867" width="6.42578125" style="19" customWidth="1"/>
    <col min="4868" max="4868" width="48.7109375" style="19" customWidth="1"/>
    <col min="4869" max="4869" width="8.5703125" style="19" customWidth="1"/>
    <col min="4870" max="4870" width="10.7109375" style="19" bestFit="1" customWidth="1"/>
    <col min="4871" max="5121" width="9.140625" style="19"/>
    <col min="5122" max="5122" width="1.42578125" style="19" customWidth="1"/>
    <col min="5123" max="5123" width="6.42578125" style="19" customWidth="1"/>
    <col min="5124" max="5124" width="48.7109375" style="19" customWidth="1"/>
    <col min="5125" max="5125" width="8.5703125" style="19" customWidth="1"/>
    <col min="5126" max="5126" width="10.7109375" style="19" bestFit="1" customWidth="1"/>
    <col min="5127" max="5377" width="9.140625" style="19"/>
    <col min="5378" max="5378" width="1.42578125" style="19" customWidth="1"/>
    <col min="5379" max="5379" width="6.42578125" style="19" customWidth="1"/>
    <col min="5380" max="5380" width="48.7109375" style="19" customWidth="1"/>
    <col min="5381" max="5381" width="8.5703125" style="19" customWidth="1"/>
    <col min="5382" max="5382" width="10.7109375" style="19" bestFit="1" customWidth="1"/>
    <col min="5383" max="5633" width="9.140625" style="19"/>
    <col min="5634" max="5634" width="1.42578125" style="19" customWidth="1"/>
    <col min="5635" max="5635" width="6.42578125" style="19" customWidth="1"/>
    <col min="5636" max="5636" width="48.7109375" style="19" customWidth="1"/>
    <col min="5637" max="5637" width="8.5703125" style="19" customWidth="1"/>
    <col min="5638" max="5638" width="10.7109375" style="19" bestFit="1" customWidth="1"/>
    <col min="5639" max="5889" width="9.140625" style="19"/>
    <col min="5890" max="5890" width="1.42578125" style="19" customWidth="1"/>
    <col min="5891" max="5891" width="6.42578125" style="19" customWidth="1"/>
    <col min="5892" max="5892" width="48.7109375" style="19" customWidth="1"/>
    <col min="5893" max="5893" width="8.5703125" style="19" customWidth="1"/>
    <col min="5894" max="5894" width="10.7109375" style="19" bestFit="1" customWidth="1"/>
    <col min="5895" max="6145" width="9.140625" style="19"/>
    <col min="6146" max="6146" width="1.42578125" style="19" customWidth="1"/>
    <col min="6147" max="6147" width="6.42578125" style="19" customWidth="1"/>
    <col min="6148" max="6148" width="48.7109375" style="19" customWidth="1"/>
    <col min="6149" max="6149" width="8.5703125" style="19" customWidth="1"/>
    <col min="6150" max="6150" width="10.7109375" style="19" bestFit="1" customWidth="1"/>
    <col min="6151" max="6401" width="9.140625" style="19"/>
    <col min="6402" max="6402" width="1.42578125" style="19" customWidth="1"/>
    <col min="6403" max="6403" width="6.42578125" style="19" customWidth="1"/>
    <col min="6404" max="6404" width="48.7109375" style="19" customWidth="1"/>
    <col min="6405" max="6405" width="8.5703125" style="19" customWidth="1"/>
    <col min="6406" max="6406" width="10.7109375" style="19" bestFit="1" customWidth="1"/>
    <col min="6407" max="6657" width="9.140625" style="19"/>
    <col min="6658" max="6658" width="1.42578125" style="19" customWidth="1"/>
    <col min="6659" max="6659" width="6.42578125" style="19" customWidth="1"/>
    <col min="6660" max="6660" width="48.7109375" style="19" customWidth="1"/>
    <col min="6661" max="6661" width="8.5703125" style="19" customWidth="1"/>
    <col min="6662" max="6662" width="10.7109375" style="19" bestFit="1" customWidth="1"/>
    <col min="6663" max="6913" width="9.140625" style="19"/>
    <col min="6914" max="6914" width="1.42578125" style="19" customWidth="1"/>
    <col min="6915" max="6915" width="6.42578125" style="19" customWidth="1"/>
    <col min="6916" max="6916" width="48.7109375" style="19" customWidth="1"/>
    <col min="6917" max="6917" width="8.5703125" style="19" customWidth="1"/>
    <col min="6918" max="6918" width="10.7109375" style="19" bestFit="1" customWidth="1"/>
    <col min="6919" max="7169" width="9.140625" style="19"/>
    <col min="7170" max="7170" width="1.42578125" style="19" customWidth="1"/>
    <col min="7171" max="7171" width="6.42578125" style="19" customWidth="1"/>
    <col min="7172" max="7172" width="48.7109375" style="19" customWidth="1"/>
    <col min="7173" max="7173" width="8.5703125" style="19" customWidth="1"/>
    <col min="7174" max="7174" width="10.7109375" style="19" bestFit="1" customWidth="1"/>
    <col min="7175" max="7425" width="9.140625" style="19"/>
    <col min="7426" max="7426" width="1.42578125" style="19" customWidth="1"/>
    <col min="7427" max="7427" width="6.42578125" style="19" customWidth="1"/>
    <col min="7428" max="7428" width="48.7109375" style="19" customWidth="1"/>
    <col min="7429" max="7429" width="8.5703125" style="19" customWidth="1"/>
    <col min="7430" max="7430" width="10.7109375" style="19" bestFit="1" customWidth="1"/>
    <col min="7431" max="7681" width="9.140625" style="19"/>
    <col min="7682" max="7682" width="1.42578125" style="19" customWidth="1"/>
    <col min="7683" max="7683" width="6.42578125" style="19" customWidth="1"/>
    <col min="7684" max="7684" width="48.7109375" style="19" customWidth="1"/>
    <col min="7685" max="7685" width="8.5703125" style="19" customWidth="1"/>
    <col min="7686" max="7686" width="10.7109375" style="19" bestFit="1" customWidth="1"/>
    <col min="7687" max="7937" width="9.140625" style="19"/>
    <col min="7938" max="7938" width="1.42578125" style="19" customWidth="1"/>
    <col min="7939" max="7939" width="6.42578125" style="19" customWidth="1"/>
    <col min="7940" max="7940" width="48.7109375" style="19" customWidth="1"/>
    <col min="7941" max="7941" width="8.5703125" style="19" customWidth="1"/>
    <col min="7942" max="7942" width="10.7109375" style="19" bestFit="1" customWidth="1"/>
    <col min="7943" max="8193" width="9.140625" style="19"/>
    <col min="8194" max="8194" width="1.42578125" style="19" customWidth="1"/>
    <col min="8195" max="8195" width="6.42578125" style="19" customWidth="1"/>
    <col min="8196" max="8196" width="48.7109375" style="19" customWidth="1"/>
    <col min="8197" max="8197" width="8.5703125" style="19" customWidth="1"/>
    <col min="8198" max="8198" width="10.7109375" style="19" bestFit="1" customWidth="1"/>
    <col min="8199" max="8449" width="9.140625" style="19"/>
    <col min="8450" max="8450" width="1.42578125" style="19" customWidth="1"/>
    <col min="8451" max="8451" width="6.42578125" style="19" customWidth="1"/>
    <col min="8452" max="8452" width="48.7109375" style="19" customWidth="1"/>
    <col min="8453" max="8453" width="8.5703125" style="19" customWidth="1"/>
    <col min="8454" max="8454" width="10.7109375" style="19" bestFit="1" customWidth="1"/>
    <col min="8455" max="8705" width="9.140625" style="19"/>
    <col min="8706" max="8706" width="1.42578125" style="19" customWidth="1"/>
    <col min="8707" max="8707" width="6.42578125" style="19" customWidth="1"/>
    <col min="8708" max="8708" width="48.7109375" style="19" customWidth="1"/>
    <col min="8709" max="8709" width="8.5703125" style="19" customWidth="1"/>
    <col min="8710" max="8710" width="10.7109375" style="19" bestFit="1" customWidth="1"/>
    <col min="8711" max="8961" width="9.140625" style="19"/>
    <col min="8962" max="8962" width="1.42578125" style="19" customWidth="1"/>
    <col min="8963" max="8963" width="6.42578125" style="19" customWidth="1"/>
    <col min="8964" max="8964" width="48.7109375" style="19" customWidth="1"/>
    <col min="8965" max="8965" width="8.5703125" style="19" customWidth="1"/>
    <col min="8966" max="8966" width="10.7109375" style="19" bestFit="1" customWidth="1"/>
    <col min="8967" max="9217" width="9.140625" style="19"/>
    <col min="9218" max="9218" width="1.42578125" style="19" customWidth="1"/>
    <col min="9219" max="9219" width="6.42578125" style="19" customWidth="1"/>
    <col min="9220" max="9220" width="48.7109375" style="19" customWidth="1"/>
    <col min="9221" max="9221" width="8.5703125" style="19" customWidth="1"/>
    <col min="9222" max="9222" width="10.7109375" style="19" bestFit="1" customWidth="1"/>
    <col min="9223" max="9473" width="9.140625" style="19"/>
    <col min="9474" max="9474" width="1.42578125" style="19" customWidth="1"/>
    <col min="9475" max="9475" width="6.42578125" style="19" customWidth="1"/>
    <col min="9476" max="9476" width="48.7109375" style="19" customWidth="1"/>
    <col min="9477" max="9477" width="8.5703125" style="19" customWidth="1"/>
    <col min="9478" max="9478" width="10.7109375" style="19" bestFit="1" customWidth="1"/>
    <col min="9479" max="9729" width="9.140625" style="19"/>
    <col min="9730" max="9730" width="1.42578125" style="19" customWidth="1"/>
    <col min="9731" max="9731" width="6.42578125" style="19" customWidth="1"/>
    <col min="9732" max="9732" width="48.7109375" style="19" customWidth="1"/>
    <col min="9733" max="9733" width="8.5703125" style="19" customWidth="1"/>
    <col min="9734" max="9734" width="10.7109375" style="19" bestFit="1" customWidth="1"/>
    <col min="9735" max="9985" width="9.140625" style="19"/>
    <col min="9986" max="9986" width="1.42578125" style="19" customWidth="1"/>
    <col min="9987" max="9987" width="6.42578125" style="19" customWidth="1"/>
    <col min="9988" max="9988" width="48.7109375" style="19" customWidth="1"/>
    <col min="9989" max="9989" width="8.5703125" style="19" customWidth="1"/>
    <col min="9990" max="9990" width="10.7109375" style="19" bestFit="1" customWidth="1"/>
    <col min="9991" max="10241" width="9.140625" style="19"/>
    <col min="10242" max="10242" width="1.42578125" style="19" customWidth="1"/>
    <col min="10243" max="10243" width="6.42578125" style="19" customWidth="1"/>
    <col min="10244" max="10244" width="48.7109375" style="19" customWidth="1"/>
    <col min="10245" max="10245" width="8.5703125" style="19" customWidth="1"/>
    <col min="10246" max="10246" width="10.7109375" style="19" bestFit="1" customWidth="1"/>
    <col min="10247" max="10497" width="9.140625" style="19"/>
    <col min="10498" max="10498" width="1.42578125" style="19" customWidth="1"/>
    <col min="10499" max="10499" width="6.42578125" style="19" customWidth="1"/>
    <col min="10500" max="10500" width="48.7109375" style="19" customWidth="1"/>
    <col min="10501" max="10501" width="8.5703125" style="19" customWidth="1"/>
    <col min="10502" max="10502" width="10.7109375" style="19" bestFit="1" customWidth="1"/>
    <col min="10503" max="10753" width="9.140625" style="19"/>
    <col min="10754" max="10754" width="1.42578125" style="19" customWidth="1"/>
    <col min="10755" max="10755" width="6.42578125" style="19" customWidth="1"/>
    <col min="10756" max="10756" width="48.7109375" style="19" customWidth="1"/>
    <col min="10757" max="10757" width="8.5703125" style="19" customWidth="1"/>
    <col min="10758" max="10758" width="10.7109375" style="19" bestFit="1" customWidth="1"/>
    <col min="10759" max="11009" width="9.140625" style="19"/>
    <col min="11010" max="11010" width="1.42578125" style="19" customWidth="1"/>
    <col min="11011" max="11011" width="6.42578125" style="19" customWidth="1"/>
    <col min="11012" max="11012" width="48.7109375" style="19" customWidth="1"/>
    <col min="11013" max="11013" width="8.5703125" style="19" customWidth="1"/>
    <col min="11014" max="11014" width="10.7109375" style="19" bestFit="1" customWidth="1"/>
    <col min="11015" max="11265" width="9.140625" style="19"/>
    <col min="11266" max="11266" width="1.42578125" style="19" customWidth="1"/>
    <col min="11267" max="11267" width="6.42578125" style="19" customWidth="1"/>
    <col min="11268" max="11268" width="48.7109375" style="19" customWidth="1"/>
    <col min="11269" max="11269" width="8.5703125" style="19" customWidth="1"/>
    <col min="11270" max="11270" width="10.7109375" style="19" bestFit="1" customWidth="1"/>
    <col min="11271" max="11521" width="9.140625" style="19"/>
    <col min="11522" max="11522" width="1.42578125" style="19" customWidth="1"/>
    <col min="11523" max="11523" width="6.42578125" style="19" customWidth="1"/>
    <col min="11524" max="11524" width="48.7109375" style="19" customWidth="1"/>
    <col min="11525" max="11525" width="8.5703125" style="19" customWidth="1"/>
    <col min="11526" max="11526" width="10.7109375" style="19" bestFit="1" customWidth="1"/>
    <col min="11527" max="11777" width="9.140625" style="19"/>
    <col min="11778" max="11778" width="1.42578125" style="19" customWidth="1"/>
    <col min="11779" max="11779" width="6.42578125" style="19" customWidth="1"/>
    <col min="11780" max="11780" width="48.7109375" style="19" customWidth="1"/>
    <col min="11781" max="11781" width="8.5703125" style="19" customWidth="1"/>
    <col min="11782" max="11782" width="10.7109375" style="19" bestFit="1" customWidth="1"/>
    <col min="11783" max="12033" width="9.140625" style="19"/>
    <col min="12034" max="12034" width="1.42578125" style="19" customWidth="1"/>
    <col min="12035" max="12035" width="6.42578125" style="19" customWidth="1"/>
    <col min="12036" max="12036" width="48.7109375" style="19" customWidth="1"/>
    <col min="12037" max="12037" width="8.5703125" style="19" customWidth="1"/>
    <col min="12038" max="12038" width="10.7109375" style="19" bestFit="1" customWidth="1"/>
    <col min="12039" max="12289" width="9.140625" style="19"/>
    <col min="12290" max="12290" width="1.42578125" style="19" customWidth="1"/>
    <col min="12291" max="12291" width="6.42578125" style="19" customWidth="1"/>
    <col min="12292" max="12292" width="48.7109375" style="19" customWidth="1"/>
    <col min="12293" max="12293" width="8.5703125" style="19" customWidth="1"/>
    <col min="12294" max="12294" width="10.7109375" style="19" bestFit="1" customWidth="1"/>
    <col min="12295" max="12545" width="9.140625" style="19"/>
    <col min="12546" max="12546" width="1.42578125" style="19" customWidth="1"/>
    <col min="12547" max="12547" width="6.42578125" style="19" customWidth="1"/>
    <col min="12548" max="12548" width="48.7109375" style="19" customWidth="1"/>
    <col min="12549" max="12549" width="8.5703125" style="19" customWidth="1"/>
    <col min="12550" max="12550" width="10.7109375" style="19" bestFit="1" customWidth="1"/>
    <col min="12551" max="12801" width="9.140625" style="19"/>
    <col min="12802" max="12802" width="1.42578125" style="19" customWidth="1"/>
    <col min="12803" max="12803" width="6.42578125" style="19" customWidth="1"/>
    <col min="12804" max="12804" width="48.7109375" style="19" customWidth="1"/>
    <col min="12805" max="12805" width="8.5703125" style="19" customWidth="1"/>
    <col min="12806" max="12806" width="10.7109375" style="19" bestFit="1" customWidth="1"/>
    <col min="12807" max="13057" width="9.140625" style="19"/>
    <col min="13058" max="13058" width="1.42578125" style="19" customWidth="1"/>
    <col min="13059" max="13059" width="6.42578125" style="19" customWidth="1"/>
    <col min="13060" max="13060" width="48.7109375" style="19" customWidth="1"/>
    <col min="13061" max="13061" width="8.5703125" style="19" customWidth="1"/>
    <col min="13062" max="13062" width="10.7109375" style="19" bestFit="1" customWidth="1"/>
    <col min="13063" max="13313" width="9.140625" style="19"/>
    <col min="13314" max="13314" width="1.42578125" style="19" customWidth="1"/>
    <col min="13315" max="13315" width="6.42578125" style="19" customWidth="1"/>
    <col min="13316" max="13316" width="48.7109375" style="19" customWidth="1"/>
    <col min="13317" max="13317" width="8.5703125" style="19" customWidth="1"/>
    <col min="13318" max="13318" width="10.7109375" style="19" bestFit="1" customWidth="1"/>
    <col min="13319" max="13569" width="9.140625" style="19"/>
    <col min="13570" max="13570" width="1.42578125" style="19" customWidth="1"/>
    <col min="13571" max="13571" width="6.42578125" style="19" customWidth="1"/>
    <col min="13572" max="13572" width="48.7109375" style="19" customWidth="1"/>
    <col min="13573" max="13573" width="8.5703125" style="19" customWidth="1"/>
    <col min="13574" max="13574" width="10.7109375" style="19" bestFit="1" customWidth="1"/>
    <col min="13575" max="13825" width="9.140625" style="19"/>
    <col min="13826" max="13826" width="1.42578125" style="19" customWidth="1"/>
    <col min="13827" max="13827" width="6.42578125" style="19" customWidth="1"/>
    <col min="13828" max="13828" width="48.7109375" style="19" customWidth="1"/>
    <col min="13829" max="13829" width="8.5703125" style="19" customWidth="1"/>
    <col min="13830" max="13830" width="10.7109375" style="19" bestFit="1" customWidth="1"/>
    <col min="13831" max="14081" width="9.140625" style="19"/>
    <col min="14082" max="14082" width="1.42578125" style="19" customWidth="1"/>
    <col min="14083" max="14083" width="6.42578125" style="19" customWidth="1"/>
    <col min="14084" max="14084" width="48.7109375" style="19" customWidth="1"/>
    <col min="14085" max="14085" width="8.5703125" style="19" customWidth="1"/>
    <col min="14086" max="14086" width="10.7109375" style="19" bestFit="1" customWidth="1"/>
    <col min="14087" max="14337" width="9.140625" style="19"/>
    <col min="14338" max="14338" width="1.42578125" style="19" customWidth="1"/>
    <col min="14339" max="14339" width="6.42578125" style="19" customWidth="1"/>
    <col min="14340" max="14340" width="48.7109375" style="19" customWidth="1"/>
    <col min="14341" max="14341" width="8.5703125" style="19" customWidth="1"/>
    <col min="14342" max="14342" width="10.7109375" style="19" bestFit="1" customWidth="1"/>
    <col min="14343" max="14593" width="9.140625" style="19"/>
    <col min="14594" max="14594" width="1.42578125" style="19" customWidth="1"/>
    <col min="14595" max="14595" width="6.42578125" style="19" customWidth="1"/>
    <col min="14596" max="14596" width="48.7109375" style="19" customWidth="1"/>
    <col min="14597" max="14597" width="8.5703125" style="19" customWidth="1"/>
    <col min="14598" max="14598" width="10.7109375" style="19" bestFit="1" customWidth="1"/>
    <col min="14599" max="14849" width="9.140625" style="19"/>
    <col min="14850" max="14850" width="1.42578125" style="19" customWidth="1"/>
    <col min="14851" max="14851" width="6.42578125" style="19" customWidth="1"/>
    <col min="14852" max="14852" width="48.7109375" style="19" customWidth="1"/>
    <col min="14853" max="14853" width="8.5703125" style="19" customWidth="1"/>
    <col min="14854" max="14854" width="10.7109375" style="19" bestFit="1" customWidth="1"/>
    <col min="14855" max="15105" width="9.140625" style="19"/>
    <col min="15106" max="15106" width="1.42578125" style="19" customWidth="1"/>
    <col min="15107" max="15107" width="6.42578125" style="19" customWidth="1"/>
    <col min="15108" max="15108" width="48.7109375" style="19" customWidth="1"/>
    <col min="15109" max="15109" width="8.5703125" style="19" customWidth="1"/>
    <col min="15110" max="15110" width="10.7109375" style="19" bestFit="1" customWidth="1"/>
    <col min="15111" max="15361" width="9.140625" style="19"/>
    <col min="15362" max="15362" width="1.42578125" style="19" customWidth="1"/>
    <col min="15363" max="15363" width="6.42578125" style="19" customWidth="1"/>
    <col min="15364" max="15364" width="48.7109375" style="19" customWidth="1"/>
    <col min="15365" max="15365" width="8.5703125" style="19" customWidth="1"/>
    <col min="15366" max="15366" width="10.7109375" style="19" bestFit="1" customWidth="1"/>
    <col min="15367" max="15617" width="9.140625" style="19"/>
    <col min="15618" max="15618" width="1.42578125" style="19" customWidth="1"/>
    <col min="15619" max="15619" width="6.42578125" style="19" customWidth="1"/>
    <col min="15620" max="15620" width="48.7109375" style="19" customWidth="1"/>
    <col min="15621" max="15621" width="8.5703125" style="19" customWidth="1"/>
    <col min="15622" max="15622" width="10.7109375" style="19" bestFit="1" customWidth="1"/>
    <col min="15623" max="15873" width="9.140625" style="19"/>
    <col min="15874" max="15874" width="1.42578125" style="19" customWidth="1"/>
    <col min="15875" max="15875" width="6.42578125" style="19" customWidth="1"/>
    <col min="15876" max="15876" width="48.7109375" style="19" customWidth="1"/>
    <col min="15877" max="15877" width="8.5703125" style="19" customWidth="1"/>
    <col min="15878" max="15878" width="10.7109375" style="19" bestFit="1" customWidth="1"/>
    <col min="15879" max="16129" width="9.140625" style="19"/>
    <col min="16130" max="16130" width="1.42578125" style="19" customWidth="1"/>
    <col min="16131" max="16131" width="6.42578125" style="19" customWidth="1"/>
    <col min="16132" max="16132" width="48.7109375" style="19" customWidth="1"/>
    <col min="16133" max="16133" width="8.5703125" style="19" customWidth="1"/>
    <col min="16134" max="16134" width="10.7109375" style="19" bestFit="1" customWidth="1"/>
    <col min="16135" max="16384" width="9.140625" style="19"/>
  </cols>
  <sheetData>
    <row r="1" spans="1:20" hidden="1"/>
    <row r="2" spans="1:20" hidden="1">
      <c r="E2" s="21" t="s">
        <v>114</v>
      </c>
    </row>
    <row r="3" spans="1:20" s="4" customFormat="1">
      <c r="B3" s="10"/>
      <c r="D3" s="7"/>
      <c r="G3" s="7"/>
    </row>
    <row r="4" spans="1:20" s="4" customFormat="1">
      <c r="B4" s="10"/>
      <c r="D4" s="124" t="s">
        <v>58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20" s="4" customFormat="1" ht="26.25" customHeight="1">
      <c r="B5" s="10"/>
      <c r="D5" s="125" t="s">
        <v>109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s="4" customFormat="1">
      <c r="B6" s="10"/>
      <c r="D6" s="7"/>
      <c r="G6" s="7"/>
    </row>
    <row r="7" spans="1:20" s="4" customFormat="1">
      <c r="B7" s="17" t="s">
        <v>60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0" s="4" customFormat="1">
      <c r="B8" s="10"/>
      <c r="D8" s="7"/>
      <c r="G8" s="7"/>
    </row>
    <row r="9" spans="1:20" s="4" customFormat="1" ht="28.5" customHeight="1">
      <c r="B9" s="18" t="s">
        <v>61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20" s="4" customFormat="1" ht="19.5" customHeight="1">
      <c r="B10" s="17" t="s">
        <v>113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0" s="4" customFormat="1">
      <c r="B11" s="13"/>
      <c r="C11" s="13"/>
      <c r="D11" s="13"/>
      <c r="E11" s="13"/>
      <c r="F11" s="13"/>
      <c r="G11" s="13"/>
      <c r="H11" s="13"/>
    </row>
    <row r="12" spans="1:20" s="4" customFormat="1" ht="15">
      <c r="B12" s="16" t="s">
        <v>62</v>
      </c>
      <c r="C12" s="16"/>
      <c r="D12" s="13"/>
      <c r="E12" s="13"/>
      <c r="H12" s="9"/>
    </row>
    <row r="13" spans="1:20" s="4" customFormat="1" ht="15">
      <c r="B13" s="16" t="s">
        <v>63</v>
      </c>
      <c r="C13" s="16"/>
      <c r="D13" s="13"/>
      <c r="E13" s="13"/>
      <c r="H13" s="9"/>
    </row>
    <row r="14" spans="1:20" ht="63.75" customHeight="1">
      <c r="A14" s="22"/>
      <c r="B14" s="23" t="s">
        <v>0</v>
      </c>
      <c r="C14" s="23" t="s">
        <v>72</v>
      </c>
      <c r="D14" s="23" t="s">
        <v>115</v>
      </c>
      <c r="E14" s="23" t="s">
        <v>116</v>
      </c>
      <c r="F14" s="24" t="s">
        <v>117</v>
      </c>
      <c r="G14" s="24" t="s">
        <v>118</v>
      </c>
      <c r="H14" s="25" t="s">
        <v>119</v>
      </c>
      <c r="I14" s="25" t="s">
        <v>120</v>
      </c>
      <c r="J14" s="25" t="s">
        <v>121</v>
      </c>
      <c r="K14" s="25" t="s">
        <v>122</v>
      </c>
      <c r="L14" s="25" t="s">
        <v>123</v>
      </c>
      <c r="M14" s="25" t="s">
        <v>124</v>
      </c>
      <c r="N14" s="25"/>
      <c r="O14" s="1" t="s">
        <v>59</v>
      </c>
      <c r="T14" s="8" t="s">
        <v>108</v>
      </c>
    </row>
    <row r="15" spans="1:20">
      <c r="A15" s="22"/>
      <c r="B15" s="26">
        <v>1</v>
      </c>
      <c r="C15" s="26">
        <v>2</v>
      </c>
      <c r="D15" s="26">
        <v>3</v>
      </c>
      <c r="E15" s="26">
        <v>4</v>
      </c>
      <c r="F15" s="27"/>
      <c r="G15" s="27"/>
      <c r="H15" s="28"/>
      <c r="I15" s="28"/>
      <c r="J15" s="28"/>
      <c r="K15" s="28"/>
      <c r="L15" s="28"/>
      <c r="M15" s="29">
        <v>5</v>
      </c>
      <c r="N15" s="29"/>
      <c r="O15" s="29">
        <v>6</v>
      </c>
      <c r="T15" s="27"/>
    </row>
    <row r="16" spans="1:20" ht="38.25">
      <c r="A16" s="22"/>
      <c r="B16" s="23" t="s">
        <v>1</v>
      </c>
      <c r="C16" s="30" t="s">
        <v>2</v>
      </c>
      <c r="D16" s="23" t="s">
        <v>3</v>
      </c>
      <c r="E16" s="31">
        <f>E17+E27+E31+E34+E21-0.1</f>
        <v>45466.66</v>
      </c>
      <c r="F16" s="121">
        <f>F17+F27+F31+F34+F21</f>
        <v>0.72863173076923071</v>
      </c>
      <c r="G16" s="121"/>
      <c r="H16" s="33">
        <f>H17+H27+H31+H34+H21</f>
        <v>38617.481730769228</v>
      </c>
      <c r="I16" s="122">
        <f>I17+I21+I27+I31+I34</f>
        <v>36993.410000000003</v>
      </c>
      <c r="J16" s="122">
        <f>J17+J21+J27+J31+J34</f>
        <v>33285.817999999999</v>
      </c>
      <c r="K16" s="122">
        <f>K17+K21+K27+K31+K34</f>
        <v>32996.995000000003</v>
      </c>
      <c r="L16" s="122">
        <f>L17+L21+L27+L31+L34</f>
        <v>32756.755000000005</v>
      </c>
      <c r="M16" s="122">
        <f>M17+M21+M27+M31+M34</f>
        <v>24284.174999999999</v>
      </c>
      <c r="N16" s="122">
        <f t="shared" ref="N16:O16" si="0">N17+N21+N27+N31+N34</f>
        <v>0</v>
      </c>
      <c r="O16" s="60">
        <f t="shared" si="0"/>
        <v>37619.190999999999</v>
      </c>
      <c r="P16" s="20"/>
      <c r="T16" s="127" t="s">
        <v>112</v>
      </c>
    </row>
    <row r="17" spans="1:20">
      <c r="A17" s="22"/>
      <c r="B17" s="23">
        <v>1</v>
      </c>
      <c r="C17" s="30" t="s">
        <v>4</v>
      </c>
      <c r="D17" s="23" t="s">
        <v>73</v>
      </c>
      <c r="E17" s="31">
        <f>E18+E19+E20+0.1</f>
        <v>3984.1099999999997</v>
      </c>
      <c r="F17" s="32">
        <f>F18+F19+F20</f>
        <v>6.3846314102564097E-2</v>
      </c>
      <c r="G17" s="32"/>
      <c r="H17" s="33">
        <f t="shared" ref="H17:O17" si="1">H18+H19+H20</f>
        <v>3383.8546474358973</v>
      </c>
      <c r="I17" s="33">
        <f t="shared" si="1"/>
        <v>2570</v>
      </c>
      <c r="J17" s="33">
        <f t="shared" si="1"/>
        <v>1670</v>
      </c>
      <c r="K17" s="33">
        <f t="shared" si="1"/>
        <v>1397</v>
      </c>
      <c r="L17" s="33">
        <f t="shared" si="1"/>
        <v>1129.4480000000001</v>
      </c>
      <c r="M17" s="33">
        <f t="shared" si="1"/>
        <v>1129.4480000000001</v>
      </c>
      <c r="N17" s="33">
        <f t="shared" si="1"/>
        <v>0</v>
      </c>
      <c r="O17" s="33">
        <f t="shared" si="1"/>
        <v>1683.393</v>
      </c>
      <c r="T17" s="27"/>
    </row>
    <row r="18" spans="1:20">
      <c r="A18" s="22"/>
      <c r="B18" s="34" t="s">
        <v>5</v>
      </c>
      <c r="C18" s="35" t="s">
        <v>125</v>
      </c>
      <c r="D18" s="36" t="s">
        <v>73</v>
      </c>
      <c r="E18" s="37">
        <v>2071.7199999999998</v>
      </c>
      <c r="F18" s="27">
        <f>E18/E120</f>
        <v>3.320064102564102E-2</v>
      </c>
      <c r="G18" s="27">
        <v>53000</v>
      </c>
      <c r="H18" s="28">
        <f>F18*G18</f>
        <v>1759.633974358974</v>
      </c>
      <c r="I18" s="28">
        <f>50+330+570</f>
        <v>950</v>
      </c>
      <c r="J18" s="28">
        <v>50</v>
      </c>
      <c r="K18" s="28">
        <v>100</v>
      </c>
      <c r="L18" s="28">
        <v>315.94799999999998</v>
      </c>
      <c r="M18" s="28">
        <v>315.94799999999998</v>
      </c>
      <c r="N18" s="28"/>
      <c r="O18" s="28">
        <v>315.94799999999998</v>
      </c>
      <c r="T18" s="27"/>
    </row>
    <row r="19" spans="1:20">
      <c r="A19" s="22"/>
      <c r="B19" s="34" t="s">
        <v>74</v>
      </c>
      <c r="C19" s="35" t="s">
        <v>75</v>
      </c>
      <c r="D19" s="36" t="s">
        <v>73</v>
      </c>
      <c r="E19" s="37">
        <v>1414.6</v>
      </c>
      <c r="F19" s="27">
        <f>E19/E120</f>
        <v>2.2669871794871795E-2</v>
      </c>
      <c r="G19" s="27">
        <v>53000</v>
      </c>
      <c r="H19" s="28">
        <f t="shared" ref="H19:H61" si="2">F19*G19</f>
        <v>1201.5032051282051</v>
      </c>
      <c r="I19" s="28">
        <v>1200</v>
      </c>
      <c r="J19" s="28">
        <v>1200</v>
      </c>
      <c r="K19" s="28">
        <v>877</v>
      </c>
      <c r="L19" s="28">
        <v>605.99400000000003</v>
      </c>
      <c r="M19" s="28">
        <v>605.99400000000003</v>
      </c>
      <c r="N19" s="28"/>
      <c r="O19" s="28">
        <v>1077.874</v>
      </c>
      <c r="T19" s="27"/>
    </row>
    <row r="20" spans="1:20">
      <c r="A20" s="22"/>
      <c r="B20" s="38" t="s">
        <v>76</v>
      </c>
      <c r="C20" s="39" t="s">
        <v>26</v>
      </c>
      <c r="D20" s="36" t="s">
        <v>73</v>
      </c>
      <c r="E20" s="40">
        <v>497.69</v>
      </c>
      <c r="F20" s="27">
        <f>E20/E120</f>
        <v>7.9758012820512827E-3</v>
      </c>
      <c r="G20" s="27">
        <v>53000</v>
      </c>
      <c r="H20" s="28">
        <f t="shared" si="2"/>
        <v>422.71746794871797</v>
      </c>
      <c r="I20" s="28">
        <v>420</v>
      </c>
      <c r="J20" s="28">
        <v>420</v>
      </c>
      <c r="K20" s="28">
        <v>420</v>
      </c>
      <c r="L20" s="28">
        <v>207.506</v>
      </c>
      <c r="M20" s="28">
        <v>207.506</v>
      </c>
      <c r="N20" s="28"/>
      <c r="O20" s="28">
        <v>289.57100000000003</v>
      </c>
      <c r="T20" s="27"/>
    </row>
    <row r="21" spans="1:20" ht="25.5">
      <c r="A21" s="22"/>
      <c r="B21" s="41" t="s">
        <v>77</v>
      </c>
      <c r="C21" s="30" t="s">
        <v>28</v>
      </c>
      <c r="D21" s="36" t="s">
        <v>3</v>
      </c>
      <c r="E21" s="42">
        <f>E22+E25+0.04</f>
        <v>12575.79</v>
      </c>
      <c r="F21" s="42">
        <f>F22+F25</f>
        <v>0.20153445512820511</v>
      </c>
      <c r="G21" s="42"/>
      <c r="H21" s="33">
        <f t="shared" ref="H21:M21" si="3">H22+H25+H26</f>
        <v>10681.326121794871</v>
      </c>
      <c r="I21" s="33">
        <f t="shared" si="3"/>
        <v>9433.14</v>
      </c>
      <c r="J21" s="33">
        <f t="shared" si="3"/>
        <v>9433.1280000000006</v>
      </c>
      <c r="K21" s="33">
        <f t="shared" si="3"/>
        <v>9434</v>
      </c>
      <c r="L21" s="33">
        <f t="shared" si="3"/>
        <v>6920.6680000000006</v>
      </c>
      <c r="M21" s="33">
        <f t="shared" si="3"/>
        <v>6982.5079999999998</v>
      </c>
      <c r="N21" s="33">
        <f>N22+N25+N26</f>
        <v>0</v>
      </c>
      <c r="O21" s="33">
        <f>O22+O25+O26</f>
        <v>9434</v>
      </c>
      <c r="T21" s="27"/>
    </row>
    <row r="22" spans="1:20">
      <c r="A22" s="22"/>
      <c r="B22" s="43" t="s">
        <v>78</v>
      </c>
      <c r="C22" s="35" t="s">
        <v>79</v>
      </c>
      <c r="D22" s="36" t="s">
        <v>73</v>
      </c>
      <c r="E22" s="37">
        <v>11442.9</v>
      </c>
      <c r="F22" s="27">
        <f>E22/E120</f>
        <v>0.18337980769230769</v>
      </c>
      <c r="G22" s="27">
        <v>53000</v>
      </c>
      <c r="H22" s="28">
        <f t="shared" si="2"/>
        <v>9719.1298076923067</v>
      </c>
      <c r="I22" s="28">
        <v>8571.68</v>
      </c>
      <c r="J22" s="28">
        <v>8571.6749999999993</v>
      </c>
      <c r="K22" s="28">
        <v>8572</v>
      </c>
      <c r="L22" s="28">
        <v>6284.4440000000004</v>
      </c>
      <c r="M22" s="28">
        <v>6345.1009999999997</v>
      </c>
      <c r="N22" s="28"/>
      <c r="O22" s="28">
        <v>8572</v>
      </c>
      <c r="T22" s="27"/>
    </row>
    <row r="23" spans="1:20" hidden="1">
      <c r="A23" s="22"/>
      <c r="B23" s="44"/>
      <c r="C23" s="45" t="s">
        <v>126</v>
      </c>
      <c r="D23" s="46" t="s">
        <v>127</v>
      </c>
      <c r="E23" s="47">
        <f>E22/E24/12*1000</f>
        <v>79464.583333333328</v>
      </c>
      <c r="F23" s="27">
        <f>E23/E120</f>
        <v>1.2734708867521367</v>
      </c>
      <c r="G23" s="27">
        <v>53000</v>
      </c>
      <c r="H23" s="28">
        <f t="shared" si="2"/>
        <v>67493.95699786325</v>
      </c>
      <c r="I23" s="48">
        <f>I22/12/I24*1000</f>
        <v>79367.407407407416</v>
      </c>
      <c r="J23" s="48">
        <f>J22/9/12*1000</f>
        <v>79367.361111111109</v>
      </c>
      <c r="K23" s="28"/>
      <c r="L23" s="28"/>
      <c r="M23" s="28"/>
      <c r="N23" s="28"/>
      <c r="O23" s="28"/>
      <c r="T23" s="27"/>
    </row>
    <row r="24" spans="1:20" hidden="1">
      <c r="A24" s="22"/>
      <c r="B24" s="49"/>
      <c r="C24" s="45" t="s">
        <v>128</v>
      </c>
      <c r="D24" s="46" t="s">
        <v>129</v>
      </c>
      <c r="E24" s="50">
        <v>12</v>
      </c>
      <c r="F24" s="27">
        <f>E24/E120</f>
        <v>1.9230769230769231E-4</v>
      </c>
      <c r="G24" s="27">
        <v>53000</v>
      </c>
      <c r="H24" s="28">
        <f t="shared" si="2"/>
        <v>10.192307692307692</v>
      </c>
      <c r="I24" s="28">
        <v>9</v>
      </c>
      <c r="J24" s="48">
        <v>9</v>
      </c>
      <c r="K24" s="28"/>
      <c r="L24" s="28"/>
      <c r="M24" s="28"/>
      <c r="N24" s="28"/>
      <c r="O24" s="28"/>
      <c r="T24" s="27"/>
    </row>
    <row r="25" spans="1:20">
      <c r="A25" s="22"/>
      <c r="B25" s="34" t="s">
        <v>80</v>
      </c>
      <c r="C25" s="35" t="s">
        <v>81</v>
      </c>
      <c r="D25" s="36" t="s">
        <v>73</v>
      </c>
      <c r="E25" s="37">
        <v>1132.8499999999999</v>
      </c>
      <c r="F25" s="27">
        <f>E25/E120</f>
        <v>1.8154647435897436E-2</v>
      </c>
      <c r="G25" s="27">
        <v>53000</v>
      </c>
      <c r="H25" s="28">
        <f t="shared" si="2"/>
        <v>962.19631410256409</v>
      </c>
      <c r="I25" s="28">
        <v>732.88</v>
      </c>
      <c r="J25" s="28">
        <v>732.87800000000004</v>
      </c>
      <c r="K25" s="28">
        <v>733</v>
      </c>
      <c r="L25" s="28">
        <f>199.78+342.438</f>
        <v>542.21799999999996</v>
      </c>
      <c r="M25" s="28">
        <f>342.611+199.879</f>
        <v>542.49</v>
      </c>
      <c r="N25" s="28"/>
      <c r="O25" s="28">
        <v>733</v>
      </c>
      <c r="T25" s="27"/>
    </row>
    <row r="26" spans="1:20">
      <c r="A26" s="22"/>
      <c r="B26" s="34" t="s">
        <v>110</v>
      </c>
      <c r="C26" s="35" t="s">
        <v>130</v>
      </c>
      <c r="D26" s="23" t="s">
        <v>73</v>
      </c>
      <c r="E26" s="37"/>
      <c r="F26" s="27"/>
      <c r="G26" s="27">
        <v>53000</v>
      </c>
      <c r="H26" s="28">
        <f t="shared" si="2"/>
        <v>0</v>
      </c>
      <c r="I26" s="28">
        <v>128.58000000000001</v>
      </c>
      <c r="J26" s="28">
        <v>128.57499999999999</v>
      </c>
      <c r="K26" s="28">
        <v>129</v>
      </c>
      <c r="L26" s="28">
        <v>94.006</v>
      </c>
      <c r="M26" s="28">
        <v>94.917000000000002</v>
      </c>
      <c r="N26" s="28"/>
      <c r="O26" s="28">
        <v>129</v>
      </c>
      <c r="T26" s="27"/>
    </row>
    <row r="27" spans="1:20">
      <c r="A27" s="22"/>
      <c r="B27" s="23">
        <v>3</v>
      </c>
      <c r="C27" s="30" t="s">
        <v>6</v>
      </c>
      <c r="D27" s="23" t="s">
        <v>73</v>
      </c>
      <c r="E27" s="24">
        <v>18030</v>
      </c>
      <c r="F27" s="27">
        <f>E27/E120</f>
        <v>0.28894230769230766</v>
      </c>
      <c r="G27" s="27">
        <v>53000</v>
      </c>
      <c r="H27" s="28">
        <f t="shared" si="2"/>
        <v>15313.942307692307</v>
      </c>
      <c r="I27" s="51">
        <v>18280</v>
      </c>
      <c r="J27" s="52">
        <v>18280</v>
      </c>
      <c r="K27" s="28">
        <v>18280</v>
      </c>
      <c r="L27" s="28">
        <f>1791.197+20265.723</f>
        <v>22056.920000000002</v>
      </c>
      <c r="M27" s="28">
        <v>13522.5</v>
      </c>
      <c r="N27" s="28"/>
      <c r="O27" s="53">
        <f>O28+O29+O30</f>
        <v>20587.632000000001</v>
      </c>
      <c r="T27" s="27"/>
    </row>
    <row r="28" spans="1:20">
      <c r="A28" s="22"/>
      <c r="B28" s="54" t="s">
        <v>131</v>
      </c>
      <c r="C28" s="19" t="s">
        <v>132</v>
      </c>
      <c r="D28" s="23" t="s">
        <v>73</v>
      </c>
      <c r="E28" s="37"/>
      <c r="F28" s="27"/>
      <c r="G28" s="27"/>
      <c r="H28" s="28"/>
      <c r="I28" s="51"/>
      <c r="J28" s="52"/>
      <c r="K28" s="28"/>
      <c r="L28" s="28"/>
      <c r="M28" s="28"/>
      <c r="N28" s="28"/>
      <c r="O28" s="48">
        <v>18030</v>
      </c>
      <c r="T28" s="27"/>
    </row>
    <row r="29" spans="1:20">
      <c r="A29" s="22"/>
      <c r="B29" s="54" t="s">
        <v>133</v>
      </c>
      <c r="C29" s="35" t="s">
        <v>134</v>
      </c>
      <c r="D29" s="23" t="s">
        <v>73</v>
      </c>
      <c r="E29" s="37"/>
      <c r="F29" s="27"/>
      <c r="G29" s="27"/>
      <c r="H29" s="28"/>
      <c r="I29" s="51"/>
      <c r="J29" s="52"/>
      <c r="K29" s="28"/>
      <c r="L29" s="28"/>
      <c r="M29" s="28"/>
      <c r="N29" s="28"/>
      <c r="O29" s="55">
        <v>611.202</v>
      </c>
      <c r="T29" s="27"/>
    </row>
    <row r="30" spans="1:20">
      <c r="A30" s="22"/>
      <c r="B30" s="54" t="s">
        <v>135</v>
      </c>
      <c r="C30" s="35" t="s">
        <v>136</v>
      </c>
      <c r="D30" s="23" t="s">
        <v>73</v>
      </c>
      <c r="E30" s="37"/>
      <c r="F30" s="27"/>
      <c r="G30" s="27"/>
      <c r="H30" s="28"/>
      <c r="I30" s="51"/>
      <c r="J30" s="52"/>
      <c r="K30" s="28"/>
      <c r="L30" s="28"/>
      <c r="M30" s="28"/>
      <c r="N30" s="28"/>
      <c r="O30" s="55">
        <v>1946.43</v>
      </c>
      <c r="T30" s="27"/>
    </row>
    <row r="31" spans="1:20">
      <c r="A31" s="22"/>
      <c r="B31" s="23">
        <v>4</v>
      </c>
      <c r="C31" s="30" t="s">
        <v>7</v>
      </c>
      <c r="D31" s="36" t="s">
        <v>73</v>
      </c>
      <c r="E31" s="42">
        <f>E32+E33</f>
        <v>7546.2199999999993</v>
      </c>
      <c r="F31" s="42">
        <f>F32+F33</f>
        <v>0.12093301282051282</v>
      </c>
      <c r="G31" s="42"/>
      <c r="H31" s="33">
        <f t="shared" ref="H31:O31" si="4">H32+H33</f>
        <v>6409.4496794871793</v>
      </c>
      <c r="I31" s="33">
        <f t="shared" si="4"/>
        <v>3445.69</v>
      </c>
      <c r="J31" s="33">
        <f t="shared" si="4"/>
        <v>1545.69</v>
      </c>
      <c r="K31" s="33">
        <f t="shared" si="4"/>
        <v>1889</v>
      </c>
      <c r="L31" s="33">
        <f t="shared" si="4"/>
        <v>1479.0340000000001</v>
      </c>
      <c r="M31" s="33">
        <f t="shared" si="4"/>
        <v>1479.0340000000001</v>
      </c>
      <c r="N31" s="33">
        <f t="shared" si="4"/>
        <v>0</v>
      </c>
      <c r="O31" s="33">
        <f t="shared" si="4"/>
        <v>4220.3159999999998</v>
      </c>
      <c r="T31" s="27"/>
    </row>
    <row r="32" spans="1:20" ht="25.5">
      <c r="A32" s="22"/>
      <c r="B32" s="54" t="s">
        <v>10</v>
      </c>
      <c r="C32" s="35" t="s">
        <v>8</v>
      </c>
      <c r="D32" s="36" t="s">
        <v>73</v>
      </c>
      <c r="E32" s="37">
        <v>6781.48</v>
      </c>
      <c r="F32" s="27">
        <f>E32/E120</f>
        <v>0.1086775641025641</v>
      </c>
      <c r="G32" s="27">
        <v>53000</v>
      </c>
      <c r="H32" s="28">
        <f t="shared" si="2"/>
        <v>5759.9108974358969</v>
      </c>
      <c r="I32" s="28">
        <v>2066.79</v>
      </c>
      <c r="J32" s="28">
        <v>866.79</v>
      </c>
      <c r="K32" s="28">
        <v>909</v>
      </c>
      <c r="L32" s="28">
        <v>931.26800000000003</v>
      </c>
      <c r="M32" s="28">
        <v>931.26800000000003</v>
      </c>
      <c r="N32" s="28"/>
      <c r="O32" s="28">
        <v>1013.768</v>
      </c>
      <c r="T32" s="27"/>
    </row>
    <row r="33" spans="1:20">
      <c r="A33" s="22"/>
      <c r="B33" s="54" t="s">
        <v>11</v>
      </c>
      <c r="C33" s="35" t="s">
        <v>9</v>
      </c>
      <c r="D33" s="36" t="s">
        <v>73</v>
      </c>
      <c r="E33" s="37">
        <f>761.7+3.04</f>
        <v>764.74</v>
      </c>
      <c r="F33" s="27">
        <f>E33/E120</f>
        <v>1.2255448717948718E-2</v>
      </c>
      <c r="G33" s="27">
        <v>53000</v>
      </c>
      <c r="H33" s="28">
        <f t="shared" si="2"/>
        <v>649.53878205128206</v>
      </c>
      <c r="I33" s="28">
        <v>1378.9</v>
      </c>
      <c r="J33" s="28">
        <v>678.9</v>
      </c>
      <c r="K33" s="28">
        <v>980</v>
      </c>
      <c r="L33" s="28">
        <f>77.902+0.026+469.838</f>
        <v>547.76600000000008</v>
      </c>
      <c r="M33" s="28">
        <f>77.902+0.026+469.838</f>
        <v>547.76600000000008</v>
      </c>
      <c r="N33" s="28"/>
      <c r="O33" s="28">
        <v>3206.5479999999998</v>
      </c>
      <c r="T33" s="27"/>
    </row>
    <row r="34" spans="1:20" ht="25.5">
      <c r="A34" s="22"/>
      <c r="B34" s="56" t="s">
        <v>82</v>
      </c>
      <c r="C34" s="57" t="s">
        <v>83</v>
      </c>
      <c r="D34" s="36" t="s">
        <v>3</v>
      </c>
      <c r="E34" s="58">
        <f>E35+E37+E38+E48+E54+E55+E56+E57+E58+E59+E60+E61</f>
        <v>3330.64</v>
      </c>
      <c r="F34" s="59">
        <f>F35+F37+F38+F48+F54+F55+F56+F57+F58+F59+F60+F61</f>
        <v>5.3375641025641012E-2</v>
      </c>
      <c r="G34" s="59"/>
      <c r="H34" s="60">
        <f>H35+H37+H38+H48+H54+H55+H56+H57+H58+H59+H60+H61</f>
        <v>2828.9089743589743</v>
      </c>
      <c r="I34" s="60">
        <f>I35+I37+I38+I48+I54+I55+I56+I57+I58+I59+I60+I61+I62+I63</f>
        <v>3264.58</v>
      </c>
      <c r="J34" s="60">
        <f>J35+J37+J38+J48+J54+J55+J56+J57+J58+J59+J60+J61+J62</f>
        <v>2357</v>
      </c>
      <c r="K34" s="60">
        <f>K35+K37+K38+K48+K54+K55+K56+K57+K58+K59+K60+K61+K62+K65+K63+K64</f>
        <v>1996.9949999999999</v>
      </c>
      <c r="L34" s="60">
        <f>L35+L37+L38+L48+L54+L55+L56+L57+L58+L59+L60+L61+L62+L65+L63+L64</f>
        <v>1170.6849999999999</v>
      </c>
      <c r="M34" s="60">
        <f>M35+M37+M38+M48+M54+M55+M56+M57+M58+M59+M60+M61+M62+M65+M63+M64</f>
        <v>1170.6849999999999</v>
      </c>
      <c r="N34" s="60">
        <f t="shared" ref="N34:O34" si="5">N35+N37+N38+N48+N54+N55+N56+N57+N58+N59+N60+N61+N62+N65+N63+N64</f>
        <v>0</v>
      </c>
      <c r="O34" s="60">
        <f t="shared" si="5"/>
        <v>1693.85</v>
      </c>
      <c r="T34" s="27"/>
    </row>
    <row r="35" spans="1:20" ht="25.5">
      <c r="A35" s="22"/>
      <c r="B35" s="61" t="s">
        <v>21</v>
      </c>
      <c r="C35" s="62" t="s">
        <v>137</v>
      </c>
      <c r="D35" s="63" t="s">
        <v>73</v>
      </c>
      <c r="E35" s="37">
        <v>735.9</v>
      </c>
      <c r="F35" s="27">
        <f>E35/E120</f>
        <v>1.179326923076923E-2</v>
      </c>
      <c r="G35" s="27">
        <v>53000</v>
      </c>
      <c r="H35" s="28">
        <f t="shared" si="2"/>
        <v>625.04326923076917</v>
      </c>
      <c r="I35" s="28">
        <v>625</v>
      </c>
      <c r="J35" s="64">
        <v>313</v>
      </c>
      <c r="K35" s="28">
        <v>313</v>
      </c>
      <c r="L35" s="28"/>
      <c r="M35" s="28"/>
      <c r="N35" s="28"/>
      <c r="O35" s="28">
        <v>313</v>
      </c>
      <c r="T35" s="27"/>
    </row>
    <row r="36" spans="1:20" hidden="1">
      <c r="A36" s="22"/>
      <c r="B36" s="61"/>
      <c r="C36" s="65" t="s">
        <v>138</v>
      </c>
      <c r="D36" s="63"/>
      <c r="E36" s="37"/>
      <c r="F36" s="27"/>
      <c r="G36" s="27"/>
      <c r="H36" s="28"/>
      <c r="I36" s="28"/>
      <c r="J36" s="64"/>
      <c r="K36" s="28"/>
      <c r="L36" s="28"/>
      <c r="M36" s="28"/>
      <c r="N36" s="28"/>
      <c r="O36" s="28"/>
      <c r="T36" s="27"/>
    </row>
    <row r="37" spans="1:20">
      <c r="A37" s="22"/>
      <c r="B37" s="61" t="s">
        <v>25</v>
      </c>
      <c r="C37" s="62" t="s">
        <v>12</v>
      </c>
      <c r="D37" s="63" t="s">
        <v>73</v>
      </c>
      <c r="E37" s="37">
        <v>45</v>
      </c>
      <c r="F37" s="27">
        <f>E37/E120</f>
        <v>7.2115384615384619E-4</v>
      </c>
      <c r="G37" s="27">
        <v>53000</v>
      </c>
      <c r="H37" s="28">
        <f t="shared" si="2"/>
        <v>38.221153846153847</v>
      </c>
      <c r="I37" s="28">
        <v>40</v>
      </c>
      <c r="J37" s="64">
        <v>40</v>
      </c>
      <c r="K37" s="28">
        <v>40</v>
      </c>
      <c r="L37" s="28"/>
      <c r="M37" s="28"/>
      <c r="N37" s="28"/>
      <c r="O37" s="28">
        <v>40</v>
      </c>
      <c r="T37" s="27"/>
    </row>
    <row r="38" spans="1:20">
      <c r="A38" s="22"/>
      <c r="B38" s="66" t="s">
        <v>27</v>
      </c>
      <c r="C38" s="62" t="s">
        <v>13</v>
      </c>
      <c r="D38" s="63" t="s">
        <v>73</v>
      </c>
      <c r="E38" s="37">
        <v>653.79999999999995</v>
      </c>
      <c r="F38" s="27">
        <f>E38/E120</f>
        <v>1.0477564102564101E-2</v>
      </c>
      <c r="G38" s="27">
        <v>53000</v>
      </c>
      <c r="H38" s="28">
        <f t="shared" si="2"/>
        <v>555.31089743589735</v>
      </c>
      <c r="I38" s="28">
        <f>I39+I40+I41+I42+I43+I44+I45+I46+I47</f>
        <v>709</v>
      </c>
      <c r="J38" s="64">
        <f>J39+J40+J41+J42+J43+J44+J45+J46+J47</f>
        <v>644</v>
      </c>
      <c r="K38" s="52">
        <f>K39+K40+K41+K42+K43+K44+K45+K46+K47</f>
        <v>580.995</v>
      </c>
      <c r="L38" s="52">
        <v>365.03100000000001</v>
      </c>
      <c r="M38" s="52">
        <v>365.03100000000001</v>
      </c>
      <c r="N38" s="52"/>
      <c r="O38" s="28">
        <v>390.86200000000002</v>
      </c>
      <c r="T38" s="27"/>
    </row>
    <row r="39" spans="1:20" hidden="1">
      <c r="A39" s="22"/>
      <c r="B39" s="66"/>
      <c r="C39" s="67" t="s">
        <v>139</v>
      </c>
      <c r="D39" s="68"/>
      <c r="E39" s="69"/>
      <c r="F39" s="70"/>
      <c r="G39" s="70"/>
      <c r="H39" s="71"/>
      <c r="I39" s="71">
        <v>120</v>
      </c>
      <c r="J39" s="28">
        <v>120</v>
      </c>
      <c r="K39" s="28">
        <v>120</v>
      </c>
      <c r="L39" s="28"/>
      <c r="M39" s="28"/>
      <c r="N39" s="28"/>
      <c r="O39" s="28"/>
      <c r="T39" s="27"/>
    </row>
    <row r="40" spans="1:20" hidden="1">
      <c r="A40" s="22"/>
      <c r="B40" s="66"/>
      <c r="C40" s="67" t="s">
        <v>140</v>
      </c>
      <c r="D40" s="68"/>
      <c r="E40" s="69"/>
      <c r="F40" s="70"/>
      <c r="G40" s="70"/>
      <c r="H40" s="71"/>
      <c r="I40" s="71">
        <v>250</v>
      </c>
      <c r="J40" s="28">
        <v>250</v>
      </c>
      <c r="K40" s="28">
        <v>250</v>
      </c>
      <c r="L40" s="28"/>
      <c r="M40" s="28"/>
      <c r="N40" s="28"/>
      <c r="O40" s="28"/>
      <c r="T40" s="27"/>
    </row>
    <row r="41" spans="1:20" hidden="1">
      <c r="A41" s="22"/>
      <c r="B41" s="66"/>
      <c r="C41" s="67" t="s">
        <v>141</v>
      </c>
      <c r="D41" s="68"/>
      <c r="E41" s="69"/>
      <c r="F41" s="70"/>
      <c r="G41" s="70"/>
      <c r="H41" s="71"/>
      <c r="I41" s="71">
        <v>60</v>
      </c>
      <c r="J41" s="28">
        <v>60</v>
      </c>
      <c r="K41" s="28">
        <v>32</v>
      </c>
      <c r="L41" s="28"/>
      <c r="M41" s="28"/>
      <c r="N41" s="28"/>
      <c r="O41" s="28"/>
      <c r="T41" s="27"/>
    </row>
    <row r="42" spans="1:20" hidden="1">
      <c r="A42" s="22"/>
      <c r="B42" s="66"/>
      <c r="C42" s="67" t="s">
        <v>142</v>
      </c>
      <c r="D42" s="68"/>
      <c r="E42" s="69"/>
      <c r="F42" s="70"/>
      <c r="G42" s="70"/>
      <c r="H42" s="71"/>
      <c r="I42" s="71">
        <v>42</v>
      </c>
      <c r="J42" s="28">
        <v>42</v>
      </c>
      <c r="K42" s="28">
        <v>19</v>
      </c>
      <c r="L42" s="28"/>
      <c r="M42" s="28"/>
      <c r="N42" s="28"/>
      <c r="O42" s="28"/>
      <c r="T42" s="27"/>
    </row>
    <row r="43" spans="1:20" ht="22.5" hidden="1">
      <c r="A43" s="22"/>
      <c r="B43" s="66"/>
      <c r="C43" s="67" t="s">
        <v>143</v>
      </c>
      <c r="D43" s="68"/>
      <c r="E43" s="69"/>
      <c r="F43" s="70"/>
      <c r="G43" s="70"/>
      <c r="H43" s="71"/>
      <c r="I43" s="71">
        <v>20</v>
      </c>
      <c r="J43" s="28"/>
      <c r="K43" s="28"/>
      <c r="L43" s="28"/>
      <c r="M43" s="28"/>
      <c r="N43" s="28"/>
      <c r="O43" s="28"/>
      <c r="T43" s="27"/>
    </row>
    <row r="44" spans="1:20" hidden="1">
      <c r="A44" s="22"/>
      <c r="B44" s="66"/>
      <c r="C44" s="67" t="s">
        <v>144</v>
      </c>
      <c r="D44" s="68"/>
      <c r="E44" s="69"/>
      <c r="F44" s="70"/>
      <c r="G44" s="70"/>
      <c r="H44" s="71"/>
      <c r="I44" s="71">
        <v>42</v>
      </c>
      <c r="J44" s="28">
        <v>42</v>
      </c>
      <c r="K44" s="28">
        <f>22+19.995</f>
        <v>41.995000000000005</v>
      </c>
      <c r="L44" s="28"/>
      <c r="M44" s="28"/>
      <c r="N44" s="28"/>
      <c r="O44" s="28"/>
      <c r="T44" s="27"/>
    </row>
    <row r="45" spans="1:20" hidden="1">
      <c r="A45" s="22"/>
      <c r="B45" s="66"/>
      <c r="C45" s="67" t="s">
        <v>145</v>
      </c>
      <c r="D45" s="68"/>
      <c r="E45" s="69"/>
      <c r="F45" s="70"/>
      <c r="G45" s="70"/>
      <c r="H45" s="71"/>
      <c r="I45" s="71">
        <f>5*9</f>
        <v>45</v>
      </c>
      <c r="J45" s="28">
        <v>45</v>
      </c>
      <c r="K45" s="28"/>
      <c r="L45" s="28"/>
      <c r="M45" s="28"/>
      <c r="N45" s="28"/>
      <c r="O45" s="28"/>
      <c r="T45" s="27"/>
    </row>
    <row r="46" spans="1:20" hidden="1">
      <c r="A46" s="22"/>
      <c r="B46" s="66"/>
      <c r="C46" s="67" t="s">
        <v>146</v>
      </c>
      <c r="D46" s="68"/>
      <c r="E46" s="69"/>
      <c r="F46" s="70"/>
      <c r="G46" s="70"/>
      <c r="H46" s="71"/>
      <c r="I46" s="71">
        <v>90</v>
      </c>
      <c r="J46" s="28">
        <v>45</v>
      </c>
      <c r="K46" s="28">
        <v>90</v>
      </c>
      <c r="L46" s="28"/>
      <c r="M46" s="28"/>
      <c r="N46" s="28"/>
      <c r="O46" s="28"/>
      <c r="T46" s="27"/>
    </row>
    <row r="47" spans="1:20" ht="22.5" hidden="1">
      <c r="A47" s="22"/>
      <c r="B47" s="66"/>
      <c r="C47" s="67" t="s">
        <v>147</v>
      </c>
      <c r="D47" s="68"/>
      <c r="E47" s="69"/>
      <c r="F47" s="70"/>
      <c r="G47" s="70"/>
      <c r="H47" s="71"/>
      <c r="I47" s="71">
        <v>40</v>
      </c>
      <c r="J47" s="28">
        <v>40</v>
      </c>
      <c r="K47" s="28">
        <v>28</v>
      </c>
      <c r="L47" s="28"/>
      <c r="M47" s="28"/>
      <c r="N47" s="28"/>
      <c r="O47" s="28"/>
      <c r="T47" s="27"/>
    </row>
    <row r="48" spans="1:20">
      <c r="A48" s="22"/>
      <c r="B48" s="66" t="s">
        <v>31</v>
      </c>
      <c r="C48" s="72" t="s">
        <v>14</v>
      </c>
      <c r="D48" s="63" t="s">
        <v>73</v>
      </c>
      <c r="E48" s="37">
        <v>731.7</v>
      </c>
      <c r="F48" s="27">
        <f>E48/E120</f>
        <v>1.1725961538461539E-2</v>
      </c>
      <c r="G48" s="27">
        <v>53000</v>
      </c>
      <c r="H48" s="28">
        <f t="shared" si="2"/>
        <v>621.47596153846155</v>
      </c>
      <c r="I48" s="28">
        <f>I49+I50+I51+I52+I53</f>
        <v>546</v>
      </c>
      <c r="J48" s="64">
        <f>J49+J50+J51+J52+J53</f>
        <v>270</v>
      </c>
      <c r="K48" s="53">
        <v>336</v>
      </c>
      <c r="L48" s="53">
        <v>337.11700000000002</v>
      </c>
      <c r="M48" s="53">
        <v>337.11700000000002</v>
      </c>
      <c r="N48" s="53"/>
      <c r="O48" s="28">
        <v>337.12</v>
      </c>
      <c r="T48" s="27"/>
    </row>
    <row r="49" spans="1:20" hidden="1">
      <c r="A49" s="22"/>
      <c r="B49" s="66"/>
      <c r="C49" s="73" t="s">
        <v>148</v>
      </c>
      <c r="D49" s="74"/>
      <c r="E49" s="50"/>
      <c r="F49" s="75"/>
      <c r="G49" s="75"/>
      <c r="H49" s="76"/>
      <c r="I49" s="76">
        <f>20*4*0.45</f>
        <v>36</v>
      </c>
      <c r="J49" s="28"/>
      <c r="K49" s="28">
        <v>36.802</v>
      </c>
      <c r="L49" s="28"/>
      <c r="M49" s="28"/>
      <c r="N49" s="28"/>
      <c r="O49" s="28"/>
      <c r="T49" s="27"/>
    </row>
    <row r="50" spans="1:20" hidden="1">
      <c r="A50" s="22"/>
      <c r="B50" s="66"/>
      <c r="C50" s="73" t="s">
        <v>149</v>
      </c>
      <c r="D50" s="74"/>
      <c r="E50" s="50"/>
      <c r="F50" s="75"/>
      <c r="G50" s="75"/>
      <c r="H50" s="76"/>
      <c r="I50" s="76">
        <f>500*4*0.055</f>
        <v>110</v>
      </c>
      <c r="J50" s="28">
        <v>110</v>
      </c>
      <c r="K50" s="28">
        <v>76.2</v>
      </c>
      <c r="L50" s="28"/>
      <c r="M50" s="28"/>
      <c r="N50" s="28"/>
      <c r="O50" s="28"/>
      <c r="T50" s="27"/>
    </row>
    <row r="51" spans="1:20" ht="13.5" hidden="1">
      <c r="A51" s="22"/>
      <c r="B51" s="66"/>
      <c r="C51" s="73" t="s">
        <v>150</v>
      </c>
      <c r="D51" s="74"/>
      <c r="E51" s="50"/>
      <c r="F51" s="75"/>
      <c r="G51" s="75"/>
      <c r="H51" s="76"/>
      <c r="I51" s="76">
        <f>10*4*1.5</f>
        <v>60</v>
      </c>
      <c r="J51" s="28"/>
      <c r="K51" s="28">
        <v>64.114999999999995</v>
      </c>
      <c r="L51" s="28"/>
      <c r="M51" s="28"/>
      <c r="N51" s="28"/>
      <c r="O51" s="28"/>
      <c r="T51" s="27"/>
    </row>
    <row r="52" spans="1:20" hidden="1">
      <c r="A52" s="22"/>
      <c r="B52" s="66"/>
      <c r="C52" s="73" t="s">
        <v>151</v>
      </c>
      <c r="D52" s="74"/>
      <c r="E52" s="50"/>
      <c r="F52" s="75"/>
      <c r="G52" s="75"/>
      <c r="H52" s="76"/>
      <c r="I52" s="76">
        <f>10*4*4.5</f>
        <v>180</v>
      </c>
      <c r="J52" s="28"/>
      <c r="K52" s="28"/>
      <c r="L52" s="28"/>
      <c r="M52" s="28"/>
      <c r="N52" s="28"/>
      <c r="O52" s="28"/>
      <c r="T52" s="27"/>
    </row>
    <row r="53" spans="1:20" hidden="1">
      <c r="A53" s="22"/>
      <c r="B53" s="66"/>
      <c r="C53" s="73" t="s">
        <v>152</v>
      </c>
      <c r="D53" s="74"/>
      <c r="E53" s="50"/>
      <c r="F53" s="75"/>
      <c r="G53" s="75"/>
      <c r="H53" s="76"/>
      <c r="I53" s="76">
        <v>160</v>
      </c>
      <c r="J53" s="28">
        <v>160</v>
      </c>
      <c r="K53" s="28">
        <v>160</v>
      </c>
      <c r="L53" s="28"/>
      <c r="M53" s="28"/>
      <c r="N53" s="28"/>
      <c r="O53" s="28"/>
      <c r="T53" s="27"/>
    </row>
    <row r="54" spans="1:20" hidden="1">
      <c r="A54" s="22"/>
      <c r="B54" s="66" t="s">
        <v>33</v>
      </c>
      <c r="C54" s="72" t="s">
        <v>15</v>
      </c>
      <c r="D54" s="63" t="s">
        <v>73</v>
      </c>
      <c r="E54" s="77">
        <v>57.2</v>
      </c>
      <c r="F54" s="27">
        <f>E54/E120</f>
        <v>9.1666666666666676E-4</v>
      </c>
      <c r="G54" s="27">
        <v>53000</v>
      </c>
      <c r="H54" s="28">
        <f t="shared" si="2"/>
        <v>48.583333333333336</v>
      </c>
      <c r="I54" s="28">
        <v>0</v>
      </c>
      <c r="J54" s="28"/>
      <c r="K54" s="28">
        <v>0</v>
      </c>
      <c r="L54" s="28"/>
      <c r="M54" s="28"/>
      <c r="N54" s="28"/>
      <c r="O54" s="28"/>
      <c r="T54" s="27"/>
    </row>
    <row r="55" spans="1:20" hidden="1">
      <c r="A55" s="22"/>
      <c r="B55" s="61" t="s">
        <v>35</v>
      </c>
      <c r="C55" s="72" t="s">
        <v>16</v>
      </c>
      <c r="D55" s="63" t="s">
        <v>73</v>
      </c>
      <c r="E55" s="77">
        <v>18</v>
      </c>
      <c r="F55" s="27">
        <f>E55/E120</f>
        <v>2.8846153846153849E-4</v>
      </c>
      <c r="G55" s="27">
        <v>53000</v>
      </c>
      <c r="H55" s="28">
        <f t="shared" si="2"/>
        <v>15.28846153846154</v>
      </c>
      <c r="I55" s="28">
        <v>63</v>
      </c>
      <c r="J55" s="28"/>
      <c r="K55" s="28">
        <v>0</v>
      </c>
      <c r="L55" s="28"/>
      <c r="M55" s="28"/>
      <c r="N55" s="28"/>
      <c r="O55" s="28"/>
      <c r="T55" s="27"/>
    </row>
    <row r="56" spans="1:20">
      <c r="A56" s="22"/>
      <c r="B56" s="61" t="s">
        <v>36</v>
      </c>
      <c r="C56" s="62" t="s">
        <v>153</v>
      </c>
      <c r="D56" s="63" t="s">
        <v>73</v>
      </c>
      <c r="E56" s="77">
        <v>461.3</v>
      </c>
      <c r="F56" s="27">
        <f>E56/E120</f>
        <v>7.3926282051282053E-3</v>
      </c>
      <c r="G56" s="27">
        <v>53000</v>
      </c>
      <c r="H56" s="28">
        <f t="shared" si="2"/>
        <v>391.80929487179486</v>
      </c>
      <c r="I56" s="28">
        <v>450</v>
      </c>
      <c r="J56" s="28">
        <v>450</v>
      </c>
      <c r="K56" s="28">
        <v>450</v>
      </c>
      <c r="L56" s="28">
        <v>308.49299999999999</v>
      </c>
      <c r="M56" s="28">
        <v>308.49299999999999</v>
      </c>
      <c r="N56" s="28"/>
      <c r="O56" s="28">
        <v>411.32400000000001</v>
      </c>
      <c r="T56" s="27"/>
    </row>
    <row r="57" spans="1:20" ht="25.5">
      <c r="A57" s="22"/>
      <c r="B57" s="61" t="s">
        <v>154</v>
      </c>
      <c r="C57" s="72" t="s">
        <v>84</v>
      </c>
      <c r="D57" s="63" t="s">
        <v>73</v>
      </c>
      <c r="E57" s="77">
        <v>160.30000000000001</v>
      </c>
      <c r="F57" s="27">
        <f>E57/E120</f>
        <v>2.5689102564102565E-3</v>
      </c>
      <c r="G57" s="27">
        <v>53000</v>
      </c>
      <c r="H57" s="28">
        <f t="shared" si="2"/>
        <v>136.15224358974359</v>
      </c>
      <c r="I57" s="28">
        <v>130</v>
      </c>
      <c r="J57" s="28">
        <v>130</v>
      </c>
      <c r="K57" s="28">
        <v>80</v>
      </c>
      <c r="L57" s="28">
        <v>47.994</v>
      </c>
      <c r="M57" s="28">
        <v>47.994</v>
      </c>
      <c r="N57" s="28"/>
      <c r="O57" s="28">
        <v>79.998999999999995</v>
      </c>
      <c r="T57" s="27"/>
    </row>
    <row r="58" spans="1:20" ht="25.5">
      <c r="A58" s="22"/>
      <c r="B58" s="61" t="s">
        <v>41</v>
      </c>
      <c r="C58" s="72" t="s">
        <v>85</v>
      </c>
      <c r="D58" s="63" t="s">
        <v>73</v>
      </c>
      <c r="E58" s="77">
        <v>146.9</v>
      </c>
      <c r="F58" s="27">
        <f>E58/E120</f>
        <v>2.3541666666666667E-3</v>
      </c>
      <c r="G58" s="27">
        <v>53000</v>
      </c>
      <c r="H58" s="28">
        <f t="shared" si="2"/>
        <v>124.77083333333334</v>
      </c>
      <c r="I58" s="28">
        <v>120</v>
      </c>
      <c r="J58" s="28">
        <v>60</v>
      </c>
      <c r="K58" s="28">
        <v>59</v>
      </c>
      <c r="L58" s="28">
        <v>11.8</v>
      </c>
      <c r="M58" s="28">
        <v>11.8</v>
      </c>
      <c r="N58" s="28"/>
      <c r="O58" s="28">
        <v>59</v>
      </c>
      <c r="T58" s="27"/>
    </row>
    <row r="59" spans="1:20">
      <c r="B59" s="54" t="s">
        <v>43</v>
      </c>
      <c r="C59" s="78" t="s">
        <v>86</v>
      </c>
      <c r="D59" s="63" t="s">
        <v>73</v>
      </c>
      <c r="E59" s="77">
        <v>261.10000000000002</v>
      </c>
      <c r="F59" s="27">
        <f>E59/E120</f>
        <v>4.1842948717948723E-3</v>
      </c>
      <c r="G59" s="27">
        <v>53000</v>
      </c>
      <c r="H59" s="28">
        <f t="shared" si="2"/>
        <v>221.76762820512823</v>
      </c>
      <c r="I59" s="28">
        <v>250</v>
      </c>
      <c r="J59" s="28">
        <v>250</v>
      </c>
      <c r="K59" s="28">
        <v>35</v>
      </c>
      <c r="L59" s="28"/>
      <c r="M59" s="28"/>
      <c r="N59" s="28"/>
      <c r="O59" s="28">
        <v>23.995000000000001</v>
      </c>
      <c r="T59" s="27"/>
    </row>
    <row r="60" spans="1:20">
      <c r="B60" s="54" t="s">
        <v>155</v>
      </c>
      <c r="C60" s="78" t="s">
        <v>17</v>
      </c>
      <c r="D60" s="63" t="s">
        <v>73</v>
      </c>
      <c r="E60" s="77">
        <v>30.5</v>
      </c>
      <c r="F60" s="27">
        <f>E60/E120</f>
        <v>4.887820512820513E-4</v>
      </c>
      <c r="G60" s="27">
        <v>53000</v>
      </c>
      <c r="H60" s="28">
        <f t="shared" si="2"/>
        <v>25.905448717948719</v>
      </c>
      <c r="I60" s="28">
        <v>25</v>
      </c>
      <c r="J60" s="28">
        <v>25</v>
      </c>
      <c r="K60" s="28">
        <v>25</v>
      </c>
      <c r="L60" s="28">
        <v>25</v>
      </c>
      <c r="M60" s="28">
        <v>25</v>
      </c>
      <c r="N60" s="28"/>
      <c r="O60" s="28">
        <v>25</v>
      </c>
      <c r="T60" s="27"/>
    </row>
    <row r="61" spans="1:20" ht="38.25">
      <c r="B61" s="79" t="s">
        <v>156</v>
      </c>
      <c r="C61" s="72" t="s">
        <v>87</v>
      </c>
      <c r="D61" s="63" t="s">
        <v>73</v>
      </c>
      <c r="E61" s="77">
        <v>28.94</v>
      </c>
      <c r="F61" s="27">
        <f>E61/E120</f>
        <v>4.6378205128205129E-4</v>
      </c>
      <c r="G61" s="27">
        <v>53000</v>
      </c>
      <c r="H61" s="28">
        <f t="shared" si="2"/>
        <v>24.58044871794872</v>
      </c>
      <c r="I61" s="28">
        <v>25</v>
      </c>
      <c r="J61" s="28">
        <v>25</v>
      </c>
      <c r="K61" s="28">
        <f>4+3+1</f>
        <v>8</v>
      </c>
      <c r="L61" s="28">
        <v>5.25</v>
      </c>
      <c r="M61" s="28">
        <v>5.25</v>
      </c>
      <c r="N61" s="28"/>
      <c r="O61" s="28">
        <v>13.55</v>
      </c>
      <c r="T61" s="27"/>
    </row>
    <row r="62" spans="1:20" hidden="1">
      <c r="B62" s="79"/>
      <c r="C62" s="72" t="s">
        <v>157</v>
      </c>
      <c r="D62" s="79"/>
      <c r="E62" s="77"/>
      <c r="F62" s="27"/>
      <c r="G62" s="27"/>
      <c r="H62" s="28"/>
      <c r="I62" s="28">
        <v>150</v>
      </c>
      <c r="J62" s="28">
        <v>150</v>
      </c>
      <c r="K62" s="28"/>
      <c r="L62" s="28"/>
      <c r="M62" s="28"/>
      <c r="N62" s="28"/>
      <c r="O62" s="28"/>
      <c r="T62" s="27"/>
    </row>
    <row r="63" spans="1:20" hidden="1">
      <c r="B63" s="79"/>
      <c r="C63" s="72" t="s">
        <v>158</v>
      </c>
      <c r="D63" s="79"/>
      <c r="E63" s="77"/>
      <c r="F63" s="27"/>
      <c r="G63" s="27"/>
      <c r="H63" s="28"/>
      <c r="I63" s="28">
        <v>131.58000000000001</v>
      </c>
      <c r="J63" s="28"/>
      <c r="K63" s="28"/>
      <c r="L63" s="28"/>
      <c r="M63" s="28"/>
      <c r="N63" s="28"/>
      <c r="O63" s="28"/>
      <c r="T63" s="27"/>
    </row>
    <row r="64" spans="1:20" hidden="1">
      <c r="B64" s="79"/>
      <c r="C64" s="72" t="s">
        <v>159</v>
      </c>
      <c r="D64" s="79"/>
      <c r="E64" s="77"/>
      <c r="F64" s="27"/>
      <c r="G64" s="27"/>
      <c r="H64" s="28"/>
      <c r="I64" s="28"/>
      <c r="J64" s="28"/>
      <c r="K64" s="28">
        <v>55</v>
      </c>
      <c r="L64" s="28">
        <v>55</v>
      </c>
      <c r="M64" s="28">
        <v>55</v>
      </c>
      <c r="N64" s="28"/>
      <c r="O64" s="28"/>
      <c r="T64" s="27"/>
    </row>
    <row r="65" spans="1:20" hidden="1">
      <c r="B65" s="79"/>
      <c r="C65" s="72" t="s">
        <v>160</v>
      </c>
      <c r="D65" s="79"/>
      <c r="E65" s="77"/>
      <c r="F65" s="27"/>
      <c r="G65" s="27"/>
      <c r="H65" s="28"/>
      <c r="I65" s="28"/>
      <c r="J65" s="28"/>
      <c r="K65" s="28">
        <v>15</v>
      </c>
      <c r="L65" s="28">
        <v>15</v>
      </c>
      <c r="M65" s="28">
        <v>15</v>
      </c>
      <c r="N65" s="28"/>
      <c r="O65" s="28"/>
      <c r="T65" s="27"/>
    </row>
    <row r="66" spans="1:20" ht="38.25">
      <c r="A66" s="22"/>
      <c r="B66" s="126" t="s">
        <v>18</v>
      </c>
      <c r="C66" s="57" t="s">
        <v>19</v>
      </c>
      <c r="D66" s="36" t="s">
        <v>3</v>
      </c>
      <c r="E66" s="58">
        <f>E67</f>
        <v>38056.140000000007</v>
      </c>
      <c r="F66" s="123">
        <f>F67</f>
        <v>0.70987243589743598</v>
      </c>
      <c r="G66" s="123"/>
      <c r="H66" s="60">
        <f t="shared" ref="H66:M66" si="6">H67</f>
        <v>32323.339102564092</v>
      </c>
      <c r="I66" s="60">
        <f t="shared" si="6"/>
        <v>27958.218999999997</v>
      </c>
      <c r="J66" s="60">
        <f t="shared" si="6"/>
        <v>27955.609000000004</v>
      </c>
      <c r="K66" s="60">
        <f t="shared" si="6"/>
        <v>29333</v>
      </c>
      <c r="L66" s="60">
        <f t="shared" si="6"/>
        <v>20237.937000000002</v>
      </c>
      <c r="M66" s="60">
        <f t="shared" si="6"/>
        <v>20196.058999999997</v>
      </c>
      <c r="N66" s="60"/>
      <c r="O66" s="60">
        <f>O67</f>
        <v>28601.914999999997</v>
      </c>
      <c r="T66" s="127" t="s">
        <v>112</v>
      </c>
    </row>
    <row r="67" spans="1:20">
      <c r="A67" s="22"/>
      <c r="B67" s="80" t="s">
        <v>88</v>
      </c>
      <c r="C67" s="39" t="s">
        <v>20</v>
      </c>
      <c r="D67" s="80" t="s">
        <v>73</v>
      </c>
      <c r="E67" s="77">
        <f>E68+E72+E78+E79+E80+E83+E89+E90+E91+E96+E100+E101+0.1</f>
        <v>38056.140000000007</v>
      </c>
      <c r="F67" s="77">
        <f>F68+F72+F78+F79+F80+F83+F89+F90+F91+F96+F100+F101+0.1</f>
        <v>0.70987243589743598</v>
      </c>
      <c r="G67" s="77"/>
      <c r="H67" s="77">
        <f>H68+H72+H78+H79+H80+H83+H89+H90+H91+H96+H100+H101+0.1</f>
        <v>32323.339102564092</v>
      </c>
      <c r="I67" s="77">
        <f>I68+I72+I78+I79+I80+I83+I89+I90+I91+I96+I100+I101+0.1</f>
        <v>27958.218999999997</v>
      </c>
      <c r="J67" s="81">
        <f>J68+J72+J78+J79+J80+J83+J89+J90+J91+J96+J100+J101</f>
        <v>27955.609000000004</v>
      </c>
      <c r="K67" s="81">
        <f>K68+K72+K78+K79+K80+K83+K89+K90+K91+K96+K100+K101</f>
        <v>29333</v>
      </c>
      <c r="L67" s="81">
        <f>L68+L72+L78+L79+L80+L83+L89+L90+L91+L96+L100+L101</f>
        <v>20237.937000000002</v>
      </c>
      <c r="M67" s="81">
        <f>M68+M72+M78+M79+M80+M83+M89+M90+M91+M96+M100+M101</f>
        <v>20196.058999999997</v>
      </c>
      <c r="N67" s="81">
        <f t="shared" ref="N67:O67" si="7">N68+N72+N78+N79+N80+N83+N89+N90+N91+N96+N100+N101</f>
        <v>0</v>
      </c>
      <c r="O67" s="81">
        <f t="shared" si="7"/>
        <v>28601.914999999997</v>
      </c>
      <c r="T67" s="27"/>
    </row>
    <row r="68" spans="1:20">
      <c r="A68" s="22"/>
      <c r="B68" s="82" t="s">
        <v>89</v>
      </c>
      <c r="C68" s="57" t="s">
        <v>22</v>
      </c>
      <c r="D68" s="63" t="s">
        <v>73</v>
      </c>
      <c r="E68" s="58">
        <f>E69+E70+E71</f>
        <v>914.62</v>
      </c>
      <c r="F68" s="58">
        <f>F69+F70+F71</f>
        <v>1.4657371794871796E-2</v>
      </c>
      <c r="G68" s="58"/>
      <c r="H68" s="60">
        <f t="shared" ref="H68:O68" si="8">H69+H70+H71</f>
        <v>776.84070512820506</v>
      </c>
      <c r="I68" s="60">
        <f t="shared" si="8"/>
        <v>959</v>
      </c>
      <c r="J68" s="60">
        <f t="shared" si="8"/>
        <v>869</v>
      </c>
      <c r="K68" s="60">
        <f t="shared" si="8"/>
        <v>943</v>
      </c>
      <c r="L68" s="60">
        <f t="shared" si="8"/>
        <v>559.26099999999997</v>
      </c>
      <c r="M68" s="60">
        <f t="shared" si="8"/>
        <v>559.26099999999997</v>
      </c>
      <c r="N68" s="60">
        <f t="shared" si="8"/>
        <v>0</v>
      </c>
      <c r="O68" s="60">
        <f t="shared" si="8"/>
        <v>936.64799999999991</v>
      </c>
      <c r="T68" s="27"/>
    </row>
    <row r="69" spans="1:20">
      <c r="A69" s="22"/>
      <c r="B69" s="83" t="s">
        <v>90</v>
      </c>
      <c r="C69" s="39" t="s">
        <v>23</v>
      </c>
      <c r="D69" s="80" t="s">
        <v>73</v>
      </c>
      <c r="E69" s="84">
        <v>312.8</v>
      </c>
      <c r="F69" s="27">
        <f>E69/E120</f>
        <v>5.0128205128205129E-3</v>
      </c>
      <c r="G69" s="27">
        <v>53000</v>
      </c>
      <c r="H69" s="28">
        <f>F69*G69</f>
        <v>265.67948717948718</v>
      </c>
      <c r="I69" s="28">
        <f>90+90</f>
        <v>180</v>
      </c>
      <c r="J69" s="28">
        <v>90</v>
      </c>
      <c r="K69" s="28">
        <v>90</v>
      </c>
      <c r="L69" s="28"/>
      <c r="M69" s="28"/>
      <c r="N69" s="28"/>
      <c r="O69" s="28">
        <v>137.91999999999999</v>
      </c>
      <c r="T69" s="27"/>
    </row>
    <row r="70" spans="1:20">
      <c r="A70" s="22"/>
      <c r="B70" s="83" t="s">
        <v>91</v>
      </c>
      <c r="C70" s="39" t="s">
        <v>24</v>
      </c>
      <c r="D70" s="80" t="s">
        <v>73</v>
      </c>
      <c r="E70" s="77">
        <v>355.72</v>
      </c>
      <c r="F70" s="27">
        <f>E70/E120</f>
        <v>5.700641025641026E-3</v>
      </c>
      <c r="G70" s="27">
        <v>53000</v>
      </c>
      <c r="H70" s="28">
        <f t="shared" ref="H70:H101" si="9">F70*G70</f>
        <v>302.1339743589744</v>
      </c>
      <c r="I70" s="28">
        <v>529</v>
      </c>
      <c r="J70" s="28">
        <v>529</v>
      </c>
      <c r="K70" s="28">
        <v>603</v>
      </c>
      <c r="L70" s="28">
        <v>400.97300000000001</v>
      </c>
      <c r="M70" s="28">
        <v>400.97300000000001</v>
      </c>
      <c r="N70" s="28"/>
      <c r="O70" s="28">
        <v>577.44799999999998</v>
      </c>
      <c r="T70" s="27"/>
    </row>
    <row r="71" spans="1:20">
      <c r="A71" s="22"/>
      <c r="B71" s="85" t="s">
        <v>92</v>
      </c>
      <c r="C71" s="39" t="s">
        <v>26</v>
      </c>
      <c r="D71" s="80" t="s">
        <v>73</v>
      </c>
      <c r="E71" s="77">
        <v>246.1</v>
      </c>
      <c r="F71" s="27">
        <f>E71/E120</f>
        <v>3.943910256410256E-3</v>
      </c>
      <c r="G71" s="27">
        <v>53000</v>
      </c>
      <c r="H71" s="28">
        <f t="shared" si="9"/>
        <v>209.02724358974356</v>
      </c>
      <c r="I71" s="28">
        <v>250</v>
      </c>
      <c r="J71" s="28">
        <v>250</v>
      </c>
      <c r="K71" s="28">
        <v>250</v>
      </c>
      <c r="L71" s="28">
        <v>158.28800000000001</v>
      </c>
      <c r="M71" s="28">
        <v>158.28800000000001</v>
      </c>
      <c r="N71" s="28"/>
      <c r="O71" s="28">
        <v>221.28</v>
      </c>
      <c r="T71" s="27"/>
    </row>
    <row r="72" spans="1:20">
      <c r="A72" s="22"/>
      <c r="B72" s="36" t="s">
        <v>93</v>
      </c>
      <c r="C72" s="86" t="s">
        <v>28</v>
      </c>
      <c r="D72" s="80" t="s">
        <v>73</v>
      </c>
      <c r="E72" s="31">
        <f>E73+E76</f>
        <v>30720.7</v>
      </c>
      <c r="F72" s="31">
        <f>F73+F76</f>
        <v>0.49231891025641028</v>
      </c>
      <c r="G72" s="31"/>
      <c r="H72" s="33">
        <f>H73+H76</f>
        <v>26092.902243589742</v>
      </c>
      <c r="I72" s="60">
        <f t="shared" ref="I72:O72" si="10">I73+I76+I77</f>
        <v>20424.999</v>
      </c>
      <c r="J72" s="60">
        <f t="shared" si="10"/>
        <v>18838.779000000002</v>
      </c>
      <c r="K72" s="60">
        <f t="shared" si="10"/>
        <v>18840</v>
      </c>
      <c r="L72" s="60">
        <f t="shared" si="10"/>
        <v>13357.050999999999</v>
      </c>
      <c r="M72" s="60">
        <f t="shared" si="10"/>
        <v>13739.924999999999</v>
      </c>
      <c r="N72" s="60">
        <f t="shared" si="10"/>
        <v>0</v>
      </c>
      <c r="O72" s="60">
        <f t="shared" si="10"/>
        <v>18838.805999999997</v>
      </c>
      <c r="T72" s="27"/>
    </row>
    <row r="73" spans="1:20">
      <c r="A73" s="22"/>
      <c r="B73" s="87" t="s">
        <v>94</v>
      </c>
      <c r="C73" s="88" t="s">
        <v>29</v>
      </c>
      <c r="D73" s="80" t="s">
        <v>73</v>
      </c>
      <c r="E73" s="77">
        <v>27953.3</v>
      </c>
      <c r="F73" s="27">
        <f>E73/E120</f>
        <v>0.44796955128205129</v>
      </c>
      <c r="G73" s="27">
        <v>53000</v>
      </c>
      <c r="H73" s="28">
        <f t="shared" si="9"/>
        <v>23742.386217948719</v>
      </c>
      <c r="I73" s="28">
        <v>18417.999</v>
      </c>
      <c r="J73" s="89">
        <v>17118.405999999999</v>
      </c>
      <c r="K73" s="28">
        <v>17119</v>
      </c>
      <c r="L73" s="28">
        <v>12139.73</v>
      </c>
      <c r="M73" s="28">
        <v>12499.18</v>
      </c>
      <c r="N73" s="28"/>
      <c r="O73" s="28">
        <v>17118.405999999999</v>
      </c>
      <c r="T73" s="27"/>
    </row>
    <row r="74" spans="1:20" hidden="1">
      <c r="A74" s="22"/>
      <c r="B74" s="90"/>
      <c r="C74" s="45" t="s">
        <v>126</v>
      </c>
      <c r="D74" s="46" t="s">
        <v>127</v>
      </c>
      <c r="E74" s="91">
        <f>E73/E75/12*1000</f>
        <v>129413.42592592591</v>
      </c>
      <c r="F74" s="27">
        <f>E74/E120</f>
        <v>2.073933107787274</v>
      </c>
      <c r="G74" s="27">
        <v>53000</v>
      </c>
      <c r="H74" s="28">
        <f t="shared" si="9"/>
        <v>109918.45471272552</v>
      </c>
      <c r="I74" s="48">
        <f>I73/12/I75*1000</f>
        <v>127902.77083333331</v>
      </c>
      <c r="J74" s="48">
        <f>J73/J75/12*1000</f>
        <v>129684.89393939394</v>
      </c>
      <c r="K74" s="28"/>
      <c r="L74" s="28"/>
      <c r="M74" s="28"/>
      <c r="N74" s="28"/>
      <c r="O74" s="28"/>
      <c r="T74" s="27"/>
    </row>
    <row r="75" spans="1:20" hidden="1">
      <c r="A75" s="22"/>
      <c r="B75" s="92"/>
      <c r="C75" s="45" t="s">
        <v>128</v>
      </c>
      <c r="D75" s="46" t="s">
        <v>129</v>
      </c>
      <c r="E75" s="93">
        <v>18</v>
      </c>
      <c r="F75" s="27">
        <f>E75/E120</f>
        <v>2.8846153846153849E-4</v>
      </c>
      <c r="G75" s="27">
        <v>53000</v>
      </c>
      <c r="H75" s="28">
        <f t="shared" si="9"/>
        <v>15.28846153846154</v>
      </c>
      <c r="I75" s="48">
        <v>12</v>
      </c>
      <c r="J75" s="48">
        <v>11</v>
      </c>
      <c r="K75" s="28"/>
      <c r="L75" s="28"/>
      <c r="M75" s="28"/>
      <c r="N75" s="28"/>
      <c r="O75" s="28"/>
      <c r="T75" s="27"/>
    </row>
    <row r="76" spans="1:20">
      <c r="A76" s="22"/>
      <c r="B76" s="36" t="s">
        <v>95</v>
      </c>
      <c r="C76" s="94" t="s">
        <v>30</v>
      </c>
      <c r="D76" s="80" t="s">
        <v>73</v>
      </c>
      <c r="E76" s="95">
        <v>2767.4</v>
      </c>
      <c r="F76" s="27">
        <f>E76/E120</f>
        <v>4.4349358974358974E-2</v>
      </c>
      <c r="G76" s="27">
        <v>53000</v>
      </c>
      <c r="H76" s="28">
        <f t="shared" si="9"/>
        <v>2350.5160256410254</v>
      </c>
      <c r="I76" s="28">
        <v>1823</v>
      </c>
      <c r="J76" s="28">
        <v>1463.597</v>
      </c>
      <c r="K76" s="28">
        <v>1464</v>
      </c>
      <c r="L76" s="28">
        <v>1051.5029999999999</v>
      </c>
      <c r="M76" s="28">
        <f>688.73+384.731</f>
        <v>1073.461</v>
      </c>
      <c r="N76" s="28"/>
      <c r="O76" s="28">
        <f>924.39+539.23</f>
        <v>1463.62</v>
      </c>
      <c r="T76" s="27"/>
    </row>
    <row r="77" spans="1:20">
      <c r="A77" s="22"/>
      <c r="B77" s="36" t="s">
        <v>111</v>
      </c>
      <c r="C77" s="94" t="s">
        <v>130</v>
      </c>
      <c r="D77" s="80" t="s">
        <v>73</v>
      </c>
      <c r="E77" s="95"/>
      <c r="F77" s="27"/>
      <c r="G77" s="27"/>
      <c r="H77" s="28"/>
      <c r="I77" s="28">
        <v>184</v>
      </c>
      <c r="J77" s="28">
        <v>256.77600000000001</v>
      </c>
      <c r="K77" s="28">
        <v>257</v>
      </c>
      <c r="L77" s="28">
        <v>165.81800000000001</v>
      </c>
      <c r="M77" s="28">
        <v>167.28399999999999</v>
      </c>
      <c r="N77" s="28"/>
      <c r="O77" s="28">
        <v>256.77999999999997</v>
      </c>
      <c r="T77" s="27"/>
    </row>
    <row r="78" spans="1:20">
      <c r="A78" s="22"/>
      <c r="B78" s="26" t="s">
        <v>96</v>
      </c>
      <c r="C78" s="39" t="s">
        <v>32</v>
      </c>
      <c r="D78" s="80" t="s">
        <v>73</v>
      </c>
      <c r="E78" s="77">
        <v>378.5</v>
      </c>
      <c r="F78" s="27">
        <f>E78/E120</f>
        <v>6.0657051282051282E-3</v>
      </c>
      <c r="G78" s="27">
        <v>53000</v>
      </c>
      <c r="H78" s="28">
        <f t="shared" si="9"/>
        <v>321.48237179487177</v>
      </c>
      <c r="I78" s="28">
        <v>250</v>
      </c>
      <c r="J78" s="64">
        <v>250</v>
      </c>
      <c r="K78" s="28">
        <v>250</v>
      </c>
      <c r="L78" s="28">
        <v>149.39599999999999</v>
      </c>
      <c r="M78" s="28">
        <v>149.39599999999999</v>
      </c>
      <c r="N78" s="28"/>
      <c r="O78" s="28">
        <v>185</v>
      </c>
      <c r="T78" s="27"/>
    </row>
    <row r="79" spans="1:20">
      <c r="A79" s="22"/>
      <c r="B79" s="26" t="s">
        <v>97</v>
      </c>
      <c r="C79" s="39" t="s">
        <v>34</v>
      </c>
      <c r="D79" s="80" t="s">
        <v>73</v>
      </c>
      <c r="E79" s="77">
        <v>22.2</v>
      </c>
      <c r="F79" s="27">
        <f>E79/E120</f>
        <v>3.5576923076923074E-4</v>
      </c>
      <c r="G79" s="27">
        <v>53000</v>
      </c>
      <c r="H79" s="28">
        <f t="shared" si="9"/>
        <v>18.85576923076923</v>
      </c>
      <c r="I79" s="28">
        <v>4</v>
      </c>
      <c r="J79" s="64">
        <v>4</v>
      </c>
      <c r="K79" s="28">
        <v>0</v>
      </c>
      <c r="L79" s="28"/>
      <c r="M79" s="28"/>
      <c r="N79" s="28"/>
      <c r="O79" s="28">
        <v>0</v>
      </c>
      <c r="T79" s="27"/>
    </row>
    <row r="80" spans="1:20" ht="25.5">
      <c r="A80" s="22"/>
      <c r="B80" s="26" t="s">
        <v>98</v>
      </c>
      <c r="C80" s="39" t="s">
        <v>99</v>
      </c>
      <c r="D80" s="80" t="s">
        <v>73</v>
      </c>
      <c r="E80" s="77">
        <v>410.2</v>
      </c>
      <c r="F80" s="27">
        <f>E80/E120</f>
        <v>6.5737179487179486E-3</v>
      </c>
      <c r="G80" s="27">
        <v>53000</v>
      </c>
      <c r="H80" s="28">
        <f t="shared" si="9"/>
        <v>348.40705128205127</v>
      </c>
      <c r="I80" s="28">
        <f>I81+I82</f>
        <v>417</v>
      </c>
      <c r="J80" s="64">
        <f>J81+J82</f>
        <v>302</v>
      </c>
      <c r="K80" s="28">
        <f>K81+K82</f>
        <v>277</v>
      </c>
      <c r="L80" s="28">
        <f>L81+L82</f>
        <v>301.69099999999997</v>
      </c>
      <c r="M80" s="28">
        <f>M81+M82</f>
        <v>301.69099999999997</v>
      </c>
      <c r="N80" s="28"/>
      <c r="O80" s="28">
        <v>314.58999999999997</v>
      </c>
      <c r="T80" s="27"/>
    </row>
    <row r="81" spans="1:20" hidden="1">
      <c r="A81" s="22"/>
      <c r="B81" s="26"/>
      <c r="C81" s="96" t="s">
        <v>161</v>
      </c>
      <c r="D81" s="97"/>
      <c r="E81" s="93"/>
      <c r="F81" s="75"/>
      <c r="G81" s="75"/>
      <c r="H81" s="76"/>
      <c r="I81" s="76">
        <v>210</v>
      </c>
      <c r="J81" s="28">
        <v>95</v>
      </c>
      <c r="K81" s="28">
        <v>70</v>
      </c>
      <c r="L81" s="28">
        <v>49</v>
      </c>
      <c r="M81" s="28">
        <v>49</v>
      </c>
      <c r="N81" s="28"/>
      <c r="O81" s="28"/>
      <c r="T81" s="27"/>
    </row>
    <row r="82" spans="1:20" hidden="1">
      <c r="A82" s="22"/>
      <c r="B82" s="26"/>
      <c r="C82" s="96" t="s">
        <v>162</v>
      </c>
      <c r="D82" s="97"/>
      <c r="E82" s="93"/>
      <c r="F82" s="75"/>
      <c r="G82" s="75"/>
      <c r="H82" s="76"/>
      <c r="I82" s="76">
        <v>207</v>
      </c>
      <c r="J82" s="28">
        <v>207</v>
      </c>
      <c r="K82" s="28">
        <v>207</v>
      </c>
      <c r="L82" s="28">
        <f>236.95+15.741</f>
        <v>252.69099999999997</v>
      </c>
      <c r="M82" s="28">
        <f>236.95+15.741</f>
        <v>252.69099999999997</v>
      </c>
      <c r="N82" s="28"/>
      <c r="O82" s="28">
        <v>314.58999999999997</v>
      </c>
      <c r="T82" s="27"/>
    </row>
    <row r="83" spans="1:20">
      <c r="A83" s="22"/>
      <c r="B83" s="26" t="s">
        <v>100</v>
      </c>
      <c r="C83" s="39" t="s">
        <v>37</v>
      </c>
      <c r="D83" s="80" t="s">
        <v>73</v>
      </c>
      <c r="E83" s="77">
        <v>1371</v>
      </c>
      <c r="F83" s="27">
        <f>E83/E120</f>
        <v>2.1971153846153845E-2</v>
      </c>
      <c r="G83" s="27">
        <v>53000</v>
      </c>
      <c r="H83" s="28">
        <f t="shared" si="9"/>
        <v>1164.4711538461538</v>
      </c>
      <c r="I83" s="28">
        <f>I84+I85+I87+I88</f>
        <v>1870.84</v>
      </c>
      <c r="J83" s="64">
        <f>J84+J85+J86+J87+J88</f>
        <v>1801.79</v>
      </c>
      <c r="K83" s="52">
        <f>K84+K85+K86+K87+K88</f>
        <v>1580</v>
      </c>
      <c r="L83" s="52">
        <f>L84+L85+L86+L87+L88</f>
        <v>398.69099999999997</v>
      </c>
      <c r="M83" s="52">
        <f>M84+M85+M86+M87+M88</f>
        <v>398.69099999999997</v>
      </c>
      <c r="N83" s="52">
        <f t="shared" ref="N83:O83" si="11">N84+N85+N86+N87+N88</f>
        <v>0</v>
      </c>
      <c r="O83" s="98">
        <f t="shared" si="11"/>
        <v>973.83399999999995</v>
      </c>
      <c r="T83" s="27"/>
    </row>
    <row r="84" spans="1:20" hidden="1">
      <c r="A84" s="22"/>
      <c r="B84" s="26"/>
      <c r="C84" s="96" t="s">
        <v>163</v>
      </c>
      <c r="D84" s="80"/>
      <c r="E84" s="77"/>
      <c r="F84" s="27"/>
      <c r="G84" s="27"/>
      <c r="H84" s="28"/>
      <c r="I84" s="28">
        <v>1758</v>
      </c>
      <c r="J84" s="28">
        <v>1658</v>
      </c>
      <c r="K84" s="28">
        <f>661*2+136</f>
        <v>1458</v>
      </c>
      <c r="L84" s="28">
        <v>334.61599999999999</v>
      </c>
      <c r="M84" s="28">
        <v>334.61599999999999</v>
      </c>
      <c r="N84" s="28"/>
      <c r="O84" s="28">
        <v>854.45600000000002</v>
      </c>
      <c r="T84" s="27"/>
    </row>
    <row r="85" spans="1:20" hidden="1">
      <c r="A85" s="22"/>
      <c r="B85" s="26"/>
      <c r="C85" s="96" t="s">
        <v>164</v>
      </c>
      <c r="D85" s="80"/>
      <c r="E85" s="77"/>
      <c r="F85" s="27"/>
      <c r="G85" s="27"/>
      <c r="H85" s="28"/>
      <c r="I85" s="28">
        <v>50</v>
      </c>
      <c r="J85" s="28">
        <v>40</v>
      </c>
      <c r="K85" s="28">
        <f>50+20</f>
        <v>70</v>
      </c>
      <c r="L85" s="28">
        <v>30</v>
      </c>
      <c r="M85" s="28">
        <v>30</v>
      </c>
      <c r="N85" s="28"/>
      <c r="O85" s="28">
        <v>70</v>
      </c>
      <c r="T85" s="27"/>
    </row>
    <row r="86" spans="1:20" hidden="1">
      <c r="A86" s="22"/>
      <c r="B86" s="26"/>
      <c r="C86" s="96" t="s">
        <v>165</v>
      </c>
      <c r="D86" s="80"/>
      <c r="E86" s="77"/>
      <c r="F86" s="27"/>
      <c r="G86" s="27"/>
      <c r="H86" s="28"/>
      <c r="I86" s="28"/>
      <c r="J86" s="28">
        <v>50</v>
      </c>
      <c r="K86" s="28"/>
      <c r="L86" s="28"/>
      <c r="M86" s="28"/>
      <c r="N86" s="28"/>
      <c r="O86" s="28"/>
      <c r="T86" s="27"/>
    </row>
    <row r="87" spans="1:20" hidden="1">
      <c r="A87" s="22"/>
      <c r="B87" s="26"/>
      <c r="C87" s="96" t="s">
        <v>166</v>
      </c>
      <c r="D87" s="80"/>
      <c r="E87" s="77"/>
      <c r="F87" s="27"/>
      <c r="G87" s="27"/>
      <c r="H87" s="28"/>
      <c r="I87" s="28">
        <v>23</v>
      </c>
      <c r="J87" s="28">
        <v>23</v>
      </c>
      <c r="K87" s="28">
        <v>21</v>
      </c>
      <c r="L87" s="28">
        <v>7.1870000000000003</v>
      </c>
      <c r="M87" s="28">
        <v>7.1870000000000003</v>
      </c>
      <c r="N87" s="28"/>
      <c r="O87" s="28">
        <v>10.781000000000001</v>
      </c>
      <c r="T87" s="27"/>
    </row>
    <row r="88" spans="1:20" hidden="1">
      <c r="A88" s="22"/>
      <c r="B88" s="26"/>
      <c r="C88" s="96" t="s">
        <v>167</v>
      </c>
      <c r="D88" s="80"/>
      <c r="E88" s="77"/>
      <c r="F88" s="27"/>
      <c r="G88" s="27"/>
      <c r="H88" s="28"/>
      <c r="I88" s="28">
        <f>0.332*120</f>
        <v>39.840000000000003</v>
      </c>
      <c r="J88" s="28">
        <v>30.79</v>
      </c>
      <c r="K88" s="28">
        <v>31</v>
      </c>
      <c r="L88" s="28">
        <v>26.888000000000002</v>
      </c>
      <c r="M88" s="28">
        <v>26.888000000000002</v>
      </c>
      <c r="N88" s="28"/>
      <c r="O88" s="28">
        <v>38.597000000000001</v>
      </c>
      <c r="T88" s="27"/>
    </row>
    <row r="89" spans="1:20">
      <c r="A89" s="22"/>
      <c r="B89" s="26" t="s">
        <v>101</v>
      </c>
      <c r="C89" s="39" t="s">
        <v>38</v>
      </c>
      <c r="D89" s="80" t="s">
        <v>73</v>
      </c>
      <c r="E89" s="77">
        <v>126.4</v>
      </c>
      <c r="F89" s="27">
        <f>E89/E120</f>
        <v>2.0256410256410257E-3</v>
      </c>
      <c r="G89" s="27">
        <v>53000</v>
      </c>
      <c r="H89" s="28">
        <f t="shared" si="9"/>
        <v>107.35897435897436</v>
      </c>
      <c r="I89" s="28">
        <v>100</v>
      </c>
      <c r="J89" s="28">
        <v>100</v>
      </c>
      <c r="K89" s="28">
        <v>100</v>
      </c>
      <c r="L89" s="28">
        <v>70</v>
      </c>
      <c r="M89" s="28">
        <v>70</v>
      </c>
      <c r="N89" s="28"/>
      <c r="O89" s="28">
        <v>100</v>
      </c>
      <c r="T89" s="27"/>
    </row>
    <row r="90" spans="1:20">
      <c r="A90" s="22"/>
      <c r="B90" s="26" t="s">
        <v>102</v>
      </c>
      <c r="C90" s="39" t="s">
        <v>39</v>
      </c>
      <c r="D90" s="80" t="s">
        <v>73</v>
      </c>
      <c r="E90" s="77">
        <v>535.9</v>
      </c>
      <c r="F90" s="27">
        <f>E90/E120</f>
        <v>8.5881410256410246E-3</v>
      </c>
      <c r="G90" s="27">
        <v>53000</v>
      </c>
      <c r="H90" s="28">
        <f t="shared" si="9"/>
        <v>455.17147435897431</v>
      </c>
      <c r="I90" s="28">
        <v>540</v>
      </c>
      <c r="J90" s="28">
        <v>1100</v>
      </c>
      <c r="K90" s="28">
        <v>2810</v>
      </c>
      <c r="L90" s="28">
        <v>1830.0360000000001</v>
      </c>
      <c r="M90" s="28">
        <v>1830.0360000000001</v>
      </c>
      <c r="N90" s="28"/>
      <c r="O90" s="28">
        <v>2933.2190000000001</v>
      </c>
      <c r="T90" s="27"/>
    </row>
    <row r="91" spans="1:20">
      <c r="A91" s="22"/>
      <c r="B91" s="26" t="s">
        <v>103</v>
      </c>
      <c r="C91" s="39" t="s">
        <v>40</v>
      </c>
      <c r="D91" s="80" t="s">
        <v>73</v>
      </c>
      <c r="E91" s="77">
        <v>650.6</v>
      </c>
      <c r="F91" s="27">
        <f>E91/E120</f>
        <v>1.0426282051282052E-2</v>
      </c>
      <c r="G91" s="27">
        <v>53000</v>
      </c>
      <c r="H91" s="28">
        <f t="shared" si="9"/>
        <v>552.59294871794873</v>
      </c>
      <c r="I91" s="28">
        <f>I92+I93+I94</f>
        <v>505</v>
      </c>
      <c r="J91" s="64">
        <f>J92+J93+J94+J95</f>
        <v>505.95</v>
      </c>
      <c r="K91" s="64">
        <f>K92+K93+K94+K95</f>
        <v>505</v>
      </c>
      <c r="L91" s="52">
        <f>SUM(L92:L95)</f>
        <v>288.029</v>
      </c>
      <c r="M91" s="52">
        <f>SUM(M92:M95)</f>
        <v>288.029</v>
      </c>
      <c r="N91" s="52">
        <f t="shared" ref="N91" si="12">SUM(N92:N95)</f>
        <v>0</v>
      </c>
      <c r="O91" s="98">
        <f>SUM(O92:O95)</f>
        <v>387.69500000000005</v>
      </c>
      <c r="T91" s="27"/>
    </row>
    <row r="92" spans="1:20" hidden="1">
      <c r="A92" s="22"/>
      <c r="B92" s="26"/>
      <c r="C92" s="96" t="s">
        <v>168</v>
      </c>
      <c r="D92" s="80"/>
      <c r="E92" s="77"/>
      <c r="F92" s="27"/>
      <c r="G92" s="27"/>
      <c r="H92" s="28"/>
      <c r="I92" s="28">
        <v>400</v>
      </c>
      <c r="J92" s="28">
        <v>400</v>
      </c>
      <c r="K92" s="28">
        <v>400</v>
      </c>
      <c r="L92" s="28">
        <v>239.68600000000001</v>
      </c>
      <c r="M92" s="28">
        <v>239.68600000000001</v>
      </c>
      <c r="N92" s="28"/>
      <c r="O92" s="28">
        <v>332.68900000000002</v>
      </c>
      <c r="T92" s="27"/>
    </row>
    <row r="93" spans="1:20" hidden="1">
      <c r="A93" s="22"/>
      <c r="B93" s="26"/>
      <c r="C93" s="96" t="s">
        <v>169</v>
      </c>
      <c r="D93" s="80"/>
      <c r="E93" s="77"/>
      <c r="F93" s="27"/>
      <c r="G93" s="27"/>
      <c r="H93" s="28"/>
      <c r="I93" s="28">
        <v>20</v>
      </c>
      <c r="J93" s="28">
        <v>29.05</v>
      </c>
      <c r="K93" s="28">
        <v>29</v>
      </c>
      <c r="L93" s="28">
        <v>2.5979999999999999</v>
      </c>
      <c r="M93" s="28">
        <v>2.5979999999999999</v>
      </c>
      <c r="N93" s="28"/>
      <c r="O93" s="28">
        <v>4.0979999999999999</v>
      </c>
      <c r="T93" s="27"/>
    </row>
    <row r="94" spans="1:20" hidden="1">
      <c r="A94" s="22"/>
      <c r="B94" s="26"/>
      <c r="C94" s="96" t="s">
        <v>170</v>
      </c>
      <c r="D94" s="80"/>
      <c r="E94" s="77"/>
      <c r="F94" s="27"/>
      <c r="G94" s="27"/>
      <c r="H94" s="28"/>
      <c r="I94" s="28">
        <f>60+25</f>
        <v>85</v>
      </c>
      <c r="J94" s="28">
        <v>40</v>
      </c>
      <c r="K94" s="28">
        <v>39</v>
      </c>
      <c r="L94" s="28">
        <v>33.664999999999999</v>
      </c>
      <c r="M94" s="28">
        <v>33.664999999999999</v>
      </c>
      <c r="N94" s="28"/>
      <c r="O94" s="28">
        <v>38.826999999999998</v>
      </c>
      <c r="T94" s="27"/>
    </row>
    <row r="95" spans="1:20" hidden="1">
      <c r="A95" s="22"/>
      <c r="B95" s="26"/>
      <c r="C95" s="96" t="s">
        <v>171</v>
      </c>
      <c r="D95" s="80"/>
      <c r="E95" s="77"/>
      <c r="F95" s="27"/>
      <c r="G95" s="27"/>
      <c r="H95" s="28"/>
      <c r="I95" s="28"/>
      <c r="J95" s="28">
        <v>36.9</v>
      </c>
      <c r="K95" s="28">
        <v>37</v>
      </c>
      <c r="L95" s="28">
        <v>12.08</v>
      </c>
      <c r="M95" s="28">
        <v>12.08</v>
      </c>
      <c r="N95" s="28"/>
      <c r="O95" s="28">
        <v>12.081</v>
      </c>
      <c r="T95" s="27"/>
    </row>
    <row r="96" spans="1:20">
      <c r="A96" s="22"/>
      <c r="B96" s="26" t="s">
        <v>104</v>
      </c>
      <c r="C96" s="39" t="s">
        <v>42</v>
      </c>
      <c r="D96" s="80" t="s">
        <v>73</v>
      </c>
      <c r="E96" s="77">
        <v>2436.8000000000002</v>
      </c>
      <c r="F96" s="27">
        <f>E96/E120</f>
        <v>3.9051282051282055E-2</v>
      </c>
      <c r="G96" s="27">
        <v>53000</v>
      </c>
      <c r="H96" s="28">
        <f t="shared" si="9"/>
        <v>2069.7179487179487</v>
      </c>
      <c r="I96" s="28">
        <f>I97+I98+I99</f>
        <v>2251.2800000000002</v>
      </c>
      <c r="J96" s="64">
        <f>J97+J98+J99</f>
        <v>2251.2800000000002</v>
      </c>
      <c r="K96" s="64">
        <f>K97+K98+K99</f>
        <v>2421</v>
      </c>
      <c r="L96" s="52">
        <f>SUM(L97:L99)</f>
        <v>1746.7330000000002</v>
      </c>
      <c r="M96" s="52">
        <f>SUM(M97:M99)</f>
        <v>1746.7330000000002</v>
      </c>
      <c r="N96" s="52">
        <f>SUM(N97:N99)</f>
        <v>0</v>
      </c>
      <c r="O96" s="99">
        <f>SUM(O97:O99)</f>
        <v>2328.6369999999997</v>
      </c>
      <c r="T96" s="27"/>
    </row>
    <row r="97" spans="1:20" hidden="1">
      <c r="A97" s="22"/>
      <c r="B97" s="26"/>
      <c r="C97" s="96" t="s">
        <v>172</v>
      </c>
      <c r="D97" s="80"/>
      <c r="E97" s="77"/>
      <c r="F97" s="27"/>
      <c r="G97" s="27"/>
      <c r="H97" s="28"/>
      <c r="I97" s="28">
        <f>350*1.07</f>
        <v>374.5</v>
      </c>
      <c r="J97" s="28">
        <v>374.5</v>
      </c>
      <c r="K97" s="28">
        <v>375</v>
      </c>
      <c r="L97" s="28">
        <v>258.79300000000001</v>
      </c>
      <c r="M97" s="28">
        <v>258.79300000000001</v>
      </c>
      <c r="N97" s="28"/>
      <c r="O97" s="55">
        <v>345.05799999999999</v>
      </c>
      <c r="T97" s="27"/>
    </row>
    <row r="98" spans="1:20" hidden="1">
      <c r="A98" s="22"/>
      <c r="B98" s="26"/>
      <c r="C98" s="96" t="s">
        <v>173</v>
      </c>
      <c r="D98" s="80"/>
      <c r="E98" s="77"/>
      <c r="F98" s="27"/>
      <c r="G98" s="27"/>
      <c r="H98" s="28"/>
      <c r="I98" s="28">
        <f>1618*1.07</f>
        <v>1731.26</v>
      </c>
      <c r="J98" s="28">
        <v>1731.26</v>
      </c>
      <c r="K98" s="28">
        <v>1900</v>
      </c>
      <c r="L98" s="28">
        <f>1386.963+0.53</f>
        <v>1387.4929999999999</v>
      </c>
      <c r="M98" s="28">
        <f>1386.963+0.53</f>
        <v>1387.4929999999999</v>
      </c>
      <c r="N98" s="28"/>
      <c r="O98" s="55">
        <v>1849.2829999999999</v>
      </c>
      <c r="T98" s="27"/>
    </row>
    <row r="99" spans="1:20" hidden="1">
      <c r="A99" s="22"/>
      <c r="B99" s="26"/>
      <c r="C99" s="96" t="s">
        <v>174</v>
      </c>
      <c r="D99" s="80"/>
      <c r="E99" s="77"/>
      <c r="F99" s="27"/>
      <c r="G99" s="27"/>
      <c r="H99" s="28"/>
      <c r="I99" s="28">
        <f>136*1.07</f>
        <v>145.52000000000001</v>
      </c>
      <c r="J99" s="28">
        <v>145.52000000000001</v>
      </c>
      <c r="K99" s="28">
        <v>146</v>
      </c>
      <c r="L99" s="28">
        <v>100.447</v>
      </c>
      <c r="M99" s="28">
        <v>100.447</v>
      </c>
      <c r="N99" s="28"/>
      <c r="O99" s="55">
        <v>134.29599999999999</v>
      </c>
      <c r="T99" s="27"/>
    </row>
    <row r="100" spans="1:20">
      <c r="A100" s="22"/>
      <c r="B100" s="26" t="s">
        <v>105</v>
      </c>
      <c r="C100" s="39" t="s">
        <v>44</v>
      </c>
      <c r="D100" s="80" t="s">
        <v>73</v>
      </c>
      <c r="E100" s="77">
        <v>73.3</v>
      </c>
      <c r="F100" s="27">
        <f>E100/E120</f>
        <v>1.1746794871794872E-3</v>
      </c>
      <c r="G100" s="27">
        <v>53000</v>
      </c>
      <c r="H100" s="28">
        <f t="shared" si="9"/>
        <v>62.258012820512818</v>
      </c>
      <c r="I100" s="28">
        <v>61</v>
      </c>
      <c r="J100" s="64">
        <v>61</v>
      </c>
      <c r="K100" s="28">
        <v>113</v>
      </c>
      <c r="L100" s="28">
        <v>56.563000000000002</v>
      </c>
      <c r="M100" s="28">
        <v>56.563000000000002</v>
      </c>
      <c r="N100" s="28"/>
      <c r="O100" s="55">
        <v>113</v>
      </c>
      <c r="T100" s="27"/>
    </row>
    <row r="101" spans="1:20">
      <c r="A101" s="22"/>
      <c r="B101" s="26" t="s">
        <v>106</v>
      </c>
      <c r="C101" s="39" t="s">
        <v>45</v>
      </c>
      <c r="D101" s="80" t="s">
        <v>73</v>
      </c>
      <c r="E101" s="77">
        <v>415.82</v>
      </c>
      <c r="F101" s="27">
        <f>E101/E120</f>
        <v>6.6637820512820516E-3</v>
      </c>
      <c r="G101" s="27">
        <v>53000</v>
      </c>
      <c r="H101" s="28">
        <f t="shared" si="9"/>
        <v>353.18044871794871</v>
      </c>
      <c r="I101" s="28">
        <f>I102+I103+I110+I104+I105+I106+I107+I109+I108</f>
        <v>575</v>
      </c>
      <c r="J101" s="64">
        <f>J102+J103+J110+J104+J105+J106+J107+J109+J108</f>
        <v>1871.81</v>
      </c>
      <c r="K101" s="64">
        <f>K102+K103+K110+K104+K105+K106+K107+K109+K108+K111+K116</f>
        <v>1494</v>
      </c>
      <c r="L101" s="52">
        <f>SUM(L102:L116)</f>
        <v>1480.4860000000001</v>
      </c>
      <c r="M101" s="52">
        <f>SUM(M102:M116)</f>
        <v>1055.7339999999999</v>
      </c>
      <c r="N101" s="52">
        <f t="shared" ref="N101:O101" si="13">SUM(N102:N116)</f>
        <v>0</v>
      </c>
      <c r="O101" s="52">
        <f t="shared" si="13"/>
        <v>1490.4860000000001</v>
      </c>
      <c r="T101" s="27"/>
    </row>
    <row r="102" spans="1:20" hidden="1">
      <c r="A102" s="22"/>
      <c r="B102" s="94"/>
      <c r="C102" s="100" t="s">
        <v>175</v>
      </c>
      <c r="D102" s="80"/>
      <c r="E102" s="77"/>
      <c r="F102" s="27"/>
      <c r="G102" s="27"/>
      <c r="H102" s="28"/>
      <c r="I102" s="28">
        <v>270</v>
      </c>
      <c r="J102" s="28">
        <f>164.06+55.94</f>
        <v>220</v>
      </c>
      <c r="K102" s="28">
        <v>220</v>
      </c>
      <c r="L102" s="28">
        <v>333.90800000000002</v>
      </c>
      <c r="M102" s="28">
        <f>2.225+231.333+9.269</f>
        <v>242.827</v>
      </c>
      <c r="N102" s="28"/>
      <c r="O102" s="101">
        <v>333.90800000000002</v>
      </c>
      <c r="T102" s="27"/>
    </row>
    <row r="103" spans="1:20" hidden="1">
      <c r="A103" s="22"/>
      <c r="B103" s="94"/>
      <c r="C103" s="100" t="s">
        <v>176</v>
      </c>
      <c r="D103" s="80"/>
      <c r="E103" s="77"/>
      <c r="F103" s="27"/>
      <c r="G103" s="27"/>
      <c r="H103" s="28"/>
      <c r="I103" s="28">
        <v>11</v>
      </c>
      <c r="J103" s="28">
        <v>11</v>
      </c>
      <c r="K103" s="28">
        <v>7</v>
      </c>
      <c r="L103" s="28">
        <v>7</v>
      </c>
      <c r="M103" s="28">
        <v>4.2</v>
      </c>
      <c r="N103" s="28"/>
      <c r="O103" s="101">
        <v>7</v>
      </c>
      <c r="T103" s="27"/>
    </row>
    <row r="104" spans="1:20" hidden="1">
      <c r="A104" s="22"/>
      <c r="B104" s="94"/>
      <c r="C104" s="102" t="s">
        <v>177</v>
      </c>
      <c r="D104" s="80"/>
      <c r="E104" s="77"/>
      <c r="F104" s="27"/>
      <c r="G104" s="27"/>
      <c r="H104" s="28"/>
      <c r="I104" s="28">
        <v>50</v>
      </c>
      <c r="J104" s="28">
        <v>50</v>
      </c>
      <c r="K104" s="28">
        <v>50</v>
      </c>
      <c r="L104" s="28">
        <v>237.5</v>
      </c>
      <c r="M104" s="28"/>
      <c r="N104" s="28"/>
      <c r="O104" s="101">
        <v>237.5</v>
      </c>
      <c r="P104" s="19" t="s">
        <v>178</v>
      </c>
      <c r="T104" s="27"/>
    </row>
    <row r="105" spans="1:20" hidden="1">
      <c r="A105" s="22"/>
      <c r="B105" s="94"/>
      <c r="C105" s="102" t="s">
        <v>179</v>
      </c>
      <c r="D105" s="80"/>
      <c r="E105" s="77"/>
      <c r="F105" s="27"/>
      <c r="G105" s="27"/>
      <c r="H105" s="28"/>
      <c r="I105" s="28">
        <v>60</v>
      </c>
      <c r="J105" s="28">
        <v>60</v>
      </c>
      <c r="K105" s="28">
        <v>70</v>
      </c>
      <c r="L105" s="28">
        <v>60</v>
      </c>
      <c r="M105" s="28">
        <v>60</v>
      </c>
      <c r="N105" s="28"/>
      <c r="O105" s="101">
        <v>70</v>
      </c>
      <c r="T105" s="27"/>
    </row>
    <row r="106" spans="1:20" hidden="1">
      <c r="A106" s="22"/>
      <c r="B106" s="94"/>
      <c r="C106" s="102" t="s">
        <v>180</v>
      </c>
      <c r="D106" s="80"/>
      <c r="E106" s="77"/>
      <c r="F106" s="27"/>
      <c r="G106" s="27"/>
      <c r="H106" s="28"/>
      <c r="I106" s="28">
        <v>14</v>
      </c>
      <c r="J106" s="28">
        <v>14</v>
      </c>
      <c r="K106" s="28">
        <v>14</v>
      </c>
      <c r="L106" s="28">
        <f>14+40.147</f>
        <v>54.146999999999998</v>
      </c>
      <c r="M106" s="28">
        <f>11.147+40.147</f>
        <v>51.293999999999997</v>
      </c>
      <c r="N106" s="28"/>
      <c r="O106" s="101">
        <f>14+40.147</f>
        <v>54.146999999999998</v>
      </c>
      <c r="P106" s="19" t="s">
        <v>181</v>
      </c>
      <c r="T106" s="27"/>
    </row>
    <row r="107" spans="1:20" hidden="1">
      <c r="A107" s="22"/>
      <c r="B107" s="94"/>
      <c r="C107" s="103" t="s">
        <v>182</v>
      </c>
      <c r="D107" s="80"/>
      <c r="E107" s="77"/>
      <c r="F107" s="27"/>
      <c r="G107" s="27"/>
      <c r="H107" s="28"/>
      <c r="I107" s="28">
        <v>25</v>
      </c>
      <c r="J107" s="28">
        <v>25</v>
      </c>
      <c r="K107" s="28">
        <v>25</v>
      </c>
      <c r="L107" s="28">
        <f>21.321+13.681</f>
        <v>35.002000000000002</v>
      </c>
      <c r="M107" s="28">
        <v>29.513999999999999</v>
      </c>
      <c r="N107" s="28"/>
      <c r="O107" s="101">
        <f>21.321+13.681</f>
        <v>35.002000000000002</v>
      </c>
      <c r="P107" s="19" t="s">
        <v>181</v>
      </c>
      <c r="T107" s="27"/>
    </row>
    <row r="108" spans="1:20" hidden="1">
      <c r="A108" s="22"/>
      <c r="B108" s="94"/>
      <c r="C108" s="104" t="s">
        <v>183</v>
      </c>
      <c r="D108" s="80"/>
      <c r="E108" s="77"/>
      <c r="F108" s="27"/>
      <c r="G108" s="27"/>
      <c r="H108" s="28"/>
      <c r="I108" s="28">
        <v>90</v>
      </c>
      <c r="J108" s="28">
        <v>90</v>
      </c>
      <c r="K108" s="28">
        <v>90</v>
      </c>
      <c r="L108" s="28">
        <v>90</v>
      </c>
      <c r="M108" s="28"/>
      <c r="N108" s="28"/>
      <c r="O108" s="101">
        <v>90</v>
      </c>
      <c r="T108" s="27"/>
    </row>
    <row r="109" spans="1:20" hidden="1">
      <c r="A109" s="22"/>
      <c r="B109" s="94"/>
      <c r="C109" s="105" t="s">
        <v>161</v>
      </c>
      <c r="D109" s="106"/>
      <c r="E109" s="107"/>
      <c r="F109" s="108"/>
      <c r="G109" s="108"/>
      <c r="H109" s="109"/>
      <c r="I109" s="109">
        <v>50</v>
      </c>
      <c r="J109" s="109">
        <v>824.61</v>
      </c>
      <c r="K109" s="109">
        <v>200</v>
      </c>
      <c r="L109" s="109">
        <v>70</v>
      </c>
      <c r="M109" s="109"/>
      <c r="N109" s="109"/>
      <c r="O109" s="110">
        <v>70</v>
      </c>
      <c r="T109" s="27"/>
    </row>
    <row r="110" spans="1:20" hidden="1">
      <c r="A110" s="22"/>
      <c r="B110" s="94"/>
      <c r="C110" s="103" t="s">
        <v>184</v>
      </c>
      <c r="D110" s="80"/>
      <c r="E110" s="77"/>
      <c r="F110" s="27"/>
      <c r="G110" s="27"/>
      <c r="H110" s="28"/>
      <c r="I110" s="28">
        <v>5</v>
      </c>
      <c r="J110" s="28">
        <f>240*2.405</f>
        <v>577.19999999999993</v>
      </c>
      <c r="K110" s="28">
        <v>418</v>
      </c>
      <c r="L110" s="28">
        <v>417.59399999999999</v>
      </c>
      <c r="M110" s="28">
        <v>417.56400000000002</v>
      </c>
      <c r="N110" s="28"/>
      <c r="O110" s="110">
        <v>417.59399999999999</v>
      </c>
      <c r="T110" s="27"/>
    </row>
    <row r="111" spans="1:20" hidden="1">
      <c r="A111" s="22"/>
      <c r="B111" s="94"/>
      <c r="C111" s="104" t="s">
        <v>185</v>
      </c>
      <c r="D111" s="80"/>
      <c r="E111" s="77"/>
      <c r="F111" s="27"/>
      <c r="G111" s="111"/>
      <c r="H111" s="28"/>
      <c r="I111" s="28"/>
      <c r="J111" s="28"/>
      <c r="K111" s="28">
        <v>250</v>
      </c>
      <c r="L111" s="28"/>
      <c r="M111" s="28"/>
      <c r="N111" s="28"/>
      <c r="O111" s="28"/>
      <c r="T111" s="27"/>
    </row>
    <row r="112" spans="1:20" hidden="1">
      <c r="A112" s="22"/>
      <c r="B112" s="94"/>
      <c r="C112" s="104" t="s">
        <v>186</v>
      </c>
      <c r="D112" s="80"/>
      <c r="E112" s="77"/>
      <c r="F112" s="27"/>
      <c r="G112" s="111"/>
      <c r="H112" s="28"/>
      <c r="I112" s="28"/>
      <c r="J112" s="28"/>
      <c r="K112" s="28"/>
      <c r="L112" s="28">
        <v>147.94800000000001</v>
      </c>
      <c r="M112" s="28">
        <v>147.94800000000001</v>
      </c>
      <c r="N112" s="28"/>
      <c r="O112" s="101">
        <v>147.94800000000001</v>
      </c>
      <c r="T112" s="27"/>
    </row>
    <row r="113" spans="1:20" hidden="1">
      <c r="A113" s="22"/>
      <c r="B113" s="94"/>
      <c r="C113" s="104" t="s">
        <v>187</v>
      </c>
      <c r="D113" s="80"/>
      <c r="E113" s="77"/>
      <c r="F113" s="27"/>
      <c r="G113" s="111"/>
      <c r="H113" s="28"/>
      <c r="I113" s="28"/>
      <c r="J113" s="28"/>
      <c r="K113" s="28"/>
      <c r="L113" s="28"/>
      <c r="M113" s="28">
        <v>75</v>
      </c>
      <c r="N113" s="28"/>
      <c r="O113" s="28"/>
      <c r="T113" s="27"/>
    </row>
    <row r="114" spans="1:20" hidden="1">
      <c r="A114" s="22"/>
      <c r="B114" s="94"/>
      <c r="C114" s="104" t="s">
        <v>188</v>
      </c>
      <c r="D114" s="80"/>
      <c r="E114" s="77"/>
      <c r="F114" s="27"/>
      <c r="G114" s="111"/>
      <c r="H114" s="28"/>
      <c r="I114" s="28"/>
      <c r="J114" s="28"/>
      <c r="K114" s="28"/>
      <c r="L114" s="28">
        <v>10.452999999999999</v>
      </c>
      <c r="M114" s="28">
        <v>10.452999999999999</v>
      </c>
      <c r="N114" s="28"/>
      <c r="O114" s="101">
        <v>10.452999999999999</v>
      </c>
      <c r="T114" s="27"/>
    </row>
    <row r="115" spans="1:20" hidden="1">
      <c r="A115" s="22"/>
      <c r="B115" s="94"/>
      <c r="C115" s="104" t="s">
        <v>189</v>
      </c>
      <c r="D115" s="80"/>
      <c r="E115" s="77"/>
      <c r="F115" s="27"/>
      <c r="G115" s="111"/>
      <c r="H115" s="28"/>
      <c r="I115" s="28"/>
      <c r="J115" s="28"/>
      <c r="K115" s="28"/>
      <c r="L115" s="28">
        <v>16.934000000000001</v>
      </c>
      <c r="M115" s="28">
        <v>16.934000000000001</v>
      </c>
      <c r="N115" s="28"/>
      <c r="O115" s="101">
        <v>16.934000000000001</v>
      </c>
      <c r="T115" s="27"/>
    </row>
    <row r="116" spans="1:20" hidden="1">
      <c r="A116" s="22"/>
      <c r="B116" s="94"/>
      <c r="C116" s="104" t="s">
        <v>190</v>
      </c>
      <c r="D116" s="80"/>
      <c r="E116" s="77"/>
      <c r="F116" s="27"/>
      <c r="G116" s="111"/>
      <c r="H116" s="28"/>
      <c r="I116" s="28"/>
      <c r="J116" s="28"/>
      <c r="K116" s="28">
        <v>150</v>
      </c>
      <c r="L116" s="28"/>
      <c r="M116" s="28"/>
      <c r="N116" s="28"/>
      <c r="O116" s="28"/>
      <c r="T116" s="27"/>
    </row>
    <row r="117" spans="1:20">
      <c r="A117" s="22"/>
      <c r="B117" s="112" t="s">
        <v>46</v>
      </c>
      <c r="C117" s="113" t="s">
        <v>47</v>
      </c>
      <c r="D117" s="94" t="s">
        <v>3</v>
      </c>
      <c r="E117" s="114">
        <f>E66+E16</f>
        <v>83522.800000000017</v>
      </c>
      <c r="F117" s="115">
        <f>F66+F16</f>
        <v>1.4385041666666667</v>
      </c>
      <c r="G117" s="116"/>
      <c r="H117" s="52">
        <f t="shared" ref="H117:M117" si="14">H66+H16</f>
        <v>70940.820833333317</v>
      </c>
      <c r="I117" s="115">
        <f t="shared" si="14"/>
        <v>64951.629000000001</v>
      </c>
      <c r="J117" s="52">
        <f t="shared" si="14"/>
        <v>61241.427000000003</v>
      </c>
      <c r="K117" s="52">
        <f t="shared" si="14"/>
        <v>62329.995000000003</v>
      </c>
      <c r="L117" s="52">
        <f t="shared" si="14"/>
        <v>52994.69200000001</v>
      </c>
      <c r="M117" s="52">
        <f t="shared" si="14"/>
        <v>44480.233999999997</v>
      </c>
      <c r="N117" s="52"/>
      <c r="O117" s="52">
        <f>O66+O16</f>
        <v>66221.106</v>
      </c>
      <c r="Q117" s="20">
        <f>O18+O19+O20+O22+O25+O26+O27+O32+O33+O35+O37+O38+O48+O56+O57+O58+O59+O60+O61+O63+O64</f>
        <v>37619.191000000013</v>
      </c>
      <c r="R117" s="117">
        <f>O69+O70+O71+O73+O76+O77+O78+O80+O84+O85+O86+O87+O88+O89+O90+O92+O93+O94+O95+O97+O98+O99+O100+O102+O103+O104+O105+O106+O107+O108+O109+O110+O111+O112+O113+O114+O115+O116</f>
        <v>28601.915000000001</v>
      </c>
      <c r="T117" s="27"/>
    </row>
    <row r="118" spans="1:20">
      <c r="A118" s="22"/>
      <c r="B118" s="112" t="s">
        <v>48</v>
      </c>
      <c r="C118" s="86" t="s">
        <v>107</v>
      </c>
      <c r="D118" s="94" t="s">
        <v>3</v>
      </c>
      <c r="E118" s="31">
        <v>227.8</v>
      </c>
      <c r="H118" s="28"/>
      <c r="I118" s="28">
        <f>I119-I117</f>
        <v>413.37099999999919</v>
      </c>
      <c r="J118" s="28">
        <f>J119-J117</f>
        <v>787.57299999999668</v>
      </c>
      <c r="K118" s="64">
        <f>K119-K117</f>
        <v>4.9999999973806553E-3</v>
      </c>
      <c r="L118" s="64">
        <f>L119-L117</f>
        <v>2035.7599999999875</v>
      </c>
      <c r="M118" s="64">
        <f>M119-M117</f>
        <v>10550.218000000001</v>
      </c>
      <c r="N118" s="64"/>
      <c r="O118" s="52">
        <f t="shared" ref="O118" si="15">O119-O117</f>
        <v>749.99599999999919</v>
      </c>
      <c r="T118" s="27"/>
    </row>
    <row r="119" spans="1:20">
      <c r="A119" s="22"/>
      <c r="B119" s="112" t="s">
        <v>49</v>
      </c>
      <c r="C119" s="86" t="s">
        <v>50</v>
      </c>
      <c r="D119" s="94" t="s">
        <v>3</v>
      </c>
      <c r="E119" s="31">
        <f>E117+E118</f>
        <v>83750.60000000002</v>
      </c>
      <c r="F119" s="118"/>
      <c r="H119" s="28">
        <f>E119/E120*G120</f>
        <v>71134.323717948733</v>
      </c>
      <c r="I119" s="28">
        <v>65365</v>
      </c>
      <c r="J119" s="28">
        <v>62029</v>
      </c>
      <c r="K119" s="29">
        <v>62330</v>
      </c>
      <c r="L119" s="119">
        <v>55030.451999999997</v>
      </c>
      <c r="M119" s="119">
        <v>55030.451999999997</v>
      </c>
      <c r="N119" s="119"/>
      <c r="O119" s="52">
        <v>66971.101999999999</v>
      </c>
      <c r="T119" s="27"/>
    </row>
    <row r="120" spans="1:20" ht="38.25">
      <c r="A120" s="22"/>
      <c r="B120" s="126" t="s">
        <v>51</v>
      </c>
      <c r="C120" s="86" t="s">
        <v>52</v>
      </c>
      <c r="D120" s="94" t="s">
        <v>53</v>
      </c>
      <c r="E120" s="42">
        <v>62400</v>
      </c>
      <c r="G120" s="19">
        <v>53000</v>
      </c>
      <c r="H120" s="28"/>
      <c r="I120" s="48">
        <v>53000</v>
      </c>
      <c r="J120" s="48">
        <v>50300</v>
      </c>
      <c r="K120" s="29">
        <v>51000</v>
      </c>
      <c r="L120" s="29">
        <v>45697.711000000003</v>
      </c>
      <c r="M120" s="29">
        <v>45697.711000000003</v>
      </c>
      <c r="N120" s="29"/>
      <c r="O120" s="60">
        <v>54812.711000000003</v>
      </c>
      <c r="T120" s="127" t="s">
        <v>112</v>
      </c>
    </row>
    <row r="121" spans="1:20">
      <c r="A121" s="22"/>
      <c r="B121" s="112" t="s">
        <v>54</v>
      </c>
      <c r="C121" s="86" t="s">
        <v>55</v>
      </c>
      <c r="D121" s="94" t="s">
        <v>56</v>
      </c>
      <c r="E121" s="120">
        <f>E119/E120</f>
        <v>1.3421570512820515</v>
      </c>
      <c r="H121" s="28"/>
      <c r="I121" s="28"/>
      <c r="J121" s="28"/>
      <c r="K121" s="28"/>
      <c r="L121" s="28"/>
      <c r="M121" s="28"/>
      <c r="N121" s="28"/>
      <c r="O121" s="52" t="s">
        <v>191</v>
      </c>
      <c r="T121" s="27"/>
    </row>
    <row r="123" spans="1:20" s="2" customFormat="1" ht="15">
      <c r="B123" s="14" t="s">
        <v>66</v>
      </c>
      <c r="C123" s="14"/>
      <c r="D123" s="14"/>
      <c r="E123" s="14"/>
      <c r="H123" s="11"/>
    </row>
    <row r="124" spans="1:20" s="2" customFormat="1" ht="15">
      <c r="B124" s="14" t="s">
        <v>65</v>
      </c>
      <c r="C124" s="14"/>
      <c r="D124" s="14"/>
      <c r="E124" s="14"/>
      <c r="H124" s="11"/>
    </row>
    <row r="125" spans="1:20" s="2" customFormat="1" ht="15">
      <c r="B125" s="14" t="s">
        <v>64</v>
      </c>
      <c r="C125" s="14"/>
      <c r="D125" s="14"/>
      <c r="E125" s="14"/>
      <c r="H125" s="11"/>
    </row>
    <row r="126" spans="1:20" s="2" customFormat="1" ht="15">
      <c r="B126" s="14" t="s">
        <v>67</v>
      </c>
      <c r="C126" s="14"/>
      <c r="D126" s="14"/>
      <c r="E126" s="14"/>
      <c r="H126" s="11"/>
    </row>
    <row r="127" spans="1:20" s="2" customFormat="1" ht="15">
      <c r="B127" s="14"/>
      <c r="C127" s="14"/>
      <c r="D127" s="14"/>
      <c r="E127" s="14"/>
      <c r="H127" s="11"/>
    </row>
    <row r="128" spans="1:20" s="5" customFormat="1" ht="14.25">
      <c r="B128" s="6"/>
      <c r="C128" s="5" t="s">
        <v>68</v>
      </c>
      <c r="E128" s="5" t="s">
        <v>57</v>
      </c>
      <c r="F128" s="15" t="s">
        <v>57</v>
      </c>
      <c r="G128" s="15"/>
      <c r="H128" s="12"/>
    </row>
    <row r="129" spans="2:8" s="5" customFormat="1" ht="14.25">
      <c r="B129" s="6"/>
      <c r="F129" s="6"/>
      <c r="H129" s="12"/>
    </row>
    <row r="130" spans="2:8" s="5" customFormat="1" ht="14.25">
      <c r="B130" s="6"/>
      <c r="C130" s="5" t="s">
        <v>69</v>
      </c>
      <c r="E130" s="5" t="s">
        <v>70</v>
      </c>
      <c r="F130" s="15" t="s">
        <v>70</v>
      </c>
      <c r="G130" s="15"/>
      <c r="H130" s="12"/>
    </row>
    <row r="131" spans="2:8" s="5" customFormat="1" ht="14.25">
      <c r="B131" s="6"/>
      <c r="D131" s="6"/>
      <c r="H131" s="12"/>
    </row>
    <row r="132" spans="2:8" s="2" customFormat="1" ht="15">
      <c r="B132" s="3"/>
      <c r="D132" s="3"/>
      <c r="H132" s="11"/>
    </row>
  </sheetData>
  <mergeCells count="16">
    <mergeCell ref="B126:E126"/>
    <mergeCell ref="B127:E127"/>
    <mergeCell ref="F128:G128"/>
    <mergeCell ref="F130:G130"/>
    <mergeCell ref="B13:C13"/>
    <mergeCell ref="B22:B24"/>
    <mergeCell ref="B73:B75"/>
    <mergeCell ref="B123:E123"/>
    <mergeCell ref="B124:E124"/>
    <mergeCell ref="B125:E125"/>
    <mergeCell ref="D4:O4"/>
    <mergeCell ref="D5:T5"/>
    <mergeCell ref="B7:O7"/>
    <mergeCell ref="B9:O9"/>
    <mergeCell ref="B10:O10"/>
    <mergeCell ref="B12:C12"/>
  </mergeCells>
  <pageMargins left="0.19685039370078741" right="0.19685039370078741" top="0.31496062992125984" bottom="0.51181102362204722" header="0.23622047244094491" footer="0.51181102362204722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2"/>
  <sheetViews>
    <sheetView tabSelected="1" topLeftCell="A3" workbookViewId="0">
      <selection activeCell="D5" sqref="D5:T5"/>
    </sheetView>
  </sheetViews>
  <sheetFormatPr defaultRowHeight="12.75"/>
  <cols>
    <col min="1" max="1" width="1.42578125" style="19" customWidth="1"/>
    <col min="2" max="2" width="6.42578125" style="19" customWidth="1"/>
    <col min="3" max="3" width="48.7109375" style="19" customWidth="1"/>
    <col min="4" max="4" width="8.5703125" style="19" customWidth="1"/>
    <col min="5" max="5" width="17" style="19" customWidth="1"/>
    <col min="6" max="7" width="9.140625" style="19" hidden="1" customWidth="1"/>
    <col min="8" max="8" width="11.5703125" style="20" hidden="1" customWidth="1"/>
    <col min="9" max="9" width="14.28515625" style="20" hidden="1" customWidth="1"/>
    <col min="10" max="10" width="15.140625" style="20" hidden="1" customWidth="1"/>
    <col min="11" max="14" width="15.42578125" style="20" hidden="1" customWidth="1"/>
    <col min="15" max="15" width="19" style="20" customWidth="1"/>
    <col min="16" max="16" width="11.85546875" style="19" hidden="1" customWidth="1"/>
    <col min="17" max="19" width="0" style="19" hidden="1" customWidth="1"/>
    <col min="20" max="20" width="39.85546875" style="19" customWidth="1"/>
    <col min="21" max="257" width="9.140625" style="19"/>
    <col min="258" max="258" width="1.42578125" style="19" customWidth="1"/>
    <col min="259" max="259" width="6.42578125" style="19" customWidth="1"/>
    <col min="260" max="260" width="48.7109375" style="19" customWidth="1"/>
    <col min="261" max="261" width="8.5703125" style="19" customWidth="1"/>
    <col min="262" max="262" width="10.7109375" style="19" bestFit="1" customWidth="1"/>
    <col min="263" max="513" width="9.140625" style="19"/>
    <col min="514" max="514" width="1.42578125" style="19" customWidth="1"/>
    <col min="515" max="515" width="6.42578125" style="19" customWidth="1"/>
    <col min="516" max="516" width="48.7109375" style="19" customWidth="1"/>
    <col min="517" max="517" width="8.5703125" style="19" customWidth="1"/>
    <col min="518" max="518" width="10.7109375" style="19" bestFit="1" customWidth="1"/>
    <col min="519" max="769" width="9.140625" style="19"/>
    <col min="770" max="770" width="1.42578125" style="19" customWidth="1"/>
    <col min="771" max="771" width="6.42578125" style="19" customWidth="1"/>
    <col min="772" max="772" width="48.7109375" style="19" customWidth="1"/>
    <col min="773" max="773" width="8.5703125" style="19" customWidth="1"/>
    <col min="774" max="774" width="10.7109375" style="19" bestFit="1" customWidth="1"/>
    <col min="775" max="1025" width="9.140625" style="19"/>
    <col min="1026" max="1026" width="1.42578125" style="19" customWidth="1"/>
    <col min="1027" max="1027" width="6.42578125" style="19" customWidth="1"/>
    <col min="1028" max="1028" width="48.7109375" style="19" customWidth="1"/>
    <col min="1029" max="1029" width="8.5703125" style="19" customWidth="1"/>
    <col min="1030" max="1030" width="10.7109375" style="19" bestFit="1" customWidth="1"/>
    <col min="1031" max="1281" width="9.140625" style="19"/>
    <col min="1282" max="1282" width="1.42578125" style="19" customWidth="1"/>
    <col min="1283" max="1283" width="6.42578125" style="19" customWidth="1"/>
    <col min="1284" max="1284" width="48.7109375" style="19" customWidth="1"/>
    <col min="1285" max="1285" width="8.5703125" style="19" customWidth="1"/>
    <col min="1286" max="1286" width="10.7109375" style="19" bestFit="1" customWidth="1"/>
    <col min="1287" max="1537" width="9.140625" style="19"/>
    <col min="1538" max="1538" width="1.42578125" style="19" customWidth="1"/>
    <col min="1539" max="1539" width="6.42578125" style="19" customWidth="1"/>
    <col min="1540" max="1540" width="48.7109375" style="19" customWidth="1"/>
    <col min="1541" max="1541" width="8.5703125" style="19" customWidth="1"/>
    <col min="1542" max="1542" width="10.7109375" style="19" bestFit="1" customWidth="1"/>
    <col min="1543" max="1793" width="9.140625" style="19"/>
    <col min="1794" max="1794" width="1.42578125" style="19" customWidth="1"/>
    <col min="1795" max="1795" width="6.42578125" style="19" customWidth="1"/>
    <col min="1796" max="1796" width="48.7109375" style="19" customWidth="1"/>
    <col min="1797" max="1797" width="8.5703125" style="19" customWidth="1"/>
    <col min="1798" max="1798" width="10.7109375" style="19" bestFit="1" customWidth="1"/>
    <col min="1799" max="2049" width="9.140625" style="19"/>
    <col min="2050" max="2050" width="1.42578125" style="19" customWidth="1"/>
    <col min="2051" max="2051" width="6.42578125" style="19" customWidth="1"/>
    <col min="2052" max="2052" width="48.7109375" style="19" customWidth="1"/>
    <col min="2053" max="2053" width="8.5703125" style="19" customWidth="1"/>
    <col min="2054" max="2054" width="10.7109375" style="19" bestFit="1" customWidth="1"/>
    <col min="2055" max="2305" width="9.140625" style="19"/>
    <col min="2306" max="2306" width="1.42578125" style="19" customWidth="1"/>
    <col min="2307" max="2307" width="6.42578125" style="19" customWidth="1"/>
    <col min="2308" max="2308" width="48.7109375" style="19" customWidth="1"/>
    <col min="2309" max="2309" width="8.5703125" style="19" customWidth="1"/>
    <col min="2310" max="2310" width="10.7109375" style="19" bestFit="1" customWidth="1"/>
    <col min="2311" max="2561" width="9.140625" style="19"/>
    <col min="2562" max="2562" width="1.42578125" style="19" customWidth="1"/>
    <col min="2563" max="2563" width="6.42578125" style="19" customWidth="1"/>
    <col min="2564" max="2564" width="48.7109375" style="19" customWidth="1"/>
    <col min="2565" max="2565" width="8.5703125" style="19" customWidth="1"/>
    <col min="2566" max="2566" width="10.7109375" style="19" bestFit="1" customWidth="1"/>
    <col min="2567" max="2817" width="9.140625" style="19"/>
    <col min="2818" max="2818" width="1.42578125" style="19" customWidth="1"/>
    <col min="2819" max="2819" width="6.42578125" style="19" customWidth="1"/>
    <col min="2820" max="2820" width="48.7109375" style="19" customWidth="1"/>
    <col min="2821" max="2821" width="8.5703125" style="19" customWidth="1"/>
    <col min="2822" max="2822" width="10.7109375" style="19" bestFit="1" customWidth="1"/>
    <col min="2823" max="3073" width="9.140625" style="19"/>
    <col min="3074" max="3074" width="1.42578125" style="19" customWidth="1"/>
    <col min="3075" max="3075" width="6.42578125" style="19" customWidth="1"/>
    <col min="3076" max="3076" width="48.7109375" style="19" customWidth="1"/>
    <col min="3077" max="3077" width="8.5703125" style="19" customWidth="1"/>
    <col min="3078" max="3078" width="10.7109375" style="19" bestFit="1" customWidth="1"/>
    <col min="3079" max="3329" width="9.140625" style="19"/>
    <col min="3330" max="3330" width="1.42578125" style="19" customWidth="1"/>
    <col min="3331" max="3331" width="6.42578125" style="19" customWidth="1"/>
    <col min="3332" max="3332" width="48.7109375" style="19" customWidth="1"/>
    <col min="3333" max="3333" width="8.5703125" style="19" customWidth="1"/>
    <col min="3334" max="3334" width="10.7109375" style="19" bestFit="1" customWidth="1"/>
    <col min="3335" max="3585" width="9.140625" style="19"/>
    <col min="3586" max="3586" width="1.42578125" style="19" customWidth="1"/>
    <col min="3587" max="3587" width="6.42578125" style="19" customWidth="1"/>
    <col min="3588" max="3588" width="48.7109375" style="19" customWidth="1"/>
    <col min="3589" max="3589" width="8.5703125" style="19" customWidth="1"/>
    <col min="3590" max="3590" width="10.7109375" style="19" bestFit="1" customWidth="1"/>
    <col min="3591" max="3841" width="9.140625" style="19"/>
    <col min="3842" max="3842" width="1.42578125" style="19" customWidth="1"/>
    <col min="3843" max="3843" width="6.42578125" style="19" customWidth="1"/>
    <col min="3844" max="3844" width="48.7109375" style="19" customWidth="1"/>
    <col min="3845" max="3845" width="8.5703125" style="19" customWidth="1"/>
    <col min="3846" max="3846" width="10.7109375" style="19" bestFit="1" customWidth="1"/>
    <col min="3847" max="4097" width="9.140625" style="19"/>
    <col min="4098" max="4098" width="1.42578125" style="19" customWidth="1"/>
    <col min="4099" max="4099" width="6.42578125" style="19" customWidth="1"/>
    <col min="4100" max="4100" width="48.7109375" style="19" customWidth="1"/>
    <col min="4101" max="4101" width="8.5703125" style="19" customWidth="1"/>
    <col min="4102" max="4102" width="10.7109375" style="19" bestFit="1" customWidth="1"/>
    <col min="4103" max="4353" width="9.140625" style="19"/>
    <col min="4354" max="4354" width="1.42578125" style="19" customWidth="1"/>
    <col min="4355" max="4355" width="6.42578125" style="19" customWidth="1"/>
    <col min="4356" max="4356" width="48.7109375" style="19" customWidth="1"/>
    <col min="4357" max="4357" width="8.5703125" style="19" customWidth="1"/>
    <col min="4358" max="4358" width="10.7109375" style="19" bestFit="1" customWidth="1"/>
    <col min="4359" max="4609" width="9.140625" style="19"/>
    <col min="4610" max="4610" width="1.42578125" style="19" customWidth="1"/>
    <col min="4611" max="4611" width="6.42578125" style="19" customWidth="1"/>
    <col min="4612" max="4612" width="48.7109375" style="19" customWidth="1"/>
    <col min="4613" max="4613" width="8.5703125" style="19" customWidth="1"/>
    <col min="4614" max="4614" width="10.7109375" style="19" bestFit="1" customWidth="1"/>
    <col min="4615" max="4865" width="9.140625" style="19"/>
    <col min="4866" max="4866" width="1.42578125" style="19" customWidth="1"/>
    <col min="4867" max="4867" width="6.42578125" style="19" customWidth="1"/>
    <col min="4868" max="4868" width="48.7109375" style="19" customWidth="1"/>
    <col min="4869" max="4869" width="8.5703125" style="19" customWidth="1"/>
    <col min="4870" max="4870" width="10.7109375" style="19" bestFit="1" customWidth="1"/>
    <col min="4871" max="5121" width="9.140625" style="19"/>
    <col min="5122" max="5122" width="1.42578125" style="19" customWidth="1"/>
    <col min="5123" max="5123" width="6.42578125" style="19" customWidth="1"/>
    <col min="5124" max="5124" width="48.7109375" style="19" customWidth="1"/>
    <col min="5125" max="5125" width="8.5703125" style="19" customWidth="1"/>
    <col min="5126" max="5126" width="10.7109375" style="19" bestFit="1" customWidth="1"/>
    <col min="5127" max="5377" width="9.140625" style="19"/>
    <col min="5378" max="5378" width="1.42578125" style="19" customWidth="1"/>
    <col min="5379" max="5379" width="6.42578125" style="19" customWidth="1"/>
    <col min="5380" max="5380" width="48.7109375" style="19" customWidth="1"/>
    <col min="5381" max="5381" width="8.5703125" style="19" customWidth="1"/>
    <col min="5382" max="5382" width="10.7109375" style="19" bestFit="1" customWidth="1"/>
    <col min="5383" max="5633" width="9.140625" style="19"/>
    <col min="5634" max="5634" width="1.42578125" style="19" customWidth="1"/>
    <col min="5635" max="5635" width="6.42578125" style="19" customWidth="1"/>
    <col min="5636" max="5636" width="48.7109375" style="19" customWidth="1"/>
    <col min="5637" max="5637" width="8.5703125" style="19" customWidth="1"/>
    <col min="5638" max="5638" width="10.7109375" style="19" bestFit="1" customWidth="1"/>
    <col min="5639" max="5889" width="9.140625" style="19"/>
    <col min="5890" max="5890" width="1.42578125" style="19" customWidth="1"/>
    <col min="5891" max="5891" width="6.42578125" style="19" customWidth="1"/>
    <col min="5892" max="5892" width="48.7109375" style="19" customWidth="1"/>
    <col min="5893" max="5893" width="8.5703125" style="19" customWidth="1"/>
    <col min="5894" max="5894" width="10.7109375" style="19" bestFit="1" customWidth="1"/>
    <col min="5895" max="6145" width="9.140625" style="19"/>
    <col min="6146" max="6146" width="1.42578125" style="19" customWidth="1"/>
    <col min="6147" max="6147" width="6.42578125" style="19" customWidth="1"/>
    <col min="6148" max="6148" width="48.7109375" style="19" customWidth="1"/>
    <col min="6149" max="6149" width="8.5703125" style="19" customWidth="1"/>
    <col min="6150" max="6150" width="10.7109375" style="19" bestFit="1" customWidth="1"/>
    <col min="6151" max="6401" width="9.140625" style="19"/>
    <col min="6402" max="6402" width="1.42578125" style="19" customWidth="1"/>
    <col min="6403" max="6403" width="6.42578125" style="19" customWidth="1"/>
    <col min="6404" max="6404" width="48.7109375" style="19" customWidth="1"/>
    <col min="6405" max="6405" width="8.5703125" style="19" customWidth="1"/>
    <col min="6406" max="6406" width="10.7109375" style="19" bestFit="1" customWidth="1"/>
    <col min="6407" max="6657" width="9.140625" style="19"/>
    <col min="6658" max="6658" width="1.42578125" style="19" customWidth="1"/>
    <col min="6659" max="6659" width="6.42578125" style="19" customWidth="1"/>
    <col min="6660" max="6660" width="48.7109375" style="19" customWidth="1"/>
    <col min="6661" max="6661" width="8.5703125" style="19" customWidth="1"/>
    <col min="6662" max="6662" width="10.7109375" style="19" bestFit="1" customWidth="1"/>
    <col min="6663" max="6913" width="9.140625" style="19"/>
    <col min="6914" max="6914" width="1.42578125" style="19" customWidth="1"/>
    <col min="6915" max="6915" width="6.42578125" style="19" customWidth="1"/>
    <col min="6916" max="6916" width="48.7109375" style="19" customWidth="1"/>
    <col min="6917" max="6917" width="8.5703125" style="19" customWidth="1"/>
    <col min="6918" max="6918" width="10.7109375" style="19" bestFit="1" customWidth="1"/>
    <col min="6919" max="7169" width="9.140625" style="19"/>
    <col min="7170" max="7170" width="1.42578125" style="19" customWidth="1"/>
    <col min="7171" max="7171" width="6.42578125" style="19" customWidth="1"/>
    <col min="7172" max="7172" width="48.7109375" style="19" customWidth="1"/>
    <col min="7173" max="7173" width="8.5703125" style="19" customWidth="1"/>
    <col min="7174" max="7174" width="10.7109375" style="19" bestFit="1" customWidth="1"/>
    <col min="7175" max="7425" width="9.140625" style="19"/>
    <col min="7426" max="7426" width="1.42578125" style="19" customWidth="1"/>
    <col min="7427" max="7427" width="6.42578125" style="19" customWidth="1"/>
    <col min="7428" max="7428" width="48.7109375" style="19" customWidth="1"/>
    <col min="7429" max="7429" width="8.5703125" style="19" customWidth="1"/>
    <col min="7430" max="7430" width="10.7109375" style="19" bestFit="1" customWidth="1"/>
    <col min="7431" max="7681" width="9.140625" style="19"/>
    <col min="7682" max="7682" width="1.42578125" style="19" customWidth="1"/>
    <col min="7683" max="7683" width="6.42578125" style="19" customWidth="1"/>
    <col min="7684" max="7684" width="48.7109375" style="19" customWidth="1"/>
    <col min="7685" max="7685" width="8.5703125" style="19" customWidth="1"/>
    <col min="7686" max="7686" width="10.7109375" style="19" bestFit="1" customWidth="1"/>
    <col min="7687" max="7937" width="9.140625" style="19"/>
    <col min="7938" max="7938" width="1.42578125" style="19" customWidth="1"/>
    <col min="7939" max="7939" width="6.42578125" style="19" customWidth="1"/>
    <col min="7940" max="7940" width="48.7109375" style="19" customWidth="1"/>
    <col min="7941" max="7941" width="8.5703125" style="19" customWidth="1"/>
    <col min="7942" max="7942" width="10.7109375" style="19" bestFit="1" customWidth="1"/>
    <col min="7943" max="8193" width="9.140625" style="19"/>
    <col min="8194" max="8194" width="1.42578125" style="19" customWidth="1"/>
    <col min="8195" max="8195" width="6.42578125" style="19" customWidth="1"/>
    <col min="8196" max="8196" width="48.7109375" style="19" customWidth="1"/>
    <col min="8197" max="8197" width="8.5703125" style="19" customWidth="1"/>
    <col min="8198" max="8198" width="10.7109375" style="19" bestFit="1" customWidth="1"/>
    <col min="8199" max="8449" width="9.140625" style="19"/>
    <col min="8450" max="8450" width="1.42578125" style="19" customWidth="1"/>
    <col min="8451" max="8451" width="6.42578125" style="19" customWidth="1"/>
    <col min="8452" max="8452" width="48.7109375" style="19" customWidth="1"/>
    <col min="8453" max="8453" width="8.5703125" style="19" customWidth="1"/>
    <col min="8454" max="8454" width="10.7109375" style="19" bestFit="1" customWidth="1"/>
    <col min="8455" max="8705" width="9.140625" style="19"/>
    <col min="8706" max="8706" width="1.42578125" style="19" customWidth="1"/>
    <col min="8707" max="8707" width="6.42578125" style="19" customWidth="1"/>
    <col min="8708" max="8708" width="48.7109375" style="19" customWidth="1"/>
    <col min="8709" max="8709" width="8.5703125" style="19" customWidth="1"/>
    <col min="8710" max="8710" width="10.7109375" style="19" bestFit="1" customWidth="1"/>
    <col min="8711" max="8961" width="9.140625" style="19"/>
    <col min="8962" max="8962" width="1.42578125" style="19" customWidth="1"/>
    <col min="8963" max="8963" width="6.42578125" style="19" customWidth="1"/>
    <col min="8964" max="8964" width="48.7109375" style="19" customWidth="1"/>
    <col min="8965" max="8965" width="8.5703125" style="19" customWidth="1"/>
    <col min="8966" max="8966" width="10.7109375" style="19" bestFit="1" customWidth="1"/>
    <col min="8967" max="9217" width="9.140625" style="19"/>
    <col min="9218" max="9218" width="1.42578125" style="19" customWidth="1"/>
    <col min="9219" max="9219" width="6.42578125" style="19" customWidth="1"/>
    <col min="9220" max="9220" width="48.7109375" style="19" customWidth="1"/>
    <col min="9221" max="9221" width="8.5703125" style="19" customWidth="1"/>
    <col min="9222" max="9222" width="10.7109375" style="19" bestFit="1" customWidth="1"/>
    <col min="9223" max="9473" width="9.140625" style="19"/>
    <col min="9474" max="9474" width="1.42578125" style="19" customWidth="1"/>
    <col min="9475" max="9475" width="6.42578125" style="19" customWidth="1"/>
    <col min="9476" max="9476" width="48.7109375" style="19" customWidth="1"/>
    <col min="9477" max="9477" width="8.5703125" style="19" customWidth="1"/>
    <col min="9478" max="9478" width="10.7109375" style="19" bestFit="1" customWidth="1"/>
    <col min="9479" max="9729" width="9.140625" style="19"/>
    <col min="9730" max="9730" width="1.42578125" style="19" customWidth="1"/>
    <col min="9731" max="9731" width="6.42578125" style="19" customWidth="1"/>
    <col min="9732" max="9732" width="48.7109375" style="19" customWidth="1"/>
    <col min="9733" max="9733" width="8.5703125" style="19" customWidth="1"/>
    <col min="9734" max="9734" width="10.7109375" style="19" bestFit="1" customWidth="1"/>
    <col min="9735" max="9985" width="9.140625" style="19"/>
    <col min="9986" max="9986" width="1.42578125" style="19" customWidth="1"/>
    <col min="9987" max="9987" width="6.42578125" style="19" customWidth="1"/>
    <col min="9988" max="9988" width="48.7109375" style="19" customWidth="1"/>
    <col min="9989" max="9989" width="8.5703125" style="19" customWidth="1"/>
    <col min="9990" max="9990" width="10.7109375" style="19" bestFit="1" customWidth="1"/>
    <col min="9991" max="10241" width="9.140625" style="19"/>
    <col min="10242" max="10242" width="1.42578125" style="19" customWidth="1"/>
    <col min="10243" max="10243" width="6.42578125" style="19" customWidth="1"/>
    <col min="10244" max="10244" width="48.7109375" style="19" customWidth="1"/>
    <col min="10245" max="10245" width="8.5703125" style="19" customWidth="1"/>
    <col min="10246" max="10246" width="10.7109375" style="19" bestFit="1" customWidth="1"/>
    <col min="10247" max="10497" width="9.140625" style="19"/>
    <col min="10498" max="10498" width="1.42578125" style="19" customWidth="1"/>
    <col min="10499" max="10499" width="6.42578125" style="19" customWidth="1"/>
    <col min="10500" max="10500" width="48.7109375" style="19" customWidth="1"/>
    <col min="10501" max="10501" width="8.5703125" style="19" customWidth="1"/>
    <col min="10502" max="10502" width="10.7109375" style="19" bestFit="1" customWidth="1"/>
    <col min="10503" max="10753" width="9.140625" style="19"/>
    <col min="10754" max="10754" width="1.42578125" style="19" customWidth="1"/>
    <col min="10755" max="10755" width="6.42578125" style="19" customWidth="1"/>
    <col min="10756" max="10756" width="48.7109375" style="19" customWidth="1"/>
    <col min="10757" max="10757" width="8.5703125" style="19" customWidth="1"/>
    <col min="10758" max="10758" width="10.7109375" style="19" bestFit="1" customWidth="1"/>
    <col min="10759" max="11009" width="9.140625" style="19"/>
    <col min="11010" max="11010" width="1.42578125" style="19" customWidth="1"/>
    <col min="11011" max="11011" width="6.42578125" style="19" customWidth="1"/>
    <col min="11012" max="11012" width="48.7109375" style="19" customWidth="1"/>
    <col min="11013" max="11013" width="8.5703125" style="19" customWidth="1"/>
    <col min="11014" max="11014" width="10.7109375" style="19" bestFit="1" customWidth="1"/>
    <col min="11015" max="11265" width="9.140625" style="19"/>
    <col min="11266" max="11266" width="1.42578125" style="19" customWidth="1"/>
    <col min="11267" max="11267" width="6.42578125" style="19" customWidth="1"/>
    <col min="11268" max="11268" width="48.7109375" style="19" customWidth="1"/>
    <col min="11269" max="11269" width="8.5703125" style="19" customWidth="1"/>
    <col min="11270" max="11270" width="10.7109375" style="19" bestFit="1" customWidth="1"/>
    <col min="11271" max="11521" width="9.140625" style="19"/>
    <col min="11522" max="11522" width="1.42578125" style="19" customWidth="1"/>
    <col min="11523" max="11523" width="6.42578125" style="19" customWidth="1"/>
    <col min="11524" max="11524" width="48.7109375" style="19" customWidth="1"/>
    <col min="11525" max="11525" width="8.5703125" style="19" customWidth="1"/>
    <col min="11526" max="11526" width="10.7109375" style="19" bestFit="1" customWidth="1"/>
    <col min="11527" max="11777" width="9.140625" style="19"/>
    <col min="11778" max="11778" width="1.42578125" style="19" customWidth="1"/>
    <col min="11779" max="11779" width="6.42578125" style="19" customWidth="1"/>
    <col min="11780" max="11780" width="48.7109375" style="19" customWidth="1"/>
    <col min="11781" max="11781" width="8.5703125" style="19" customWidth="1"/>
    <col min="11782" max="11782" width="10.7109375" style="19" bestFit="1" customWidth="1"/>
    <col min="11783" max="12033" width="9.140625" style="19"/>
    <col min="12034" max="12034" width="1.42578125" style="19" customWidth="1"/>
    <col min="12035" max="12035" width="6.42578125" style="19" customWidth="1"/>
    <col min="12036" max="12036" width="48.7109375" style="19" customWidth="1"/>
    <col min="12037" max="12037" width="8.5703125" style="19" customWidth="1"/>
    <col min="12038" max="12038" width="10.7109375" style="19" bestFit="1" customWidth="1"/>
    <col min="12039" max="12289" width="9.140625" style="19"/>
    <col min="12290" max="12290" width="1.42578125" style="19" customWidth="1"/>
    <col min="12291" max="12291" width="6.42578125" style="19" customWidth="1"/>
    <col min="12292" max="12292" width="48.7109375" style="19" customWidth="1"/>
    <col min="12293" max="12293" width="8.5703125" style="19" customWidth="1"/>
    <col min="12294" max="12294" width="10.7109375" style="19" bestFit="1" customWidth="1"/>
    <col min="12295" max="12545" width="9.140625" style="19"/>
    <col min="12546" max="12546" width="1.42578125" style="19" customWidth="1"/>
    <col min="12547" max="12547" width="6.42578125" style="19" customWidth="1"/>
    <col min="12548" max="12548" width="48.7109375" style="19" customWidth="1"/>
    <col min="12549" max="12549" width="8.5703125" style="19" customWidth="1"/>
    <col min="12550" max="12550" width="10.7109375" style="19" bestFit="1" customWidth="1"/>
    <col min="12551" max="12801" width="9.140625" style="19"/>
    <col min="12802" max="12802" width="1.42578125" style="19" customWidth="1"/>
    <col min="12803" max="12803" width="6.42578125" style="19" customWidth="1"/>
    <col min="12804" max="12804" width="48.7109375" style="19" customWidth="1"/>
    <col min="12805" max="12805" width="8.5703125" style="19" customWidth="1"/>
    <col min="12806" max="12806" width="10.7109375" style="19" bestFit="1" customWidth="1"/>
    <col min="12807" max="13057" width="9.140625" style="19"/>
    <col min="13058" max="13058" width="1.42578125" style="19" customWidth="1"/>
    <col min="13059" max="13059" width="6.42578125" style="19" customWidth="1"/>
    <col min="13060" max="13060" width="48.7109375" style="19" customWidth="1"/>
    <col min="13061" max="13061" width="8.5703125" style="19" customWidth="1"/>
    <col min="13062" max="13062" width="10.7109375" style="19" bestFit="1" customWidth="1"/>
    <col min="13063" max="13313" width="9.140625" style="19"/>
    <col min="13314" max="13314" width="1.42578125" style="19" customWidth="1"/>
    <col min="13315" max="13315" width="6.42578125" style="19" customWidth="1"/>
    <col min="13316" max="13316" width="48.7109375" style="19" customWidth="1"/>
    <col min="13317" max="13317" width="8.5703125" style="19" customWidth="1"/>
    <col min="13318" max="13318" width="10.7109375" style="19" bestFit="1" customWidth="1"/>
    <col min="13319" max="13569" width="9.140625" style="19"/>
    <col min="13570" max="13570" width="1.42578125" style="19" customWidth="1"/>
    <col min="13571" max="13571" width="6.42578125" style="19" customWidth="1"/>
    <col min="13572" max="13572" width="48.7109375" style="19" customWidth="1"/>
    <col min="13573" max="13573" width="8.5703125" style="19" customWidth="1"/>
    <col min="13574" max="13574" width="10.7109375" style="19" bestFit="1" customWidth="1"/>
    <col min="13575" max="13825" width="9.140625" style="19"/>
    <col min="13826" max="13826" width="1.42578125" style="19" customWidth="1"/>
    <col min="13827" max="13827" width="6.42578125" style="19" customWidth="1"/>
    <col min="13828" max="13828" width="48.7109375" style="19" customWidth="1"/>
    <col min="13829" max="13829" width="8.5703125" style="19" customWidth="1"/>
    <col min="13830" max="13830" width="10.7109375" style="19" bestFit="1" customWidth="1"/>
    <col min="13831" max="14081" width="9.140625" style="19"/>
    <col min="14082" max="14082" width="1.42578125" style="19" customWidth="1"/>
    <col min="14083" max="14083" width="6.42578125" style="19" customWidth="1"/>
    <col min="14084" max="14084" width="48.7109375" style="19" customWidth="1"/>
    <col min="14085" max="14085" width="8.5703125" style="19" customWidth="1"/>
    <col min="14086" max="14086" width="10.7109375" style="19" bestFit="1" customWidth="1"/>
    <col min="14087" max="14337" width="9.140625" style="19"/>
    <col min="14338" max="14338" width="1.42578125" style="19" customWidth="1"/>
    <col min="14339" max="14339" width="6.42578125" style="19" customWidth="1"/>
    <col min="14340" max="14340" width="48.7109375" style="19" customWidth="1"/>
    <col min="14341" max="14341" width="8.5703125" style="19" customWidth="1"/>
    <col min="14342" max="14342" width="10.7109375" style="19" bestFit="1" customWidth="1"/>
    <col min="14343" max="14593" width="9.140625" style="19"/>
    <col min="14594" max="14594" width="1.42578125" style="19" customWidth="1"/>
    <col min="14595" max="14595" width="6.42578125" style="19" customWidth="1"/>
    <col min="14596" max="14596" width="48.7109375" style="19" customWidth="1"/>
    <col min="14597" max="14597" width="8.5703125" style="19" customWidth="1"/>
    <col min="14598" max="14598" width="10.7109375" style="19" bestFit="1" customWidth="1"/>
    <col min="14599" max="14849" width="9.140625" style="19"/>
    <col min="14850" max="14850" width="1.42578125" style="19" customWidth="1"/>
    <col min="14851" max="14851" width="6.42578125" style="19" customWidth="1"/>
    <col min="14852" max="14852" width="48.7109375" style="19" customWidth="1"/>
    <col min="14853" max="14853" width="8.5703125" style="19" customWidth="1"/>
    <col min="14854" max="14854" width="10.7109375" style="19" bestFit="1" customWidth="1"/>
    <col min="14855" max="15105" width="9.140625" style="19"/>
    <col min="15106" max="15106" width="1.42578125" style="19" customWidth="1"/>
    <col min="15107" max="15107" width="6.42578125" style="19" customWidth="1"/>
    <col min="15108" max="15108" width="48.7109375" style="19" customWidth="1"/>
    <col min="15109" max="15109" width="8.5703125" style="19" customWidth="1"/>
    <col min="15110" max="15110" width="10.7109375" style="19" bestFit="1" customWidth="1"/>
    <col min="15111" max="15361" width="9.140625" style="19"/>
    <col min="15362" max="15362" width="1.42578125" style="19" customWidth="1"/>
    <col min="15363" max="15363" width="6.42578125" style="19" customWidth="1"/>
    <col min="15364" max="15364" width="48.7109375" style="19" customWidth="1"/>
    <col min="15365" max="15365" width="8.5703125" style="19" customWidth="1"/>
    <col min="15366" max="15366" width="10.7109375" style="19" bestFit="1" customWidth="1"/>
    <col min="15367" max="15617" width="9.140625" style="19"/>
    <col min="15618" max="15618" width="1.42578125" style="19" customWidth="1"/>
    <col min="15619" max="15619" width="6.42578125" style="19" customWidth="1"/>
    <col min="15620" max="15620" width="48.7109375" style="19" customWidth="1"/>
    <col min="15621" max="15621" width="8.5703125" style="19" customWidth="1"/>
    <col min="15622" max="15622" width="10.7109375" style="19" bestFit="1" customWidth="1"/>
    <col min="15623" max="15873" width="9.140625" style="19"/>
    <col min="15874" max="15874" width="1.42578125" style="19" customWidth="1"/>
    <col min="15875" max="15875" width="6.42578125" style="19" customWidth="1"/>
    <col min="15876" max="15876" width="48.7109375" style="19" customWidth="1"/>
    <col min="15877" max="15877" width="8.5703125" style="19" customWidth="1"/>
    <col min="15878" max="15878" width="10.7109375" style="19" bestFit="1" customWidth="1"/>
    <col min="15879" max="16129" width="9.140625" style="19"/>
    <col min="16130" max="16130" width="1.42578125" style="19" customWidth="1"/>
    <col min="16131" max="16131" width="6.42578125" style="19" customWidth="1"/>
    <col min="16132" max="16132" width="48.7109375" style="19" customWidth="1"/>
    <col min="16133" max="16133" width="8.5703125" style="19" customWidth="1"/>
    <col min="16134" max="16134" width="10.7109375" style="19" bestFit="1" customWidth="1"/>
    <col min="16135" max="16384" width="9.140625" style="19"/>
  </cols>
  <sheetData>
    <row r="1" spans="1:20" hidden="1"/>
    <row r="2" spans="1:20" hidden="1">
      <c r="E2" s="21" t="s">
        <v>114</v>
      </c>
    </row>
    <row r="3" spans="1:20" s="4" customFormat="1">
      <c r="B3" s="10"/>
      <c r="D3" s="7"/>
      <c r="G3" s="7"/>
    </row>
    <row r="4" spans="1:20" s="4" customFormat="1">
      <c r="B4" s="10"/>
      <c r="D4" s="124" t="s">
        <v>58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20" s="4" customFormat="1" ht="26.25" customHeight="1">
      <c r="B5" s="10"/>
      <c r="D5" s="125" t="s">
        <v>109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s="4" customFormat="1">
      <c r="B6" s="10"/>
      <c r="D6" s="7"/>
      <c r="G6" s="7"/>
    </row>
    <row r="7" spans="1:20" s="4" customFormat="1">
      <c r="B7" s="17" t="s">
        <v>71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0" s="4" customFormat="1">
      <c r="B8" s="10"/>
      <c r="D8" s="7"/>
      <c r="G8" s="7"/>
    </row>
    <row r="9" spans="1:20" s="4" customFormat="1" ht="28.5" customHeight="1">
      <c r="B9" s="18" t="s">
        <v>61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20" s="4" customFormat="1" ht="19.5" customHeight="1">
      <c r="B10" s="17" t="s">
        <v>113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0" s="4" customFormat="1">
      <c r="B11" s="13"/>
      <c r="C11" s="13"/>
      <c r="D11" s="13"/>
      <c r="E11" s="13"/>
      <c r="F11" s="13"/>
      <c r="G11" s="13"/>
      <c r="H11" s="13"/>
    </row>
    <row r="12" spans="1:20" s="4" customFormat="1" ht="15">
      <c r="B12" s="16" t="s">
        <v>62</v>
      </c>
      <c r="C12" s="16"/>
      <c r="D12" s="13"/>
      <c r="E12" s="13"/>
      <c r="H12" s="9"/>
    </row>
    <row r="13" spans="1:20" s="4" customFormat="1" ht="15">
      <c r="B13" s="16" t="s">
        <v>63</v>
      </c>
      <c r="C13" s="16"/>
      <c r="D13" s="13"/>
      <c r="E13" s="13"/>
      <c r="H13" s="9"/>
    </row>
    <row r="14" spans="1:20" ht="63.75" customHeight="1">
      <c r="A14" s="22"/>
      <c r="B14" s="23" t="s">
        <v>0</v>
      </c>
      <c r="C14" s="23" t="s">
        <v>72</v>
      </c>
      <c r="D14" s="23" t="s">
        <v>115</v>
      </c>
      <c r="E14" s="23" t="s">
        <v>116</v>
      </c>
      <c r="F14" s="24" t="s">
        <v>117</v>
      </c>
      <c r="G14" s="24" t="s">
        <v>118</v>
      </c>
      <c r="H14" s="25" t="s">
        <v>119</v>
      </c>
      <c r="I14" s="25" t="s">
        <v>120</v>
      </c>
      <c r="J14" s="25" t="s">
        <v>121</v>
      </c>
      <c r="K14" s="25" t="s">
        <v>122</v>
      </c>
      <c r="L14" s="25" t="s">
        <v>123</v>
      </c>
      <c r="M14" s="25" t="s">
        <v>124</v>
      </c>
      <c r="N14" s="25"/>
      <c r="O14" s="1" t="s">
        <v>59</v>
      </c>
      <c r="T14" s="8" t="s">
        <v>108</v>
      </c>
    </row>
    <row r="15" spans="1:20">
      <c r="A15" s="22"/>
      <c r="B15" s="26">
        <v>1</v>
      </c>
      <c r="C15" s="26">
        <v>2</v>
      </c>
      <c r="D15" s="26">
        <v>3</v>
      </c>
      <c r="E15" s="26">
        <v>4</v>
      </c>
      <c r="F15" s="27"/>
      <c r="G15" s="27"/>
      <c r="H15" s="28"/>
      <c r="I15" s="28"/>
      <c r="J15" s="28"/>
      <c r="K15" s="28"/>
      <c r="L15" s="28"/>
      <c r="M15" s="29">
        <v>5</v>
      </c>
      <c r="N15" s="29"/>
      <c r="O15" s="29">
        <v>6</v>
      </c>
      <c r="T15" s="27"/>
    </row>
    <row r="16" spans="1:20" ht="38.25">
      <c r="A16" s="22"/>
      <c r="B16" s="23" t="s">
        <v>1</v>
      </c>
      <c r="C16" s="30" t="s">
        <v>2</v>
      </c>
      <c r="D16" s="23" t="s">
        <v>3</v>
      </c>
      <c r="E16" s="31">
        <f>E17+E27+E31+E34+E21-0.1</f>
        <v>45466.66</v>
      </c>
      <c r="F16" s="121">
        <f>F17+F27+F31+F34+F21</f>
        <v>0.72863173076923071</v>
      </c>
      <c r="G16" s="121"/>
      <c r="H16" s="33">
        <f>H17+H27+H31+H34+H21</f>
        <v>38617.481730769228</v>
      </c>
      <c r="I16" s="122">
        <f>I17+I21+I27+I31+I34</f>
        <v>36993.410000000003</v>
      </c>
      <c r="J16" s="122">
        <f>J17+J21+J27+J31+J34</f>
        <v>33285.817999999999</v>
      </c>
      <c r="K16" s="122">
        <f>K17+K21+K27+K31+K34</f>
        <v>32996.995000000003</v>
      </c>
      <c r="L16" s="122">
        <f>L17+L21+L27+L31+L34</f>
        <v>32756.755000000005</v>
      </c>
      <c r="M16" s="122">
        <f>M17+M21+M27+M31+M34</f>
        <v>24284.174999999999</v>
      </c>
      <c r="N16" s="122">
        <f t="shared" ref="N16:O16" si="0">N17+N21+N27+N31+N34</f>
        <v>0</v>
      </c>
      <c r="O16" s="60">
        <f t="shared" si="0"/>
        <v>37619.190999999999</v>
      </c>
      <c r="P16" s="20"/>
      <c r="T16" s="127" t="s">
        <v>112</v>
      </c>
    </row>
    <row r="17" spans="1:20">
      <c r="A17" s="22"/>
      <c r="B17" s="23">
        <v>1</v>
      </c>
      <c r="C17" s="30" t="s">
        <v>4</v>
      </c>
      <c r="D17" s="23" t="s">
        <v>73</v>
      </c>
      <c r="E17" s="31">
        <f>E18+E19+E20+0.1</f>
        <v>3984.1099999999997</v>
      </c>
      <c r="F17" s="32">
        <f>F18+F19+F20</f>
        <v>6.3846314102564097E-2</v>
      </c>
      <c r="G17" s="32"/>
      <c r="H17" s="33">
        <f t="shared" ref="H17:O17" si="1">H18+H19+H20</f>
        <v>3383.8546474358973</v>
      </c>
      <c r="I17" s="33">
        <f t="shared" si="1"/>
        <v>2570</v>
      </c>
      <c r="J17" s="33">
        <f t="shared" si="1"/>
        <v>1670</v>
      </c>
      <c r="K17" s="33">
        <f t="shared" si="1"/>
        <v>1397</v>
      </c>
      <c r="L17" s="33">
        <f t="shared" si="1"/>
        <v>1129.4480000000001</v>
      </c>
      <c r="M17" s="33">
        <f t="shared" si="1"/>
        <v>1129.4480000000001</v>
      </c>
      <c r="N17" s="33">
        <f t="shared" si="1"/>
        <v>0</v>
      </c>
      <c r="O17" s="33">
        <f t="shared" si="1"/>
        <v>1683.393</v>
      </c>
      <c r="T17" s="27"/>
    </row>
    <row r="18" spans="1:20">
      <c r="A18" s="22"/>
      <c r="B18" s="34" t="s">
        <v>5</v>
      </c>
      <c r="C18" s="35" t="s">
        <v>125</v>
      </c>
      <c r="D18" s="36" t="s">
        <v>73</v>
      </c>
      <c r="E18" s="37">
        <v>2071.7199999999998</v>
      </c>
      <c r="F18" s="27">
        <f>E18/E120</f>
        <v>3.320064102564102E-2</v>
      </c>
      <c r="G18" s="27">
        <v>53000</v>
      </c>
      <c r="H18" s="28">
        <f>F18*G18</f>
        <v>1759.633974358974</v>
      </c>
      <c r="I18" s="28">
        <f>50+330+570</f>
        <v>950</v>
      </c>
      <c r="J18" s="28">
        <v>50</v>
      </c>
      <c r="K18" s="28">
        <v>100</v>
      </c>
      <c r="L18" s="28">
        <v>315.94799999999998</v>
      </c>
      <c r="M18" s="28">
        <v>315.94799999999998</v>
      </c>
      <c r="N18" s="28"/>
      <c r="O18" s="28">
        <v>315.94799999999998</v>
      </c>
      <c r="T18" s="27"/>
    </row>
    <row r="19" spans="1:20">
      <c r="A19" s="22"/>
      <c r="B19" s="34" t="s">
        <v>74</v>
      </c>
      <c r="C19" s="35" t="s">
        <v>75</v>
      </c>
      <c r="D19" s="36" t="s">
        <v>73</v>
      </c>
      <c r="E19" s="37">
        <v>1414.6</v>
      </c>
      <c r="F19" s="27">
        <f>E19/E120</f>
        <v>2.2669871794871795E-2</v>
      </c>
      <c r="G19" s="27">
        <v>53000</v>
      </c>
      <c r="H19" s="28">
        <f t="shared" ref="H19:H61" si="2">F19*G19</f>
        <v>1201.5032051282051</v>
      </c>
      <c r="I19" s="28">
        <v>1200</v>
      </c>
      <c r="J19" s="28">
        <v>1200</v>
      </c>
      <c r="K19" s="28">
        <v>877</v>
      </c>
      <c r="L19" s="28">
        <v>605.99400000000003</v>
      </c>
      <c r="M19" s="28">
        <v>605.99400000000003</v>
      </c>
      <c r="N19" s="28"/>
      <c r="O19" s="28">
        <v>1077.874</v>
      </c>
      <c r="T19" s="27"/>
    </row>
    <row r="20" spans="1:20">
      <c r="A20" s="22"/>
      <c r="B20" s="38" t="s">
        <v>76</v>
      </c>
      <c r="C20" s="39" t="s">
        <v>26</v>
      </c>
      <c r="D20" s="36" t="s">
        <v>73</v>
      </c>
      <c r="E20" s="40">
        <v>497.69</v>
      </c>
      <c r="F20" s="27">
        <f>E20/E120</f>
        <v>7.9758012820512827E-3</v>
      </c>
      <c r="G20" s="27">
        <v>53000</v>
      </c>
      <c r="H20" s="28">
        <f t="shared" si="2"/>
        <v>422.71746794871797</v>
      </c>
      <c r="I20" s="28">
        <v>420</v>
      </c>
      <c r="J20" s="28">
        <v>420</v>
      </c>
      <c r="K20" s="28">
        <v>420</v>
      </c>
      <c r="L20" s="28">
        <v>207.506</v>
      </c>
      <c r="M20" s="28">
        <v>207.506</v>
      </c>
      <c r="N20" s="28"/>
      <c r="O20" s="28">
        <v>289.57100000000003</v>
      </c>
      <c r="T20" s="27"/>
    </row>
    <row r="21" spans="1:20" ht="25.5">
      <c r="A21" s="22"/>
      <c r="B21" s="41" t="s">
        <v>77</v>
      </c>
      <c r="C21" s="30" t="s">
        <v>28</v>
      </c>
      <c r="D21" s="36" t="s">
        <v>3</v>
      </c>
      <c r="E21" s="42">
        <f>E22+E25+0.04</f>
        <v>12575.79</v>
      </c>
      <c r="F21" s="42">
        <f>F22+F25</f>
        <v>0.20153445512820511</v>
      </c>
      <c r="G21" s="42"/>
      <c r="H21" s="33">
        <f t="shared" ref="H21:M21" si="3">H22+H25+H26</f>
        <v>10681.326121794871</v>
      </c>
      <c r="I21" s="33">
        <f t="shared" si="3"/>
        <v>9433.14</v>
      </c>
      <c r="J21" s="33">
        <f t="shared" si="3"/>
        <v>9433.1280000000006</v>
      </c>
      <c r="K21" s="33">
        <f t="shared" si="3"/>
        <v>9434</v>
      </c>
      <c r="L21" s="33">
        <f t="shared" si="3"/>
        <v>6920.6680000000006</v>
      </c>
      <c r="M21" s="33">
        <f t="shared" si="3"/>
        <v>6982.5079999999998</v>
      </c>
      <c r="N21" s="33">
        <f>N22+N25+N26</f>
        <v>0</v>
      </c>
      <c r="O21" s="33">
        <f>O22+O25+O26</f>
        <v>9434</v>
      </c>
      <c r="T21" s="27"/>
    </row>
    <row r="22" spans="1:20">
      <c r="A22" s="22"/>
      <c r="B22" s="43" t="s">
        <v>78</v>
      </c>
      <c r="C22" s="35" t="s">
        <v>79</v>
      </c>
      <c r="D22" s="36" t="s">
        <v>73</v>
      </c>
      <c r="E22" s="37">
        <v>11442.9</v>
      </c>
      <c r="F22" s="27">
        <f>E22/E120</f>
        <v>0.18337980769230769</v>
      </c>
      <c r="G22" s="27">
        <v>53000</v>
      </c>
      <c r="H22" s="28">
        <f t="shared" si="2"/>
        <v>9719.1298076923067</v>
      </c>
      <c r="I22" s="28">
        <v>8571.68</v>
      </c>
      <c r="J22" s="28">
        <v>8571.6749999999993</v>
      </c>
      <c r="K22" s="28">
        <v>8572</v>
      </c>
      <c r="L22" s="28">
        <v>6284.4440000000004</v>
      </c>
      <c r="M22" s="28">
        <v>6345.1009999999997</v>
      </c>
      <c r="N22" s="28"/>
      <c r="O22" s="28">
        <v>8572</v>
      </c>
      <c r="T22" s="27"/>
    </row>
    <row r="23" spans="1:20" hidden="1">
      <c r="A23" s="22"/>
      <c r="B23" s="44"/>
      <c r="C23" s="45" t="s">
        <v>126</v>
      </c>
      <c r="D23" s="46" t="s">
        <v>127</v>
      </c>
      <c r="E23" s="47">
        <f>E22/E24/12*1000</f>
        <v>79464.583333333328</v>
      </c>
      <c r="F23" s="27">
        <f>E23/E120</f>
        <v>1.2734708867521367</v>
      </c>
      <c r="G23" s="27">
        <v>53000</v>
      </c>
      <c r="H23" s="28">
        <f t="shared" si="2"/>
        <v>67493.95699786325</v>
      </c>
      <c r="I23" s="48">
        <f>I22/12/I24*1000</f>
        <v>79367.407407407416</v>
      </c>
      <c r="J23" s="48">
        <f>J22/9/12*1000</f>
        <v>79367.361111111109</v>
      </c>
      <c r="K23" s="28"/>
      <c r="L23" s="28"/>
      <c r="M23" s="28"/>
      <c r="N23" s="28"/>
      <c r="O23" s="28"/>
      <c r="T23" s="27"/>
    </row>
    <row r="24" spans="1:20" hidden="1">
      <c r="A24" s="22"/>
      <c r="B24" s="49"/>
      <c r="C24" s="45" t="s">
        <v>128</v>
      </c>
      <c r="D24" s="46" t="s">
        <v>129</v>
      </c>
      <c r="E24" s="50">
        <v>12</v>
      </c>
      <c r="F24" s="27">
        <f>E24/E120</f>
        <v>1.9230769230769231E-4</v>
      </c>
      <c r="G24" s="27">
        <v>53000</v>
      </c>
      <c r="H24" s="28">
        <f t="shared" si="2"/>
        <v>10.192307692307692</v>
      </c>
      <c r="I24" s="28">
        <v>9</v>
      </c>
      <c r="J24" s="48">
        <v>9</v>
      </c>
      <c r="K24" s="28"/>
      <c r="L24" s="28"/>
      <c r="M24" s="28"/>
      <c r="N24" s="28"/>
      <c r="O24" s="28"/>
      <c r="T24" s="27"/>
    </row>
    <row r="25" spans="1:20">
      <c r="A25" s="22"/>
      <c r="B25" s="34" t="s">
        <v>80</v>
      </c>
      <c r="C25" s="35" t="s">
        <v>81</v>
      </c>
      <c r="D25" s="36" t="s">
        <v>73</v>
      </c>
      <c r="E25" s="37">
        <v>1132.8499999999999</v>
      </c>
      <c r="F25" s="27">
        <f>E25/E120</f>
        <v>1.8154647435897436E-2</v>
      </c>
      <c r="G25" s="27">
        <v>53000</v>
      </c>
      <c r="H25" s="28">
        <f t="shared" si="2"/>
        <v>962.19631410256409</v>
      </c>
      <c r="I25" s="28">
        <v>732.88</v>
      </c>
      <c r="J25" s="28">
        <v>732.87800000000004</v>
      </c>
      <c r="K25" s="28">
        <v>733</v>
      </c>
      <c r="L25" s="28">
        <f>199.78+342.438</f>
        <v>542.21799999999996</v>
      </c>
      <c r="M25" s="28">
        <f>342.611+199.879</f>
        <v>542.49</v>
      </c>
      <c r="N25" s="28"/>
      <c r="O25" s="28">
        <v>733</v>
      </c>
      <c r="T25" s="27"/>
    </row>
    <row r="26" spans="1:20">
      <c r="A26" s="22"/>
      <c r="B26" s="34" t="s">
        <v>110</v>
      </c>
      <c r="C26" s="35" t="s">
        <v>130</v>
      </c>
      <c r="D26" s="23" t="s">
        <v>73</v>
      </c>
      <c r="E26" s="37"/>
      <c r="F26" s="27"/>
      <c r="G26" s="27">
        <v>53000</v>
      </c>
      <c r="H26" s="28">
        <f t="shared" si="2"/>
        <v>0</v>
      </c>
      <c r="I26" s="28">
        <v>128.58000000000001</v>
      </c>
      <c r="J26" s="28">
        <v>128.57499999999999</v>
      </c>
      <c r="K26" s="28">
        <v>129</v>
      </c>
      <c r="L26" s="28">
        <v>94.006</v>
      </c>
      <c r="M26" s="28">
        <v>94.917000000000002</v>
      </c>
      <c r="N26" s="28"/>
      <c r="O26" s="28">
        <v>129</v>
      </c>
      <c r="T26" s="27"/>
    </row>
    <row r="27" spans="1:20">
      <c r="A27" s="22"/>
      <c r="B27" s="23">
        <v>3</v>
      </c>
      <c r="C27" s="30" t="s">
        <v>6</v>
      </c>
      <c r="D27" s="23" t="s">
        <v>73</v>
      </c>
      <c r="E27" s="24">
        <v>18030</v>
      </c>
      <c r="F27" s="27">
        <f>E27/E120</f>
        <v>0.28894230769230766</v>
      </c>
      <c r="G27" s="27">
        <v>53000</v>
      </c>
      <c r="H27" s="28">
        <f t="shared" si="2"/>
        <v>15313.942307692307</v>
      </c>
      <c r="I27" s="51">
        <v>18280</v>
      </c>
      <c r="J27" s="52">
        <v>18280</v>
      </c>
      <c r="K27" s="28">
        <v>18280</v>
      </c>
      <c r="L27" s="28">
        <f>1791.197+20265.723</f>
        <v>22056.920000000002</v>
      </c>
      <c r="M27" s="28">
        <v>13522.5</v>
      </c>
      <c r="N27" s="28"/>
      <c r="O27" s="53">
        <f>O28+O29+O30</f>
        <v>20587.632000000001</v>
      </c>
      <c r="T27" s="27"/>
    </row>
    <row r="28" spans="1:20">
      <c r="A28" s="22"/>
      <c r="B28" s="54" t="s">
        <v>131</v>
      </c>
      <c r="C28" s="19" t="s">
        <v>132</v>
      </c>
      <c r="D28" s="23" t="s">
        <v>73</v>
      </c>
      <c r="E28" s="37"/>
      <c r="F28" s="27"/>
      <c r="G28" s="27"/>
      <c r="H28" s="28"/>
      <c r="I28" s="51"/>
      <c r="J28" s="52"/>
      <c r="K28" s="28"/>
      <c r="L28" s="28"/>
      <c r="M28" s="28"/>
      <c r="N28" s="28"/>
      <c r="O28" s="48">
        <v>18030</v>
      </c>
      <c r="T28" s="27"/>
    </row>
    <row r="29" spans="1:20">
      <c r="A29" s="22"/>
      <c r="B29" s="54" t="s">
        <v>133</v>
      </c>
      <c r="C29" s="35" t="s">
        <v>134</v>
      </c>
      <c r="D29" s="23" t="s">
        <v>73</v>
      </c>
      <c r="E29" s="37"/>
      <c r="F29" s="27"/>
      <c r="G29" s="27"/>
      <c r="H29" s="28"/>
      <c r="I29" s="51"/>
      <c r="J29" s="52"/>
      <c r="K29" s="28"/>
      <c r="L29" s="28"/>
      <c r="M29" s="28"/>
      <c r="N29" s="28"/>
      <c r="O29" s="55">
        <v>611.202</v>
      </c>
      <c r="T29" s="27"/>
    </row>
    <row r="30" spans="1:20">
      <c r="A30" s="22"/>
      <c r="B30" s="54" t="s">
        <v>135</v>
      </c>
      <c r="C30" s="35" t="s">
        <v>136</v>
      </c>
      <c r="D30" s="23" t="s">
        <v>73</v>
      </c>
      <c r="E30" s="37"/>
      <c r="F30" s="27"/>
      <c r="G30" s="27"/>
      <c r="H30" s="28"/>
      <c r="I30" s="51"/>
      <c r="J30" s="52"/>
      <c r="K30" s="28"/>
      <c r="L30" s="28"/>
      <c r="M30" s="28"/>
      <c r="N30" s="28"/>
      <c r="O30" s="55">
        <v>1946.43</v>
      </c>
      <c r="T30" s="27"/>
    </row>
    <row r="31" spans="1:20">
      <c r="A31" s="22"/>
      <c r="B31" s="23">
        <v>4</v>
      </c>
      <c r="C31" s="30" t="s">
        <v>7</v>
      </c>
      <c r="D31" s="36" t="s">
        <v>73</v>
      </c>
      <c r="E31" s="42">
        <f>E32+E33</f>
        <v>7546.2199999999993</v>
      </c>
      <c r="F31" s="42">
        <f>F32+F33</f>
        <v>0.12093301282051282</v>
      </c>
      <c r="G31" s="42"/>
      <c r="H31" s="33">
        <f t="shared" ref="H31:O31" si="4">H32+H33</f>
        <v>6409.4496794871793</v>
      </c>
      <c r="I31" s="33">
        <f t="shared" si="4"/>
        <v>3445.69</v>
      </c>
      <c r="J31" s="33">
        <f t="shared" si="4"/>
        <v>1545.69</v>
      </c>
      <c r="K31" s="33">
        <f t="shared" si="4"/>
        <v>1889</v>
      </c>
      <c r="L31" s="33">
        <f t="shared" si="4"/>
        <v>1479.0340000000001</v>
      </c>
      <c r="M31" s="33">
        <f t="shared" si="4"/>
        <v>1479.0340000000001</v>
      </c>
      <c r="N31" s="33">
        <f t="shared" si="4"/>
        <v>0</v>
      </c>
      <c r="O31" s="33">
        <f t="shared" si="4"/>
        <v>4220.3159999999998</v>
      </c>
      <c r="T31" s="27"/>
    </row>
    <row r="32" spans="1:20" ht="25.5">
      <c r="A32" s="22"/>
      <c r="B32" s="54" t="s">
        <v>10</v>
      </c>
      <c r="C32" s="35" t="s">
        <v>8</v>
      </c>
      <c r="D32" s="36" t="s">
        <v>73</v>
      </c>
      <c r="E32" s="37">
        <v>6781.48</v>
      </c>
      <c r="F32" s="27">
        <f>E32/E120</f>
        <v>0.1086775641025641</v>
      </c>
      <c r="G32" s="27">
        <v>53000</v>
      </c>
      <c r="H32" s="28">
        <f t="shared" si="2"/>
        <v>5759.9108974358969</v>
      </c>
      <c r="I32" s="28">
        <v>2066.79</v>
      </c>
      <c r="J32" s="28">
        <v>866.79</v>
      </c>
      <c r="K32" s="28">
        <v>909</v>
      </c>
      <c r="L32" s="28">
        <v>931.26800000000003</v>
      </c>
      <c r="M32" s="28">
        <v>931.26800000000003</v>
      </c>
      <c r="N32" s="28"/>
      <c r="O32" s="28">
        <v>1013.768</v>
      </c>
      <c r="T32" s="27"/>
    </row>
    <row r="33" spans="1:20">
      <c r="A33" s="22"/>
      <c r="B33" s="54" t="s">
        <v>11</v>
      </c>
      <c r="C33" s="35" t="s">
        <v>9</v>
      </c>
      <c r="D33" s="36" t="s">
        <v>73</v>
      </c>
      <c r="E33" s="37">
        <f>761.7+3.04</f>
        <v>764.74</v>
      </c>
      <c r="F33" s="27">
        <f>E33/E120</f>
        <v>1.2255448717948718E-2</v>
      </c>
      <c r="G33" s="27">
        <v>53000</v>
      </c>
      <c r="H33" s="28">
        <f t="shared" si="2"/>
        <v>649.53878205128206</v>
      </c>
      <c r="I33" s="28">
        <v>1378.9</v>
      </c>
      <c r="J33" s="28">
        <v>678.9</v>
      </c>
      <c r="K33" s="28">
        <v>980</v>
      </c>
      <c r="L33" s="28">
        <f>77.902+0.026+469.838</f>
        <v>547.76600000000008</v>
      </c>
      <c r="M33" s="28">
        <f>77.902+0.026+469.838</f>
        <v>547.76600000000008</v>
      </c>
      <c r="N33" s="28"/>
      <c r="O33" s="28">
        <v>3206.5479999999998</v>
      </c>
      <c r="T33" s="27"/>
    </row>
    <row r="34" spans="1:20" ht="25.5">
      <c r="A34" s="22"/>
      <c r="B34" s="56" t="s">
        <v>82</v>
      </c>
      <c r="C34" s="57" t="s">
        <v>83</v>
      </c>
      <c r="D34" s="36" t="s">
        <v>3</v>
      </c>
      <c r="E34" s="58">
        <f>E35+E37+E38+E48+E54+E55+E56+E57+E58+E59+E60+E61</f>
        <v>3330.64</v>
      </c>
      <c r="F34" s="59">
        <f>F35+F37+F38+F48+F54+F55+F56+F57+F58+F59+F60+F61</f>
        <v>5.3375641025641012E-2</v>
      </c>
      <c r="G34" s="59"/>
      <c r="H34" s="60">
        <f>H35+H37+H38+H48+H54+H55+H56+H57+H58+H59+H60+H61</f>
        <v>2828.9089743589743</v>
      </c>
      <c r="I34" s="60">
        <f>I35+I37+I38+I48+I54+I55+I56+I57+I58+I59+I60+I61+I62+I63</f>
        <v>3264.58</v>
      </c>
      <c r="J34" s="60">
        <f>J35+J37+J38+J48+J54+J55+J56+J57+J58+J59+J60+J61+J62</f>
        <v>2357</v>
      </c>
      <c r="K34" s="60">
        <f>K35+K37+K38+K48+K54+K55+K56+K57+K58+K59+K60+K61+K62+K65+K63+K64</f>
        <v>1996.9949999999999</v>
      </c>
      <c r="L34" s="60">
        <f>L35+L37+L38+L48+L54+L55+L56+L57+L58+L59+L60+L61+L62+L65+L63+L64</f>
        <v>1170.6849999999999</v>
      </c>
      <c r="M34" s="60">
        <f>M35+M37+M38+M48+M54+M55+M56+M57+M58+M59+M60+M61+M62+M65+M63+M64</f>
        <v>1170.6849999999999</v>
      </c>
      <c r="N34" s="60">
        <f t="shared" ref="N34:O34" si="5">N35+N37+N38+N48+N54+N55+N56+N57+N58+N59+N60+N61+N62+N65+N63+N64</f>
        <v>0</v>
      </c>
      <c r="O34" s="60">
        <f t="shared" si="5"/>
        <v>1693.85</v>
      </c>
      <c r="T34" s="27"/>
    </row>
    <row r="35" spans="1:20" ht="25.5">
      <c r="A35" s="22"/>
      <c r="B35" s="61" t="s">
        <v>21</v>
      </c>
      <c r="C35" s="62" t="s">
        <v>137</v>
      </c>
      <c r="D35" s="63" t="s">
        <v>73</v>
      </c>
      <c r="E35" s="37">
        <v>735.9</v>
      </c>
      <c r="F35" s="27">
        <f>E35/E120</f>
        <v>1.179326923076923E-2</v>
      </c>
      <c r="G35" s="27">
        <v>53000</v>
      </c>
      <c r="H35" s="28">
        <f t="shared" si="2"/>
        <v>625.04326923076917</v>
      </c>
      <c r="I35" s="28">
        <v>625</v>
      </c>
      <c r="J35" s="64">
        <v>313</v>
      </c>
      <c r="K35" s="28">
        <v>313</v>
      </c>
      <c r="L35" s="28"/>
      <c r="M35" s="28"/>
      <c r="N35" s="28"/>
      <c r="O35" s="28">
        <v>313</v>
      </c>
      <c r="T35" s="27"/>
    </row>
    <row r="36" spans="1:20" hidden="1">
      <c r="A36" s="22"/>
      <c r="B36" s="61"/>
      <c r="C36" s="65" t="s">
        <v>138</v>
      </c>
      <c r="D36" s="63"/>
      <c r="E36" s="37"/>
      <c r="F36" s="27"/>
      <c r="G36" s="27"/>
      <c r="H36" s="28"/>
      <c r="I36" s="28"/>
      <c r="J36" s="64"/>
      <c r="K36" s="28"/>
      <c r="L36" s="28"/>
      <c r="M36" s="28"/>
      <c r="N36" s="28"/>
      <c r="O36" s="28"/>
      <c r="T36" s="27"/>
    </row>
    <row r="37" spans="1:20">
      <c r="A37" s="22"/>
      <c r="B37" s="61" t="s">
        <v>25</v>
      </c>
      <c r="C37" s="62" t="s">
        <v>12</v>
      </c>
      <c r="D37" s="63" t="s">
        <v>73</v>
      </c>
      <c r="E37" s="37">
        <v>45</v>
      </c>
      <c r="F37" s="27">
        <f>E37/E120</f>
        <v>7.2115384615384619E-4</v>
      </c>
      <c r="G37" s="27">
        <v>53000</v>
      </c>
      <c r="H37" s="28">
        <f t="shared" si="2"/>
        <v>38.221153846153847</v>
      </c>
      <c r="I37" s="28">
        <v>40</v>
      </c>
      <c r="J37" s="64">
        <v>40</v>
      </c>
      <c r="K37" s="28">
        <v>40</v>
      </c>
      <c r="L37" s="28"/>
      <c r="M37" s="28"/>
      <c r="N37" s="28"/>
      <c r="O37" s="28">
        <v>40</v>
      </c>
      <c r="T37" s="27"/>
    </row>
    <row r="38" spans="1:20">
      <c r="A38" s="22"/>
      <c r="B38" s="66" t="s">
        <v>27</v>
      </c>
      <c r="C38" s="62" t="s">
        <v>13</v>
      </c>
      <c r="D38" s="63" t="s">
        <v>73</v>
      </c>
      <c r="E38" s="37">
        <v>653.79999999999995</v>
      </c>
      <c r="F38" s="27">
        <f>E38/E120</f>
        <v>1.0477564102564101E-2</v>
      </c>
      <c r="G38" s="27">
        <v>53000</v>
      </c>
      <c r="H38" s="28">
        <f t="shared" si="2"/>
        <v>555.31089743589735</v>
      </c>
      <c r="I38" s="28">
        <f>I39+I40+I41+I42+I43+I44+I45+I46+I47</f>
        <v>709</v>
      </c>
      <c r="J38" s="64">
        <f>J39+J40+J41+J42+J43+J44+J45+J46+J47</f>
        <v>644</v>
      </c>
      <c r="K38" s="52">
        <f>K39+K40+K41+K42+K43+K44+K45+K46+K47</f>
        <v>580.995</v>
      </c>
      <c r="L38" s="52">
        <v>365.03100000000001</v>
      </c>
      <c r="M38" s="52">
        <v>365.03100000000001</v>
      </c>
      <c r="N38" s="52"/>
      <c r="O38" s="28">
        <v>390.86200000000002</v>
      </c>
      <c r="T38" s="27"/>
    </row>
    <row r="39" spans="1:20" hidden="1">
      <c r="A39" s="22"/>
      <c r="B39" s="66"/>
      <c r="C39" s="67" t="s">
        <v>139</v>
      </c>
      <c r="D39" s="68"/>
      <c r="E39" s="69"/>
      <c r="F39" s="70"/>
      <c r="G39" s="70"/>
      <c r="H39" s="71"/>
      <c r="I39" s="71">
        <v>120</v>
      </c>
      <c r="J39" s="28">
        <v>120</v>
      </c>
      <c r="K39" s="28">
        <v>120</v>
      </c>
      <c r="L39" s="28"/>
      <c r="M39" s="28"/>
      <c r="N39" s="28"/>
      <c r="O39" s="28"/>
      <c r="T39" s="27"/>
    </row>
    <row r="40" spans="1:20" hidden="1">
      <c r="A40" s="22"/>
      <c r="B40" s="66"/>
      <c r="C40" s="67" t="s">
        <v>140</v>
      </c>
      <c r="D40" s="68"/>
      <c r="E40" s="69"/>
      <c r="F40" s="70"/>
      <c r="G40" s="70"/>
      <c r="H40" s="71"/>
      <c r="I40" s="71">
        <v>250</v>
      </c>
      <c r="J40" s="28">
        <v>250</v>
      </c>
      <c r="K40" s="28">
        <v>250</v>
      </c>
      <c r="L40" s="28"/>
      <c r="M40" s="28"/>
      <c r="N40" s="28"/>
      <c r="O40" s="28"/>
      <c r="T40" s="27"/>
    </row>
    <row r="41" spans="1:20" hidden="1">
      <c r="A41" s="22"/>
      <c r="B41" s="66"/>
      <c r="C41" s="67" t="s">
        <v>141</v>
      </c>
      <c r="D41" s="68"/>
      <c r="E41" s="69"/>
      <c r="F41" s="70"/>
      <c r="G41" s="70"/>
      <c r="H41" s="71"/>
      <c r="I41" s="71">
        <v>60</v>
      </c>
      <c r="J41" s="28">
        <v>60</v>
      </c>
      <c r="K41" s="28">
        <v>32</v>
      </c>
      <c r="L41" s="28"/>
      <c r="M41" s="28"/>
      <c r="N41" s="28"/>
      <c r="O41" s="28"/>
      <c r="T41" s="27"/>
    </row>
    <row r="42" spans="1:20" hidden="1">
      <c r="A42" s="22"/>
      <c r="B42" s="66"/>
      <c r="C42" s="67" t="s">
        <v>142</v>
      </c>
      <c r="D42" s="68"/>
      <c r="E42" s="69"/>
      <c r="F42" s="70"/>
      <c r="G42" s="70"/>
      <c r="H42" s="71"/>
      <c r="I42" s="71">
        <v>42</v>
      </c>
      <c r="J42" s="28">
        <v>42</v>
      </c>
      <c r="K42" s="28">
        <v>19</v>
      </c>
      <c r="L42" s="28"/>
      <c r="M42" s="28"/>
      <c r="N42" s="28"/>
      <c r="O42" s="28"/>
      <c r="T42" s="27"/>
    </row>
    <row r="43" spans="1:20" ht="22.5" hidden="1">
      <c r="A43" s="22"/>
      <c r="B43" s="66"/>
      <c r="C43" s="67" t="s">
        <v>143</v>
      </c>
      <c r="D43" s="68"/>
      <c r="E43" s="69"/>
      <c r="F43" s="70"/>
      <c r="G43" s="70"/>
      <c r="H43" s="71"/>
      <c r="I43" s="71">
        <v>20</v>
      </c>
      <c r="J43" s="28"/>
      <c r="K43" s="28"/>
      <c r="L43" s="28"/>
      <c r="M43" s="28"/>
      <c r="N43" s="28"/>
      <c r="O43" s="28"/>
      <c r="T43" s="27"/>
    </row>
    <row r="44" spans="1:20" hidden="1">
      <c r="A44" s="22"/>
      <c r="B44" s="66"/>
      <c r="C44" s="67" t="s">
        <v>144</v>
      </c>
      <c r="D44" s="68"/>
      <c r="E44" s="69"/>
      <c r="F44" s="70"/>
      <c r="G44" s="70"/>
      <c r="H44" s="71"/>
      <c r="I44" s="71">
        <v>42</v>
      </c>
      <c r="J44" s="28">
        <v>42</v>
      </c>
      <c r="K44" s="28">
        <f>22+19.995</f>
        <v>41.995000000000005</v>
      </c>
      <c r="L44" s="28"/>
      <c r="M44" s="28"/>
      <c r="N44" s="28"/>
      <c r="O44" s="28"/>
      <c r="T44" s="27"/>
    </row>
    <row r="45" spans="1:20" hidden="1">
      <c r="A45" s="22"/>
      <c r="B45" s="66"/>
      <c r="C45" s="67" t="s">
        <v>145</v>
      </c>
      <c r="D45" s="68"/>
      <c r="E45" s="69"/>
      <c r="F45" s="70"/>
      <c r="G45" s="70"/>
      <c r="H45" s="71"/>
      <c r="I45" s="71">
        <f>5*9</f>
        <v>45</v>
      </c>
      <c r="J45" s="28">
        <v>45</v>
      </c>
      <c r="K45" s="28"/>
      <c r="L45" s="28"/>
      <c r="M45" s="28"/>
      <c r="N45" s="28"/>
      <c r="O45" s="28"/>
      <c r="T45" s="27"/>
    </row>
    <row r="46" spans="1:20" hidden="1">
      <c r="A46" s="22"/>
      <c r="B46" s="66"/>
      <c r="C46" s="67" t="s">
        <v>146</v>
      </c>
      <c r="D46" s="68"/>
      <c r="E46" s="69"/>
      <c r="F46" s="70"/>
      <c r="G46" s="70"/>
      <c r="H46" s="71"/>
      <c r="I46" s="71">
        <v>90</v>
      </c>
      <c r="J46" s="28">
        <v>45</v>
      </c>
      <c r="K46" s="28">
        <v>90</v>
      </c>
      <c r="L46" s="28"/>
      <c r="M46" s="28"/>
      <c r="N46" s="28"/>
      <c r="O46" s="28"/>
      <c r="T46" s="27"/>
    </row>
    <row r="47" spans="1:20" ht="22.5" hidden="1">
      <c r="A47" s="22"/>
      <c r="B47" s="66"/>
      <c r="C47" s="67" t="s">
        <v>147</v>
      </c>
      <c r="D47" s="68"/>
      <c r="E47" s="69"/>
      <c r="F47" s="70"/>
      <c r="G47" s="70"/>
      <c r="H47" s="71"/>
      <c r="I47" s="71">
        <v>40</v>
      </c>
      <c r="J47" s="28">
        <v>40</v>
      </c>
      <c r="K47" s="28">
        <v>28</v>
      </c>
      <c r="L47" s="28"/>
      <c r="M47" s="28"/>
      <c r="N47" s="28"/>
      <c r="O47" s="28"/>
      <c r="T47" s="27"/>
    </row>
    <row r="48" spans="1:20">
      <c r="A48" s="22"/>
      <c r="B48" s="66" t="s">
        <v>31</v>
      </c>
      <c r="C48" s="72" t="s">
        <v>14</v>
      </c>
      <c r="D48" s="63" t="s">
        <v>73</v>
      </c>
      <c r="E48" s="37">
        <v>731.7</v>
      </c>
      <c r="F48" s="27">
        <f>E48/E120</f>
        <v>1.1725961538461539E-2</v>
      </c>
      <c r="G48" s="27">
        <v>53000</v>
      </c>
      <c r="H48" s="28">
        <f t="shared" si="2"/>
        <v>621.47596153846155</v>
      </c>
      <c r="I48" s="28">
        <f>I49+I50+I51+I52+I53</f>
        <v>546</v>
      </c>
      <c r="J48" s="64">
        <f>J49+J50+J51+J52+J53</f>
        <v>270</v>
      </c>
      <c r="K48" s="53">
        <v>336</v>
      </c>
      <c r="L48" s="53">
        <v>337.11700000000002</v>
      </c>
      <c r="M48" s="53">
        <v>337.11700000000002</v>
      </c>
      <c r="N48" s="53"/>
      <c r="O48" s="28">
        <v>337.12</v>
      </c>
      <c r="T48" s="27"/>
    </row>
    <row r="49" spans="1:20" hidden="1">
      <c r="A49" s="22"/>
      <c r="B49" s="66"/>
      <c r="C49" s="73" t="s">
        <v>148</v>
      </c>
      <c r="D49" s="74"/>
      <c r="E49" s="50"/>
      <c r="F49" s="75"/>
      <c r="G49" s="75"/>
      <c r="H49" s="76"/>
      <c r="I49" s="76">
        <f>20*4*0.45</f>
        <v>36</v>
      </c>
      <c r="J49" s="28"/>
      <c r="K49" s="28">
        <v>36.802</v>
      </c>
      <c r="L49" s="28"/>
      <c r="M49" s="28"/>
      <c r="N49" s="28"/>
      <c r="O49" s="28"/>
      <c r="T49" s="27"/>
    </row>
    <row r="50" spans="1:20" hidden="1">
      <c r="A50" s="22"/>
      <c r="B50" s="66"/>
      <c r="C50" s="73" t="s">
        <v>149</v>
      </c>
      <c r="D50" s="74"/>
      <c r="E50" s="50"/>
      <c r="F50" s="75"/>
      <c r="G50" s="75"/>
      <c r="H50" s="76"/>
      <c r="I50" s="76">
        <f>500*4*0.055</f>
        <v>110</v>
      </c>
      <c r="J50" s="28">
        <v>110</v>
      </c>
      <c r="K50" s="28">
        <v>76.2</v>
      </c>
      <c r="L50" s="28"/>
      <c r="M50" s="28"/>
      <c r="N50" s="28"/>
      <c r="O50" s="28"/>
      <c r="T50" s="27"/>
    </row>
    <row r="51" spans="1:20" ht="13.5" hidden="1">
      <c r="A51" s="22"/>
      <c r="B51" s="66"/>
      <c r="C51" s="73" t="s">
        <v>150</v>
      </c>
      <c r="D51" s="74"/>
      <c r="E51" s="50"/>
      <c r="F51" s="75"/>
      <c r="G51" s="75"/>
      <c r="H51" s="76"/>
      <c r="I51" s="76">
        <f>10*4*1.5</f>
        <v>60</v>
      </c>
      <c r="J51" s="28"/>
      <c r="K51" s="28">
        <v>64.114999999999995</v>
      </c>
      <c r="L51" s="28"/>
      <c r="M51" s="28"/>
      <c r="N51" s="28"/>
      <c r="O51" s="28"/>
      <c r="T51" s="27"/>
    </row>
    <row r="52" spans="1:20" hidden="1">
      <c r="A52" s="22"/>
      <c r="B52" s="66"/>
      <c r="C52" s="73" t="s">
        <v>151</v>
      </c>
      <c r="D52" s="74"/>
      <c r="E52" s="50"/>
      <c r="F52" s="75"/>
      <c r="G52" s="75"/>
      <c r="H52" s="76"/>
      <c r="I52" s="76">
        <f>10*4*4.5</f>
        <v>180</v>
      </c>
      <c r="J52" s="28"/>
      <c r="K52" s="28"/>
      <c r="L52" s="28"/>
      <c r="M52" s="28"/>
      <c r="N52" s="28"/>
      <c r="O52" s="28"/>
      <c r="T52" s="27"/>
    </row>
    <row r="53" spans="1:20" hidden="1">
      <c r="A53" s="22"/>
      <c r="B53" s="66"/>
      <c r="C53" s="73" t="s">
        <v>152</v>
      </c>
      <c r="D53" s="74"/>
      <c r="E53" s="50"/>
      <c r="F53" s="75"/>
      <c r="G53" s="75"/>
      <c r="H53" s="76"/>
      <c r="I53" s="76">
        <v>160</v>
      </c>
      <c r="J53" s="28">
        <v>160</v>
      </c>
      <c r="K53" s="28">
        <v>160</v>
      </c>
      <c r="L53" s="28"/>
      <c r="M53" s="28"/>
      <c r="N53" s="28"/>
      <c r="O53" s="28"/>
      <c r="T53" s="27"/>
    </row>
    <row r="54" spans="1:20" hidden="1">
      <c r="A54" s="22"/>
      <c r="B54" s="66" t="s">
        <v>33</v>
      </c>
      <c r="C54" s="72" t="s">
        <v>15</v>
      </c>
      <c r="D54" s="63" t="s">
        <v>73</v>
      </c>
      <c r="E54" s="77">
        <v>57.2</v>
      </c>
      <c r="F54" s="27">
        <f>E54/E120</f>
        <v>9.1666666666666676E-4</v>
      </c>
      <c r="G54" s="27">
        <v>53000</v>
      </c>
      <c r="H54" s="28">
        <f t="shared" si="2"/>
        <v>48.583333333333336</v>
      </c>
      <c r="I54" s="28">
        <v>0</v>
      </c>
      <c r="J54" s="28"/>
      <c r="K54" s="28">
        <v>0</v>
      </c>
      <c r="L54" s="28"/>
      <c r="M54" s="28"/>
      <c r="N54" s="28"/>
      <c r="O54" s="28"/>
      <c r="T54" s="27"/>
    </row>
    <row r="55" spans="1:20" hidden="1">
      <c r="A55" s="22"/>
      <c r="B55" s="61" t="s">
        <v>35</v>
      </c>
      <c r="C55" s="72" t="s">
        <v>16</v>
      </c>
      <c r="D55" s="63" t="s">
        <v>73</v>
      </c>
      <c r="E55" s="77">
        <v>18</v>
      </c>
      <c r="F55" s="27">
        <f>E55/E120</f>
        <v>2.8846153846153849E-4</v>
      </c>
      <c r="G55" s="27">
        <v>53000</v>
      </c>
      <c r="H55" s="28">
        <f t="shared" si="2"/>
        <v>15.28846153846154</v>
      </c>
      <c r="I55" s="28">
        <v>63</v>
      </c>
      <c r="J55" s="28"/>
      <c r="K55" s="28">
        <v>0</v>
      </c>
      <c r="L55" s="28"/>
      <c r="M55" s="28"/>
      <c r="N55" s="28"/>
      <c r="O55" s="28"/>
      <c r="T55" s="27"/>
    </row>
    <row r="56" spans="1:20">
      <c r="A56" s="22"/>
      <c r="B56" s="61" t="s">
        <v>36</v>
      </c>
      <c r="C56" s="62" t="s">
        <v>153</v>
      </c>
      <c r="D56" s="63" t="s">
        <v>73</v>
      </c>
      <c r="E56" s="77">
        <v>461.3</v>
      </c>
      <c r="F56" s="27">
        <f>E56/E120</f>
        <v>7.3926282051282053E-3</v>
      </c>
      <c r="G56" s="27">
        <v>53000</v>
      </c>
      <c r="H56" s="28">
        <f t="shared" si="2"/>
        <v>391.80929487179486</v>
      </c>
      <c r="I56" s="28">
        <v>450</v>
      </c>
      <c r="J56" s="28">
        <v>450</v>
      </c>
      <c r="K56" s="28">
        <v>450</v>
      </c>
      <c r="L56" s="28">
        <v>308.49299999999999</v>
      </c>
      <c r="M56" s="28">
        <v>308.49299999999999</v>
      </c>
      <c r="N56" s="28"/>
      <c r="O56" s="28">
        <v>411.32400000000001</v>
      </c>
      <c r="T56" s="27"/>
    </row>
    <row r="57" spans="1:20" ht="25.5">
      <c r="A57" s="22"/>
      <c r="B57" s="61" t="s">
        <v>154</v>
      </c>
      <c r="C57" s="72" t="s">
        <v>84</v>
      </c>
      <c r="D57" s="63" t="s">
        <v>73</v>
      </c>
      <c r="E57" s="77">
        <v>160.30000000000001</v>
      </c>
      <c r="F57" s="27">
        <f>E57/E120</f>
        <v>2.5689102564102565E-3</v>
      </c>
      <c r="G57" s="27">
        <v>53000</v>
      </c>
      <c r="H57" s="28">
        <f t="shared" si="2"/>
        <v>136.15224358974359</v>
      </c>
      <c r="I57" s="28">
        <v>130</v>
      </c>
      <c r="J57" s="28">
        <v>130</v>
      </c>
      <c r="K57" s="28">
        <v>80</v>
      </c>
      <c r="L57" s="28">
        <v>47.994</v>
      </c>
      <c r="M57" s="28">
        <v>47.994</v>
      </c>
      <c r="N57" s="28"/>
      <c r="O57" s="28">
        <v>79.998999999999995</v>
      </c>
      <c r="T57" s="27"/>
    </row>
    <row r="58" spans="1:20" ht="25.5">
      <c r="A58" s="22"/>
      <c r="B58" s="61" t="s">
        <v>41</v>
      </c>
      <c r="C58" s="72" t="s">
        <v>85</v>
      </c>
      <c r="D58" s="63" t="s">
        <v>73</v>
      </c>
      <c r="E58" s="77">
        <v>146.9</v>
      </c>
      <c r="F58" s="27">
        <f>E58/E120</f>
        <v>2.3541666666666667E-3</v>
      </c>
      <c r="G58" s="27">
        <v>53000</v>
      </c>
      <c r="H58" s="28">
        <f t="shared" si="2"/>
        <v>124.77083333333334</v>
      </c>
      <c r="I58" s="28">
        <v>120</v>
      </c>
      <c r="J58" s="28">
        <v>60</v>
      </c>
      <c r="K58" s="28">
        <v>59</v>
      </c>
      <c r="L58" s="28">
        <v>11.8</v>
      </c>
      <c r="M58" s="28">
        <v>11.8</v>
      </c>
      <c r="N58" s="28"/>
      <c r="O58" s="28">
        <v>59</v>
      </c>
      <c r="T58" s="27"/>
    </row>
    <row r="59" spans="1:20">
      <c r="B59" s="54" t="s">
        <v>43</v>
      </c>
      <c r="C59" s="78" t="s">
        <v>86</v>
      </c>
      <c r="D59" s="63" t="s">
        <v>73</v>
      </c>
      <c r="E59" s="77">
        <v>261.10000000000002</v>
      </c>
      <c r="F59" s="27">
        <f>E59/E120</f>
        <v>4.1842948717948723E-3</v>
      </c>
      <c r="G59" s="27">
        <v>53000</v>
      </c>
      <c r="H59" s="28">
        <f t="shared" si="2"/>
        <v>221.76762820512823</v>
      </c>
      <c r="I59" s="28">
        <v>250</v>
      </c>
      <c r="J59" s="28">
        <v>250</v>
      </c>
      <c r="K59" s="28">
        <v>35</v>
      </c>
      <c r="L59" s="28"/>
      <c r="M59" s="28"/>
      <c r="N59" s="28"/>
      <c r="O59" s="28">
        <v>23.995000000000001</v>
      </c>
      <c r="T59" s="27"/>
    </row>
    <row r="60" spans="1:20">
      <c r="B60" s="54" t="s">
        <v>155</v>
      </c>
      <c r="C60" s="78" t="s">
        <v>17</v>
      </c>
      <c r="D60" s="63" t="s">
        <v>73</v>
      </c>
      <c r="E60" s="77">
        <v>30.5</v>
      </c>
      <c r="F60" s="27">
        <f>E60/E120</f>
        <v>4.887820512820513E-4</v>
      </c>
      <c r="G60" s="27">
        <v>53000</v>
      </c>
      <c r="H60" s="28">
        <f t="shared" si="2"/>
        <v>25.905448717948719</v>
      </c>
      <c r="I60" s="28">
        <v>25</v>
      </c>
      <c r="J60" s="28">
        <v>25</v>
      </c>
      <c r="K60" s="28">
        <v>25</v>
      </c>
      <c r="L60" s="28">
        <v>25</v>
      </c>
      <c r="M60" s="28">
        <v>25</v>
      </c>
      <c r="N60" s="28"/>
      <c r="O60" s="28">
        <v>25</v>
      </c>
      <c r="T60" s="27"/>
    </row>
    <row r="61" spans="1:20" ht="38.25">
      <c r="B61" s="79" t="s">
        <v>156</v>
      </c>
      <c r="C61" s="72" t="s">
        <v>87</v>
      </c>
      <c r="D61" s="63" t="s">
        <v>73</v>
      </c>
      <c r="E61" s="77">
        <v>28.94</v>
      </c>
      <c r="F61" s="27">
        <f>E61/E120</f>
        <v>4.6378205128205129E-4</v>
      </c>
      <c r="G61" s="27">
        <v>53000</v>
      </c>
      <c r="H61" s="28">
        <f t="shared" si="2"/>
        <v>24.58044871794872</v>
      </c>
      <c r="I61" s="28">
        <v>25</v>
      </c>
      <c r="J61" s="28">
        <v>25</v>
      </c>
      <c r="K61" s="28">
        <f>4+3+1</f>
        <v>8</v>
      </c>
      <c r="L61" s="28">
        <v>5.25</v>
      </c>
      <c r="M61" s="28">
        <v>5.25</v>
      </c>
      <c r="N61" s="28"/>
      <c r="O61" s="28">
        <v>13.55</v>
      </c>
      <c r="T61" s="27"/>
    </row>
    <row r="62" spans="1:20" hidden="1">
      <c r="B62" s="79"/>
      <c r="C62" s="72" t="s">
        <v>157</v>
      </c>
      <c r="D62" s="79"/>
      <c r="E62" s="77"/>
      <c r="F62" s="27"/>
      <c r="G62" s="27"/>
      <c r="H62" s="28"/>
      <c r="I62" s="28">
        <v>150</v>
      </c>
      <c r="J62" s="28">
        <v>150</v>
      </c>
      <c r="K62" s="28"/>
      <c r="L62" s="28"/>
      <c r="M62" s="28"/>
      <c r="N62" s="28"/>
      <c r="O62" s="28"/>
      <c r="T62" s="27"/>
    </row>
    <row r="63" spans="1:20" hidden="1">
      <c r="B63" s="79"/>
      <c r="C63" s="72" t="s">
        <v>158</v>
      </c>
      <c r="D63" s="79"/>
      <c r="E63" s="77"/>
      <c r="F63" s="27"/>
      <c r="G63" s="27"/>
      <c r="H63" s="28"/>
      <c r="I63" s="28">
        <v>131.58000000000001</v>
      </c>
      <c r="J63" s="28"/>
      <c r="K63" s="28"/>
      <c r="L63" s="28"/>
      <c r="M63" s="28"/>
      <c r="N63" s="28"/>
      <c r="O63" s="28"/>
      <c r="T63" s="27"/>
    </row>
    <row r="64" spans="1:20" hidden="1">
      <c r="B64" s="79"/>
      <c r="C64" s="72" t="s">
        <v>159</v>
      </c>
      <c r="D64" s="79"/>
      <c r="E64" s="77"/>
      <c r="F64" s="27"/>
      <c r="G64" s="27"/>
      <c r="H64" s="28"/>
      <c r="I64" s="28"/>
      <c r="J64" s="28"/>
      <c r="K64" s="28">
        <v>55</v>
      </c>
      <c r="L64" s="28">
        <v>55</v>
      </c>
      <c r="M64" s="28">
        <v>55</v>
      </c>
      <c r="N64" s="28"/>
      <c r="O64" s="28"/>
      <c r="T64" s="27"/>
    </row>
    <row r="65" spans="1:20" hidden="1">
      <c r="B65" s="79"/>
      <c r="C65" s="72" t="s">
        <v>160</v>
      </c>
      <c r="D65" s="79"/>
      <c r="E65" s="77"/>
      <c r="F65" s="27"/>
      <c r="G65" s="27"/>
      <c r="H65" s="28"/>
      <c r="I65" s="28"/>
      <c r="J65" s="28"/>
      <c r="K65" s="28">
        <v>15</v>
      </c>
      <c r="L65" s="28">
        <v>15</v>
      </c>
      <c r="M65" s="28">
        <v>15</v>
      </c>
      <c r="N65" s="28"/>
      <c r="O65" s="28"/>
      <c r="T65" s="27"/>
    </row>
    <row r="66" spans="1:20" ht="38.25">
      <c r="A66" s="22"/>
      <c r="B66" s="126" t="s">
        <v>18</v>
      </c>
      <c r="C66" s="57" t="s">
        <v>19</v>
      </c>
      <c r="D66" s="36" t="s">
        <v>3</v>
      </c>
      <c r="E66" s="58">
        <f>E67</f>
        <v>38056.140000000007</v>
      </c>
      <c r="F66" s="123">
        <f>F67</f>
        <v>0.70987243589743598</v>
      </c>
      <c r="G66" s="123"/>
      <c r="H66" s="60">
        <f t="shared" ref="H66:M66" si="6">H67</f>
        <v>32323.339102564092</v>
      </c>
      <c r="I66" s="60">
        <f t="shared" si="6"/>
        <v>27958.218999999997</v>
      </c>
      <c r="J66" s="60">
        <f t="shared" si="6"/>
        <v>27955.609000000004</v>
      </c>
      <c r="K66" s="60">
        <f t="shared" si="6"/>
        <v>29333</v>
      </c>
      <c r="L66" s="60">
        <f t="shared" si="6"/>
        <v>20237.937000000002</v>
      </c>
      <c r="M66" s="60">
        <f t="shared" si="6"/>
        <v>20196.058999999997</v>
      </c>
      <c r="N66" s="60"/>
      <c r="O66" s="60">
        <f>O67</f>
        <v>28601.914999999997</v>
      </c>
      <c r="T66" s="127" t="s">
        <v>112</v>
      </c>
    </row>
    <row r="67" spans="1:20">
      <c r="A67" s="22"/>
      <c r="B67" s="80" t="s">
        <v>88</v>
      </c>
      <c r="C67" s="39" t="s">
        <v>20</v>
      </c>
      <c r="D67" s="80" t="s">
        <v>73</v>
      </c>
      <c r="E67" s="77">
        <f>E68+E72+E78+E79+E80+E83+E89+E90+E91+E96+E100+E101+0.1</f>
        <v>38056.140000000007</v>
      </c>
      <c r="F67" s="77">
        <f>F68+F72+F78+F79+F80+F83+F89+F90+F91+F96+F100+F101+0.1</f>
        <v>0.70987243589743598</v>
      </c>
      <c r="G67" s="77"/>
      <c r="H67" s="77">
        <f>H68+H72+H78+H79+H80+H83+H89+H90+H91+H96+H100+H101+0.1</f>
        <v>32323.339102564092</v>
      </c>
      <c r="I67" s="77">
        <f>I68+I72+I78+I79+I80+I83+I89+I90+I91+I96+I100+I101+0.1</f>
        <v>27958.218999999997</v>
      </c>
      <c r="J67" s="81">
        <f>J68+J72+J78+J79+J80+J83+J89+J90+J91+J96+J100+J101</f>
        <v>27955.609000000004</v>
      </c>
      <c r="K67" s="81">
        <f>K68+K72+K78+K79+K80+K83+K89+K90+K91+K96+K100+K101</f>
        <v>29333</v>
      </c>
      <c r="L67" s="81">
        <f>L68+L72+L78+L79+L80+L83+L89+L90+L91+L96+L100+L101</f>
        <v>20237.937000000002</v>
      </c>
      <c r="M67" s="81">
        <f>M68+M72+M78+M79+M80+M83+M89+M90+M91+M96+M100+M101</f>
        <v>20196.058999999997</v>
      </c>
      <c r="N67" s="81">
        <f t="shared" ref="N67:O67" si="7">N68+N72+N78+N79+N80+N83+N89+N90+N91+N96+N100+N101</f>
        <v>0</v>
      </c>
      <c r="O67" s="81">
        <f t="shared" si="7"/>
        <v>28601.914999999997</v>
      </c>
      <c r="T67" s="27"/>
    </row>
    <row r="68" spans="1:20">
      <c r="A68" s="22"/>
      <c r="B68" s="82" t="s">
        <v>89</v>
      </c>
      <c r="C68" s="57" t="s">
        <v>22</v>
      </c>
      <c r="D68" s="63" t="s">
        <v>73</v>
      </c>
      <c r="E68" s="58">
        <f>E69+E70+E71</f>
        <v>914.62</v>
      </c>
      <c r="F68" s="58">
        <f>F69+F70+F71</f>
        <v>1.4657371794871796E-2</v>
      </c>
      <c r="G68" s="58"/>
      <c r="H68" s="60">
        <f t="shared" ref="H68:O68" si="8">H69+H70+H71</f>
        <v>776.84070512820506</v>
      </c>
      <c r="I68" s="60">
        <f t="shared" si="8"/>
        <v>959</v>
      </c>
      <c r="J68" s="60">
        <f t="shared" si="8"/>
        <v>869</v>
      </c>
      <c r="K68" s="60">
        <f t="shared" si="8"/>
        <v>943</v>
      </c>
      <c r="L68" s="60">
        <f t="shared" si="8"/>
        <v>559.26099999999997</v>
      </c>
      <c r="M68" s="60">
        <f t="shared" si="8"/>
        <v>559.26099999999997</v>
      </c>
      <c r="N68" s="60">
        <f t="shared" si="8"/>
        <v>0</v>
      </c>
      <c r="O68" s="60">
        <f t="shared" si="8"/>
        <v>936.64799999999991</v>
      </c>
      <c r="T68" s="27"/>
    </row>
    <row r="69" spans="1:20">
      <c r="A69" s="22"/>
      <c r="B69" s="83" t="s">
        <v>90</v>
      </c>
      <c r="C69" s="39" t="s">
        <v>23</v>
      </c>
      <c r="D69" s="80" t="s">
        <v>73</v>
      </c>
      <c r="E69" s="84">
        <v>312.8</v>
      </c>
      <c r="F69" s="27">
        <f>E69/E120</f>
        <v>5.0128205128205129E-3</v>
      </c>
      <c r="G69" s="27">
        <v>53000</v>
      </c>
      <c r="H69" s="28">
        <f>F69*G69</f>
        <v>265.67948717948718</v>
      </c>
      <c r="I69" s="28">
        <f>90+90</f>
        <v>180</v>
      </c>
      <c r="J69" s="28">
        <v>90</v>
      </c>
      <c r="K69" s="28">
        <v>90</v>
      </c>
      <c r="L69" s="28"/>
      <c r="M69" s="28"/>
      <c r="N69" s="28"/>
      <c r="O69" s="28">
        <v>137.91999999999999</v>
      </c>
      <c r="T69" s="27"/>
    </row>
    <row r="70" spans="1:20">
      <c r="A70" s="22"/>
      <c r="B70" s="83" t="s">
        <v>91</v>
      </c>
      <c r="C70" s="39" t="s">
        <v>24</v>
      </c>
      <c r="D70" s="80" t="s">
        <v>73</v>
      </c>
      <c r="E70" s="77">
        <v>355.72</v>
      </c>
      <c r="F70" s="27">
        <f>E70/E120</f>
        <v>5.700641025641026E-3</v>
      </c>
      <c r="G70" s="27">
        <v>53000</v>
      </c>
      <c r="H70" s="28">
        <f t="shared" ref="H70:H101" si="9">F70*G70</f>
        <v>302.1339743589744</v>
      </c>
      <c r="I70" s="28">
        <v>529</v>
      </c>
      <c r="J70" s="28">
        <v>529</v>
      </c>
      <c r="K70" s="28">
        <v>603</v>
      </c>
      <c r="L70" s="28">
        <v>400.97300000000001</v>
      </c>
      <c r="M70" s="28">
        <v>400.97300000000001</v>
      </c>
      <c r="N70" s="28"/>
      <c r="O70" s="28">
        <v>577.44799999999998</v>
      </c>
      <c r="T70" s="27"/>
    </row>
    <row r="71" spans="1:20">
      <c r="A71" s="22"/>
      <c r="B71" s="85" t="s">
        <v>92</v>
      </c>
      <c r="C71" s="39" t="s">
        <v>26</v>
      </c>
      <c r="D71" s="80" t="s">
        <v>73</v>
      </c>
      <c r="E71" s="77">
        <v>246.1</v>
      </c>
      <c r="F71" s="27">
        <f>E71/E120</f>
        <v>3.943910256410256E-3</v>
      </c>
      <c r="G71" s="27">
        <v>53000</v>
      </c>
      <c r="H71" s="28">
        <f t="shared" si="9"/>
        <v>209.02724358974356</v>
      </c>
      <c r="I71" s="28">
        <v>250</v>
      </c>
      <c r="J71" s="28">
        <v>250</v>
      </c>
      <c r="K71" s="28">
        <v>250</v>
      </c>
      <c r="L71" s="28">
        <v>158.28800000000001</v>
      </c>
      <c r="M71" s="28">
        <v>158.28800000000001</v>
      </c>
      <c r="N71" s="28"/>
      <c r="O71" s="28">
        <v>221.28</v>
      </c>
      <c r="T71" s="27"/>
    </row>
    <row r="72" spans="1:20">
      <c r="A72" s="22"/>
      <c r="B72" s="36" t="s">
        <v>93</v>
      </c>
      <c r="C72" s="86" t="s">
        <v>28</v>
      </c>
      <c r="D72" s="80" t="s">
        <v>73</v>
      </c>
      <c r="E72" s="31">
        <f>E73+E76</f>
        <v>30720.7</v>
      </c>
      <c r="F72" s="31">
        <f>F73+F76</f>
        <v>0.49231891025641028</v>
      </c>
      <c r="G72" s="31"/>
      <c r="H72" s="33">
        <f>H73+H76</f>
        <v>26092.902243589742</v>
      </c>
      <c r="I72" s="60">
        <f t="shared" ref="I72:O72" si="10">I73+I76+I77</f>
        <v>20424.999</v>
      </c>
      <c r="J72" s="60">
        <f t="shared" si="10"/>
        <v>18838.779000000002</v>
      </c>
      <c r="K72" s="60">
        <f t="shared" si="10"/>
        <v>18840</v>
      </c>
      <c r="L72" s="60">
        <f t="shared" si="10"/>
        <v>13357.050999999999</v>
      </c>
      <c r="M72" s="60">
        <f t="shared" si="10"/>
        <v>13739.924999999999</v>
      </c>
      <c r="N72" s="60">
        <f t="shared" si="10"/>
        <v>0</v>
      </c>
      <c r="O72" s="60">
        <f t="shared" si="10"/>
        <v>18838.805999999997</v>
      </c>
      <c r="T72" s="27"/>
    </row>
    <row r="73" spans="1:20">
      <c r="A73" s="22"/>
      <c r="B73" s="87" t="s">
        <v>94</v>
      </c>
      <c r="C73" s="88" t="s">
        <v>29</v>
      </c>
      <c r="D73" s="80" t="s">
        <v>73</v>
      </c>
      <c r="E73" s="77">
        <v>27953.3</v>
      </c>
      <c r="F73" s="27">
        <f>E73/E120</f>
        <v>0.44796955128205129</v>
      </c>
      <c r="G73" s="27">
        <v>53000</v>
      </c>
      <c r="H73" s="28">
        <f t="shared" si="9"/>
        <v>23742.386217948719</v>
      </c>
      <c r="I73" s="28">
        <v>18417.999</v>
      </c>
      <c r="J73" s="89">
        <v>17118.405999999999</v>
      </c>
      <c r="K73" s="28">
        <v>17119</v>
      </c>
      <c r="L73" s="28">
        <v>12139.73</v>
      </c>
      <c r="M73" s="28">
        <v>12499.18</v>
      </c>
      <c r="N73" s="28"/>
      <c r="O73" s="28">
        <v>17118.405999999999</v>
      </c>
      <c r="T73" s="27"/>
    </row>
    <row r="74" spans="1:20" hidden="1">
      <c r="A74" s="22"/>
      <c r="B74" s="90"/>
      <c r="C74" s="45" t="s">
        <v>126</v>
      </c>
      <c r="D74" s="46" t="s">
        <v>127</v>
      </c>
      <c r="E74" s="91">
        <f>E73/E75/12*1000</f>
        <v>129413.42592592591</v>
      </c>
      <c r="F74" s="27">
        <f>E74/E120</f>
        <v>2.073933107787274</v>
      </c>
      <c r="G74" s="27">
        <v>53000</v>
      </c>
      <c r="H74" s="28">
        <f t="shared" si="9"/>
        <v>109918.45471272552</v>
      </c>
      <c r="I74" s="48">
        <f>I73/12/I75*1000</f>
        <v>127902.77083333331</v>
      </c>
      <c r="J74" s="48">
        <f>J73/J75/12*1000</f>
        <v>129684.89393939394</v>
      </c>
      <c r="K74" s="28"/>
      <c r="L74" s="28"/>
      <c r="M74" s="28"/>
      <c r="N74" s="28"/>
      <c r="O74" s="28"/>
      <c r="T74" s="27"/>
    </row>
    <row r="75" spans="1:20" hidden="1">
      <c r="A75" s="22"/>
      <c r="B75" s="92"/>
      <c r="C75" s="45" t="s">
        <v>128</v>
      </c>
      <c r="D75" s="46" t="s">
        <v>129</v>
      </c>
      <c r="E75" s="93">
        <v>18</v>
      </c>
      <c r="F75" s="27">
        <f>E75/E120</f>
        <v>2.8846153846153849E-4</v>
      </c>
      <c r="G75" s="27">
        <v>53000</v>
      </c>
      <c r="H75" s="28">
        <f t="shared" si="9"/>
        <v>15.28846153846154</v>
      </c>
      <c r="I75" s="48">
        <v>12</v>
      </c>
      <c r="J75" s="48">
        <v>11</v>
      </c>
      <c r="K75" s="28"/>
      <c r="L75" s="28"/>
      <c r="M75" s="28"/>
      <c r="N75" s="28"/>
      <c r="O75" s="28"/>
      <c r="T75" s="27"/>
    </row>
    <row r="76" spans="1:20">
      <c r="A76" s="22"/>
      <c r="B76" s="36" t="s">
        <v>95</v>
      </c>
      <c r="C76" s="94" t="s">
        <v>30</v>
      </c>
      <c r="D76" s="80" t="s">
        <v>73</v>
      </c>
      <c r="E76" s="95">
        <v>2767.4</v>
      </c>
      <c r="F76" s="27">
        <f>E76/E120</f>
        <v>4.4349358974358974E-2</v>
      </c>
      <c r="G76" s="27">
        <v>53000</v>
      </c>
      <c r="H76" s="28">
        <f t="shared" si="9"/>
        <v>2350.5160256410254</v>
      </c>
      <c r="I76" s="28">
        <v>1823</v>
      </c>
      <c r="J76" s="28">
        <v>1463.597</v>
      </c>
      <c r="K76" s="28">
        <v>1464</v>
      </c>
      <c r="L76" s="28">
        <v>1051.5029999999999</v>
      </c>
      <c r="M76" s="28">
        <f>688.73+384.731</f>
        <v>1073.461</v>
      </c>
      <c r="N76" s="28"/>
      <c r="O76" s="28">
        <f>924.39+539.23</f>
        <v>1463.62</v>
      </c>
      <c r="T76" s="27"/>
    </row>
    <row r="77" spans="1:20">
      <c r="A77" s="22"/>
      <c r="B77" s="36" t="s">
        <v>111</v>
      </c>
      <c r="C77" s="94" t="s">
        <v>130</v>
      </c>
      <c r="D77" s="80" t="s">
        <v>73</v>
      </c>
      <c r="E77" s="95"/>
      <c r="F77" s="27"/>
      <c r="G77" s="27"/>
      <c r="H77" s="28"/>
      <c r="I77" s="28">
        <v>184</v>
      </c>
      <c r="J77" s="28">
        <v>256.77600000000001</v>
      </c>
      <c r="K77" s="28">
        <v>257</v>
      </c>
      <c r="L77" s="28">
        <v>165.81800000000001</v>
      </c>
      <c r="M77" s="28">
        <v>167.28399999999999</v>
      </c>
      <c r="N77" s="28"/>
      <c r="O77" s="28">
        <v>256.77999999999997</v>
      </c>
      <c r="T77" s="27"/>
    </row>
    <row r="78" spans="1:20">
      <c r="A78" s="22"/>
      <c r="B78" s="26" t="s">
        <v>96</v>
      </c>
      <c r="C78" s="39" t="s">
        <v>32</v>
      </c>
      <c r="D78" s="80" t="s">
        <v>73</v>
      </c>
      <c r="E78" s="77">
        <v>378.5</v>
      </c>
      <c r="F78" s="27">
        <f>E78/E120</f>
        <v>6.0657051282051282E-3</v>
      </c>
      <c r="G78" s="27">
        <v>53000</v>
      </c>
      <c r="H78" s="28">
        <f t="shared" si="9"/>
        <v>321.48237179487177</v>
      </c>
      <c r="I78" s="28">
        <v>250</v>
      </c>
      <c r="J78" s="64">
        <v>250</v>
      </c>
      <c r="K78" s="28">
        <v>250</v>
      </c>
      <c r="L78" s="28">
        <v>149.39599999999999</v>
      </c>
      <c r="M78" s="28">
        <v>149.39599999999999</v>
      </c>
      <c r="N78" s="28"/>
      <c r="O78" s="28">
        <v>185</v>
      </c>
      <c r="T78" s="27"/>
    </row>
    <row r="79" spans="1:20">
      <c r="A79" s="22"/>
      <c r="B79" s="26" t="s">
        <v>97</v>
      </c>
      <c r="C79" s="39" t="s">
        <v>34</v>
      </c>
      <c r="D79" s="80" t="s">
        <v>73</v>
      </c>
      <c r="E79" s="77">
        <v>22.2</v>
      </c>
      <c r="F79" s="27">
        <f>E79/E120</f>
        <v>3.5576923076923074E-4</v>
      </c>
      <c r="G79" s="27">
        <v>53000</v>
      </c>
      <c r="H79" s="28">
        <f t="shared" si="9"/>
        <v>18.85576923076923</v>
      </c>
      <c r="I79" s="28">
        <v>4</v>
      </c>
      <c r="J79" s="64">
        <v>4</v>
      </c>
      <c r="K79" s="28">
        <v>0</v>
      </c>
      <c r="L79" s="28"/>
      <c r="M79" s="28"/>
      <c r="N79" s="28"/>
      <c r="O79" s="28">
        <v>0</v>
      </c>
      <c r="T79" s="27"/>
    </row>
    <row r="80" spans="1:20" ht="25.5">
      <c r="A80" s="22"/>
      <c r="B80" s="26" t="s">
        <v>98</v>
      </c>
      <c r="C80" s="39" t="s">
        <v>99</v>
      </c>
      <c r="D80" s="80" t="s">
        <v>73</v>
      </c>
      <c r="E80" s="77">
        <v>410.2</v>
      </c>
      <c r="F80" s="27">
        <f>E80/E120</f>
        <v>6.5737179487179486E-3</v>
      </c>
      <c r="G80" s="27">
        <v>53000</v>
      </c>
      <c r="H80" s="28">
        <f t="shared" si="9"/>
        <v>348.40705128205127</v>
      </c>
      <c r="I80" s="28">
        <f>I81+I82</f>
        <v>417</v>
      </c>
      <c r="J80" s="64">
        <f>J81+J82</f>
        <v>302</v>
      </c>
      <c r="K80" s="28">
        <f>K81+K82</f>
        <v>277</v>
      </c>
      <c r="L80" s="28">
        <f>L81+L82</f>
        <v>301.69099999999997</v>
      </c>
      <c r="M80" s="28">
        <f>M81+M82</f>
        <v>301.69099999999997</v>
      </c>
      <c r="N80" s="28"/>
      <c r="O80" s="28">
        <v>314.58999999999997</v>
      </c>
      <c r="T80" s="27"/>
    </row>
    <row r="81" spans="1:20" hidden="1">
      <c r="A81" s="22"/>
      <c r="B81" s="26"/>
      <c r="C81" s="96" t="s">
        <v>161</v>
      </c>
      <c r="D81" s="97"/>
      <c r="E81" s="93"/>
      <c r="F81" s="75"/>
      <c r="G81" s="75"/>
      <c r="H81" s="76"/>
      <c r="I81" s="76">
        <v>210</v>
      </c>
      <c r="J81" s="28">
        <v>95</v>
      </c>
      <c r="K81" s="28">
        <v>70</v>
      </c>
      <c r="L81" s="28">
        <v>49</v>
      </c>
      <c r="M81" s="28">
        <v>49</v>
      </c>
      <c r="N81" s="28"/>
      <c r="O81" s="28"/>
      <c r="T81" s="27"/>
    </row>
    <row r="82" spans="1:20" hidden="1">
      <c r="A82" s="22"/>
      <c r="B82" s="26"/>
      <c r="C82" s="96" t="s">
        <v>162</v>
      </c>
      <c r="D82" s="97"/>
      <c r="E82" s="93"/>
      <c r="F82" s="75"/>
      <c r="G82" s="75"/>
      <c r="H82" s="76"/>
      <c r="I82" s="76">
        <v>207</v>
      </c>
      <c r="J82" s="28">
        <v>207</v>
      </c>
      <c r="K82" s="28">
        <v>207</v>
      </c>
      <c r="L82" s="28">
        <f>236.95+15.741</f>
        <v>252.69099999999997</v>
      </c>
      <c r="M82" s="28">
        <f>236.95+15.741</f>
        <v>252.69099999999997</v>
      </c>
      <c r="N82" s="28"/>
      <c r="O82" s="28">
        <v>314.58999999999997</v>
      </c>
      <c r="T82" s="27"/>
    </row>
    <row r="83" spans="1:20">
      <c r="A83" s="22"/>
      <c r="B83" s="26" t="s">
        <v>100</v>
      </c>
      <c r="C83" s="39" t="s">
        <v>37</v>
      </c>
      <c r="D83" s="80" t="s">
        <v>73</v>
      </c>
      <c r="E83" s="77">
        <v>1371</v>
      </c>
      <c r="F83" s="27">
        <f>E83/E120</f>
        <v>2.1971153846153845E-2</v>
      </c>
      <c r="G83" s="27">
        <v>53000</v>
      </c>
      <c r="H83" s="28">
        <f t="shared" si="9"/>
        <v>1164.4711538461538</v>
      </c>
      <c r="I83" s="28">
        <f>I84+I85+I87+I88</f>
        <v>1870.84</v>
      </c>
      <c r="J83" s="64">
        <f>J84+J85+J86+J87+J88</f>
        <v>1801.79</v>
      </c>
      <c r="K83" s="52">
        <f>K84+K85+K86+K87+K88</f>
        <v>1580</v>
      </c>
      <c r="L83" s="52">
        <f>L84+L85+L86+L87+L88</f>
        <v>398.69099999999997</v>
      </c>
      <c r="M83" s="52">
        <f>M84+M85+M86+M87+M88</f>
        <v>398.69099999999997</v>
      </c>
      <c r="N83" s="52">
        <f t="shared" ref="N83:O83" si="11">N84+N85+N86+N87+N88</f>
        <v>0</v>
      </c>
      <c r="O83" s="98">
        <f t="shared" si="11"/>
        <v>973.83399999999995</v>
      </c>
      <c r="T83" s="27"/>
    </row>
    <row r="84" spans="1:20" hidden="1">
      <c r="A84" s="22"/>
      <c r="B84" s="26"/>
      <c r="C84" s="96" t="s">
        <v>163</v>
      </c>
      <c r="D84" s="80"/>
      <c r="E84" s="77"/>
      <c r="F84" s="27"/>
      <c r="G84" s="27"/>
      <c r="H84" s="28"/>
      <c r="I84" s="28">
        <v>1758</v>
      </c>
      <c r="J84" s="28">
        <v>1658</v>
      </c>
      <c r="K84" s="28">
        <f>661*2+136</f>
        <v>1458</v>
      </c>
      <c r="L84" s="28">
        <v>334.61599999999999</v>
      </c>
      <c r="M84" s="28">
        <v>334.61599999999999</v>
      </c>
      <c r="N84" s="28"/>
      <c r="O84" s="28">
        <v>854.45600000000002</v>
      </c>
      <c r="T84" s="27"/>
    </row>
    <row r="85" spans="1:20" hidden="1">
      <c r="A85" s="22"/>
      <c r="B85" s="26"/>
      <c r="C85" s="96" t="s">
        <v>164</v>
      </c>
      <c r="D85" s="80"/>
      <c r="E85" s="77"/>
      <c r="F85" s="27"/>
      <c r="G85" s="27"/>
      <c r="H85" s="28"/>
      <c r="I85" s="28">
        <v>50</v>
      </c>
      <c r="J85" s="28">
        <v>40</v>
      </c>
      <c r="K85" s="28">
        <f>50+20</f>
        <v>70</v>
      </c>
      <c r="L85" s="28">
        <v>30</v>
      </c>
      <c r="M85" s="28">
        <v>30</v>
      </c>
      <c r="N85" s="28"/>
      <c r="O85" s="28">
        <v>70</v>
      </c>
      <c r="T85" s="27"/>
    </row>
    <row r="86" spans="1:20" hidden="1">
      <c r="A86" s="22"/>
      <c r="B86" s="26"/>
      <c r="C86" s="96" t="s">
        <v>165</v>
      </c>
      <c r="D86" s="80"/>
      <c r="E86" s="77"/>
      <c r="F86" s="27"/>
      <c r="G86" s="27"/>
      <c r="H86" s="28"/>
      <c r="I86" s="28"/>
      <c r="J86" s="28">
        <v>50</v>
      </c>
      <c r="K86" s="28"/>
      <c r="L86" s="28"/>
      <c r="M86" s="28"/>
      <c r="N86" s="28"/>
      <c r="O86" s="28"/>
      <c r="T86" s="27"/>
    </row>
    <row r="87" spans="1:20" hidden="1">
      <c r="A87" s="22"/>
      <c r="B87" s="26"/>
      <c r="C87" s="96" t="s">
        <v>166</v>
      </c>
      <c r="D87" s="80"/>
      <c r="E87" s="77"/>
      <c r="F87" s="27"/>
      <c r="G87" s="27"/>
      <c r="H87" s="28"/>
      <c r="I87" s="28">
        <v>23</v>
      </c>
      <c r="J87" s="28">
        <v>23</v>
      </c>
      <c r="K87" s="28">
        <v>21</v>
      </c>
      <c r="L87" s="28">
        <v>7.1870000000000003</v>
      </c>
      <c r="M87" s="28">
        <v>7.1870000000000003</v>
      </c>
      <c r="N87" s="28"/>
      <c r="O87" s="28">
        <v>10.781000000000001</v>
      </c>
      <c r="T87" s="27"/>
    </row>
    <row r="88" spans="1:20" hidden="1">
      <c r="A88" s="22"/>
      <c r="B88" s="26"/>
      <c r="C88" s="96" t="s">
        <v>167</v>
      </c>
      <c r="D88" s="80"/>
      <c r="E88" s="77"/>
      <c r="F88" s="27"/>
      <c r="G88" s="27"/>
      <c r="H88" s="28"/>
      <c r="I88" s="28">
        <f>0.332*120</f>
        <v>39.840000000000003</v>
      </c>
      <c r="J88" s="28">
        <v>30.79</v>
      </c>
      <c r="K88" s="28">
        <v>31</v>
      </c>
      <c r="L88" s="28">
        <v>26.888000000000002</v>
      </c>
      <c r="M88" s="28">
        <v>26.888000000000002</v>
      </c>
      <c r="N88" s="28"/>
      <c r="O88" s="28">
        <v>38.597000000000001</v>
      </c>
      <c r="T88" s="27"/>
    </row>
    <row r="89" spans="1:20">
      <c r="A89" s="22"/>
      <c r="B89" s="26" t="s">
        <v>101</v>
      </c>
      <c r="C89" s="39" t="s">
        <v>38</v>
      </c>
      <c r="D89" s="80" t="s">
        <v>73</v>
      </c>
      <c r="E89" s="77">
        <v>126.4</v>
      </c>
      <c r="F89" s="27">
        <f>E89/E120</f>
        <v>2.0256410256410257E-3</v>
      </c>
      <c r="G89" s="27">
        <v>53000</v>
      </c>
      <c r="H89" s="28">
        <f t="shared" si="9"/>
        <v>107.35897435897436</v>
      </c>
      <c r="I89" s="28">
        <v>100</v>
      </c>
      <c r="J89" s="28">
        <v>100</v>
      </c>
      <c r="K89" s="28">
        <v>100</v>
      </c>
      <c r="L89" s="28">
        <v>70</v>
      </c>
      <c r="M89" s="28">
        <v>70</v>
      </c>
      <c r="N89" s="28"/>
      <c r="O89" s="28">
        <v>100</v>
      </c>
      <c r="T89" s="27"/>
    </row>
    <row r="90" spans="1:20">
      <c r="A90" s="22"/>
      <c r="B90" s="26" t="s">
        <v>102</v>
      </c>
      <c r="C90" s="39" t="s">
        <v>39</v>
      </c>
      <c r="D90" s="80" t="s">
        <v>73</v>
      </c>
      <c r="E90" s="77">
        <v>535.9</v>
      </c>
      <c r="F90" s="27">
        <f>E90/E120</f>
        <v>8.5881410256410246E-3</v>
      </c>
      <c r="G90" s="27">
        <v>53000</v>
      </c>
      <c r="H90" s="28">
        <f t="shared" si="9"/>
        <v>455.17147435897431</v>
      </c>
      <c r="I90" s="28">
        <v>540</v>
      </c>
      <c r="J90" s="28">
        <v>1100</v>
      </c>
      <c r="K90" s="28">
        <v>2810</v>
      </c>
      <c r="L90" s="28">
        <v>1830.0360000000001</v>
      </c>
      <c r="M90" s="28">
        <v>1830.0360000000001</v>
      </c>
      <c r="N90" s="28"/>
      <c r="O90" s="28">
        <v>2933.2190000000001</v>
      </c>
      <c r="T90" s="27"/>
    </row>
    <row r="91" spans="1:20">
      <c r="A91" s="22"/>
      <c r="B91" s="26" t="s">
        <v>103</v>
      </c>
      <c r="C91" s="39" t="s">
        <v>40</v>
      </c>
      <c r="D91" s="80" t="s">
        <v>73</v>
      </c>
      <c r="E91" s="77">
        <v>650.6</v>
      </c>
      <c r="F91" s="27">
        <f>E91/E120</f>
        <v>1.0426282051282052E-2</v>
      </c>
      <c r="G91" s="27">
        <v>53000</v>
      </c>
      <c r="H91" s="28">
        <f t="shared" si="9"/>
        <v>552.59294871794873</v>
      </c>
      <c r="I91" s="28">
        <f>I92+I93+I94</f>
        <v>505</v>
      </c>
      <c r="J91" s="64">
        <f>J92+J93+J94+J95</f>
        <v>505.95</v>
      </c>
      <c r="K91" s="64">
        <f>K92+K93+K94+K95</f>
        <v>505</v>
      </c>
      <c r="L91" s="52">
        <f>SUM(L92:L95)</f>
        <v>288.029</v>
      </c>
      <c r="M91" s="52">
        <f>SUM(M92:M95)</f>
        <v>288.029</v>
      </c>
      <c r="N91" s="52">
        <f t="shared" ref="N91" si="12">SUM(N92:N95)</f>
        <v>0</v>
      </c>
      <c r="O91" s="98">
        <f>SUM(O92:O95)</f>
        <v>387.69500000000005</v>
      </c>
      <c r="T91" s="27"/>
    </row>
    <row r="92" spans="1:20" hidden="1">
      <c r="A92" s="22"/>
      <c r="B92" s="26"/>
      <c r="C92" s="96" t="s">
        <v>168</v>
      </c>
      <c r="D92" s="80"/>
      <c r="E92" s="77"/>
      <c r="F92" s="27"/>
      <c r="G92" s="27"/>
      <c r="H92" s="28"/>
      <c r="I92" s="28">
        <v>400</v>
      </c>
      <c r="J92" s="28">
        <v>400</v>
      </c>
      <c r="K92" s="28">
        <v>400</v>
      </c>
      <c r="L92" s="28">
        <v>239.68600000000001</v>
      </c>
      <c r="M92" s="28">
        <v>239.68600000000001</v>
      </c>
      <c r="N92" s="28"/>
      <c r="O92" s="28">
        <v>332.68900000000002</v>
      </c>
      <c r="T92" s="27"/>
    </row>
    <row r="93" spans="1:20" hidden="1">
      <c r="A93" s="22"/>
      <c r="B93" s="26"/>
      <c r="C93" s="96" t="s">
        <v>169</v>
      </c>
      <c r="D93" s="80"/>
      <c r="E93" s="77"/>
      <c r="F93" s="27"/>
      <c r="G93" s="27"/>
      <c r="H93" s="28"/>
      <c r="I93" s="28">
        <v>20</v>
      </c>
      <c r="J93" s="28">
        <v>29.05</v>
      </c>
      <c r="K93" s="28">
        <v>29</v>
      </c>
      <c r="L93" s="28">
        <v>2.5979999999999999</v>
      </c>
      <c r="M93" s="28">
        <v>2.5979999999999999</v>
      </c>
      <c r="N93" s="28"/>
      <c r="O93" s="28">
        <v>4.0979999999999999</v>
      </c>
      <c r="T93" s="27"/>
    </row>
    <row r="94" spans="1:20" hidden="1">
      <c r="A94" s="22"/>
      <c r="B94" s="26"/>
      <c r="C94" s="96" t="s">
        <v>170</v>
      </c>
      <c r="D94" s="80"/>
      <c r="E94" s="77"/>
      <c r="F94" s="27"/>
      <c r="G94" s="27"/>
      <c r="H94" s="28"/>
      <c r="I94" s="28">
        <f>60+25</f>
        <v>85</v>
      </c>
      <c r="J94" s="28">
        <v>40</v>
      </c>
      <c r="K94" s="28">
        <v>39</v>
      </c>
      <c r="L94" s="28">
        <v>33.664999999999999</v>
      </c>
      <c r="M94" s="28">
        <v>33.664999999999999</v>
      </c>
      <c r="N94" s="28"/>
      <c r="O94" s="28">
        <v>38.826999999999998</v>
      </c>
      <c r="T94" s="27"/>
    </row>
    <row r="95" spans="1:20" hidden="1">
      <c r="A95" s="22"/>
      <c r="B95" s="26"/>
      <c r="C95" s="96" t="s">
        <v>171</v>
      </c>
      <c r="D95" s="80"/>
      <c r="E95" s="77"/>
      <c r="F95" s="27"/>
      <c r="G95" s="27"/>
      <c r="H95" s="28"/>
      <c r="I95" s="28"/>
      <c r="J95" s="28">
        <v>36.9</v>
      </c>
      <c r="K95" s="28">
        <v>37</v>
      </c>
      <c r="L95" s="28">
        <v>12.08</v>
      </c>
      <c r="M95" s="28">
        <v>12.08</v>
      </c>
      <c r="N95" s="28"/>
      <c r="O95" s="28">
        <v>12.081</v>
      </c>
      <c r="T95" s="27"/>
    </row>
    <row r="96" spans="1:20">
      <c r="A96" s="22"/>
      <c r="B96" s="26" t="s">
        <v>104</v>
      </c>
      <c r="C96" s="39" t="s">
        <v>42</v>
      </c>
      <c r="D96" s="80" t="s">
        <v>73</v>
      </c>
      <c r="E96" s="77">
        <v>2436.8000000000002</v>
      </c>
      <c r="F96" s="27">
        <f>E96/E120</f>
        <v>3.9051282051282055E-2</v>
      </c>
      <c r="G96" s="27">
        <v>53000</v>
      </c>
      <c r="H96" s="28">
        <f t="shared" si="9"/>
        <v>2069.7179487179487</v>
      </c>
      <c r="I96" s="28">
        <f>I97+I98+I99</f>
        <v>2251.2800000000002</v>
      </c>
      <c r="J96" s="64">
        <f>J97+J98+J99</f>
        <v>2251.2800000000002</v>
      </c>
      <c r="K96" s="64">
        <f>K97+K98+K99</f>
        <v>2421</v>
      </c>
      <c r="L96" s="52">
        <f>SUM(L97:L99)</f>
        <v>1746.7330000000002</v>
      </c>
      <c r="M96" s="52">
        <f>SUM(M97:M99)</f>
        <v>1746.7330000000002</v>
      </c>
      <c r="N96" s="52">
        <f>SUM(N97:N99)</f>
        <v>0</v>
      </c>
      <c r="O96" s="99">
        <f>SUM(O97:O99)</f>
        <v>2328.6369999999997</v>
      </c>
      <c r="T96" s="27"/>
    </row>
    <row r="97" spans="1:20" hidden="1">
      <c r="A97" s="22"/>
      <c r="B97" s="26"/>
      <c r="C97" s="96" t="s">
        <v>172</v>
      </c>
      <c r="D97" s="80"/>
      <c r="E97" s="77"/>
      <c r="F97" s="27"/>
      <c r="G97" s="27"/>
      <c r="H97" s="28"/>
      <c r="I97" s="28">
        <f>350*1.07</f>
        <v>374.5</v>
      </c>
      <c r="J97" s="28">
        <v>374.5</v>
      </c>
      <c r="K97" s="28">
        <v>375</v>
      </c>
      <c r="L97" s="28">
        <v>258.79300000000001</v>
      </c>
      <c r="M97" s="28">
        <v>258.79300000000001</v>
      </c>
      <c r="N97" s="28"/>
      <c r="O97" s="55">
        <v>345.05799999999999</v>
      </c>
      <c r="T97" s="27"/>
    </row>
    <row r="98" spans="1:20" hidden="1">
      <c r="A98" s="22"/>
      <c r="B98" s="26"/>
      <c r="C98" s="96" t="s">
        <v>173</v>
      </c>
      <c r="D98" s="80"/>
      <c r="E98" s="77"/>
      <c r="F98" s="27"/>
      <c r="G98" s="27"/>
      <c r="H98" s="28"/>
      <c r="I98" s="28">
        <f>1618*1.07</f>
        <v>1731.26</v>
      </c>
      <c r="J98" s="28">
        <v>1731.26</v>
      </c>
      <c r="K98" s="28">
        <v>1900</v>
      </c>
      <c r="L98" s="28">
        <f>1386.963+0.53</f>
        <v>1387.4929999999999</v>
      </c>
      <c r="M98" s="28">
        <f>1386.963+0.53</f>
        <v>1387.4929999999999</v>
      </c>
      <c r="N98" s="28"/>
      <c r="O98" s="55">
        <v>1849.2829999999999</v>
      </c>
      <c r="T98" s="27"/>
    </row>
    <row r="99" spans="1:20" hidden="1">
      <c r="A99" s="22"/>
      <c r="B99" s="26"/>
      <c r="C99" s="96" t="s">
        <v>174</v>
      </c>
      <c r="D99" s="80"/>
      <c r="E99" s="77"/>
      <c r="F99" s="27"/>
      <c r="G99" s="27"/>
      <c r="H99" s="28"/>
      <c r="I99" s="28">
        <f>136*1.07</f>
        <v>145.52000000000001</v>
      </c>
      <c r="J99" s="28">
        <v>145.52000000000001</v>
      </c>
      <c r="K99" s="28">
        <v>146</v>
      </c>
      <c r="L99" s="28">
        <v>100.447</v>
      </c>
      <c r="M99" s="28">
        <v>100.447</v>
      </c>
      <c r="N99" s="28"/>
      <c r="O99" s="55">
        <v>134.29599999999999</v>
      </c>
      <c r="T99" s="27"/>
    </row>
    <row r="100" spans="1:20">
      <c r="A100" s="22"/>
      <c r="B100" s="26" t="s">
        <v>105</v>
      </c>
      <c r="C100" s="39" t="s">
        <v>44</v>
      </c>
      <c r="D100" s="80" t="s">
        <v>73</v>
      </c>
      <c r="E100" s="77">
        <v>73.3</v>
      </c>
      <c r="F100" s="27">
        <f>E100/E120</f>
        <v>1.1746794871794872E-3</v>
      </c>
      <c r="G100" s="27">
        <v>53000</v>
      </c>
      <c r="H100" s="28">
        <f t="shared" si="9"/>
        <v>62.258012820512818</v>
      </c>
      <c r="I100" s="28">
        <v>61</v>
      </c>
      <c r="J100" s="64">
        <v>61</v>
      </c>
      <c r="K100" s="28">
        <v>113</v>
      </c>
      <c r="L100" s="28">
        <v>56.563000000000002</v>
      </c>
      <c r="M100" s="28">
        <v>56.563000000000002</v>
      </c>
      <c r="N100" s="28"/>
      <c r="O100" s="55">
        <v>113</v>
      </c>
      <c r="T100" s="27"/>
    </row>
    <row r="101" spans="1:20">
      <c r="A101" s="22"/>
      <c r="B101" s="26" t="s">
        <v>106</v>
      </c>
      <c r="C101" s="39" t="s">
        <v>45</v>
      </c>
      <c r="D101" s="80" t="s">
        <v>73</v>
      </c>
      <c r="E101" s="77">
        <v>415.82</v>
      </c>
      <c r="F101" s="27">
        <f>E101/E120</f>
        <v>6.6637820512820516E-3</v>
      </c>
      <c r="G101" s="27">
        <v>53000</v>
      </c>
      <c r="H101" s="28">
        <f t="shared" si="9"/>
        <v>353.18044871794871</v>
      </c>
      <c r="I101" s="28">
        <f>I102+I103+I110+I104+I105+I106+I107+I109+I108</f>
        <v>575</v>
      </c>
      <c r="J101" s="64">
        <f>J102+J103+J110+J104+J105+J106+J107+J109+J108</f>
        <v>1871.81</v>
      </c>
      <c r="K101" s="64">
        <f>K102+K103+K110+K104+K105+K106+K107+K109+K108+K111+K116</f>
        <v>1494</v>
      </c>
      <c r="L101" s="52">
        <f>SUM(L102:L116)</f>
        <v>1480.4860000000001</v>
      </c>
      <c r="M101" s="52">
        <f>SUM(M102:M116)</f>
        <v>1055.7339999999999</v>
      </c>
      <c r="N101" s="52">
        <f t="shared" ref="N101:O101" si="13">SUM(N102:N116)</f>
        <v>0</v>
      </c>
      <c r="O101" s="52">
        <f t="shared" si="13"/>
        <v>1490.4860000000001</v>
      </c>
      <c r="T101" s="27"/>
    </row>
    <row r="102" spans="1:20" hidden="1">
      <c r="A102" s="22"/>
      <c r="B102" s="94"/>
      <c r="C102" s="100" t="s">
        <v>175</v>
      </c>
      <c r="D102" s="80"/>
      <c r="E102" s="77"/>
      <c r="F102" s="27"/>
      <c r="G102" s="27"/>
      <c r="H102" s="28"/>
      <c r="I102" s="28">
        <v>270</v>
      </c>
      <c r="J102" s="28">
        <f>164.06+55.94</f>
        <v>220</v>
      </c>
      <c r="K102" s="28">
        <v>220</v>
      </c>
      <c r="L102" s="28">
        <v>333.90800000000002</v>
      </c>
      <c r="M102" s="28">
        <f>2.225+231.333+9.269</f>
        <v>242.827</v>
      </c>
      <c r="N102" s="28"/>
      <c r="O102" s="101">
        <v>333.90800000000002</v>
      </c>
      <c r="T102" s="27"/>
    </row>
    <row r="103" spans="1:20" hidden="1">
      <c r="A103" s="22"/>
      <c r="B103" s="94"/>
      <c r="C103" s="100" t="s">
        <v>176</v>
      </c>
      <c r="D103" s="80"/>
      <c r="E103" s="77"/>
      <c r="F103" s="27"/>
      <c r="G103" s="27"/>
      <c r="H103" s="28"/>
      <c r="I103" s="28">
        <v>11</v>
      </c>
      <c r="J103" s="28">
        <v>11</v>
      </c>
      <c r="K103" s="28">
        <v>7</v>
      </c>
      <c r="L103" s="28">
        <v>7</v>
      </c>
      <c r="M103" s="28">
        <v>4.2</v>
      </c>
      <c r="N103" s="28"/>
      <c r="O103" s="101">
        <v>7</v>
      </c>
      <c r="T103" s="27"/>
    </row>
    <row r="104" spans="1:20" hidden="1">
      <c r="A104" s="22"/>
      <c r="B104" s="94"/>
      <c r="C104" s="102" t="s">
        <v>177</v>
      </c>
      <c r="D104" s="80"/>
      <c r="E104" s="77"/>
      <c r="F104" s="27"/>
      <c r="G104" s="27"/>
      <c r="H104" s="28"/>
      <c r="I104" s="28">
        <v>50</v>
      </c>
      <c r="J104" s="28">
        <v>50</v>
      </c>
      <c r="K104" s="28">
        <v>50</v>
      </c>
      <c r="L104" s="28">
        <v>237.5</v>
      </c>
      <c r="M104" s="28"/>
      <c r="N104" s="28"/>
      <c r="O104" s="101">
        <v>237.5</v>
      </c>
      <c r="P104" s="19" t="s">
        <v>178</v>
      </c>
      <c r="T104" s="27"/>
    </row>
    <row r="105" spans="1:20" hidden="1">
      <c r="A105" s="22"/>
      <c r="B105" s="94"/>
      <c r="C105" s="102" t="s">
        <v>179</v>
      </c>
      <c r="D105" s="80"/>
      <c r="E105" s="77"/>
      <c r="F105" s="27"/>
      <c r="G105" s="27"/>
      <c r="H105" s="28"/>
      <c r="I105" s="28">
        <v>60</v>
      </c>
      <c r="J105" s="28">
        <v>60</v>
      </c>
      <c r="K105" s="28">
        <v>70</v>
      </c>
      <c r="L105" s="28">
        <v>60</v>
      </c>
      <c r="M105" s="28">
        <v>60</v>
      </c>
      <c r="N105" s="28"/>
      <c r="O105" s="101">
        <v>70</v>
      </c>
      <c r="T105" s="27"/>
    </row>
    <row r="106" spans="1:20" hidden="1">
      <c r="A106" s="22"/>
      <c r="B106" s="94"/>
      <c r="C106" s="102" t="s">
        <v>180</v>
      </c>
      <c r="D106" s="80"/>
      <c r="E106" s="77"/>
      <c r="F106" s="27"/>
      <c r="G106" s="27"/>
      <c r="H106" s="28"/>
      <c r="I106" s="28">
        <v>14</v>
      </c>
      <c r="J106" s="28">
        <v>14</v>
      </c>
      <c r="K106" s="28">
        <v>14</v>
      </c>
      <c r="L106" s="28">
        <f>14+40.147</f>
        <v>54.146999999999998</v>
      </c>
      <c r="M106" s="28">
        <f>11.147+40.147</f>
        <v>51.293999999999997</v>
      </c>
      <c r="N106" s="28"/>
      <c r="O106" s="101">
        <f>14+40.147</f>
        <v>54.146999999999998</v>
      </c>
      <c r="P106" s="19" t="s">
        <v>181</v>
      </c>
      <c r="T106" s="27"/>
    </row>
    <row r="107" spans="1:20" hidden="1">
      <c r="A107" s="22"/>
      <c r="B107" s="94"/>
      <c r="C107" s="103" t="s">
        <v>182</v>
      </c>
      <c r="D107" s="80"/>
      <c r="E107" s="77"/>
      <c r="F107" s="27"/>
      <c r="G107" s="27"/>
      <c r="H107" s="28"/>
      <c r="I107" s="28">
        <v>25</v>
      </c>
      <c r="J107" s="28">
        <v>25</v>
      </c>
      <c r="K107" s="28">
        <v>25</v>
      </c>
      <c r="L107" s="28">
        <f>21.321+13.681</f>
        <v>35.002000000000002</v>
      </c>
      <c r="M107" s="28">
        <v>29.513999999999999</v>
      </c>
      <c r="N107" s="28"/>
      <c r="O107" s="101">
        <f>21.321+13.681</f>
        <v>35.002000000000002</v>
      </c>
      <c r="P107" s="19" t="s">
        <v>181</v>
      </c>
      <c r="T107" s="27"/>
    </row>
    <row r="108" spans="1:20" hidden="1">
      <c r="A108" s="22"/>
      <c r="B108" s="94"/>
      <c r="C108" s="104" t="s">
        <v>183</v>
      </c>
      <c r="D108" s="80"/>
      <c r="E108" s="77"/>
      <c r="F108" s="27"/>
      <c r="G108" s="27"/>
      <c r="H108" s="28"/>
      <c r="I108" s="28">
        <v>90</v>
      </c>
      <c r="J108" s="28">
        <v>90</v>
      </c>
      <c r="K108" s="28">
        <v>90</v>
      </c>
      <c r="L108" s="28">
        <v>90</v>
      </c>
      <c r="M108" s="28"/>
      <c r="N108" s="28"/>
      <c r="O108" s="101">
        <v>90</v>
      </c>
      <c r="T108" s="27"/>
    </row>
    <row r="109" spans="1:20" hidden="1">
      <c r="A109" s="22"/>
      <c r="B109" s="94"/>
      <c r="C109" s="105" t="s">
        <v>161</v>
      </c>
      <c r="D109" s="106"/>
      <c r="E109" s="107"/>
      <c r="F109" s="108"/>
      <c r="G109" s="108"/>
      <c r="H109" s="109"/>
      <c r="I109" s="109">
        <v>50</v>
      </c>
      <c r="J109" s="109">
        <v>824.61</v>
      </c>
      <c r="K109" s="109">
        <v>200</v>
      </c>
      <c r="L109" s="109">
        <v>70</v>
      </c>
      <c r="M109" s="109"/>
      <c r="N109" s="109"/>
      <c r="O109" s="110">
        <v>70</v>
      </c>
      <c r="T109" s="27"/>
    </row>
    <row r="110" spans="1:20" hidden="1">
      <c r="A110" s="22"/>
      <c r="B110" s="94"/>
      <c r="C110" s="103" t="s">
        <v>184</v>
      </c>
      <c r="D110" s="80"/>
      <c r="E110" s="77"/>
      <c r="F110" s="27"/>
      <c r="G110" s="27"/>
      <c r="H110" s="28"/>
      <c r="I110" s="28">
        <v>5</v>
      </c>
      <c r="J110" s="28">
        <f>240*2.405</f>
        <v>577.19999999999993</v>
      </c>
      <c r="K110" s="28">
        <v>418</v>
      </c>
      <c r="L110" s="28">
        <v>417.59399999999999</v>
      </c>
      <c r="M110" s="28">
        <v>417.56400000000002</v>
      </c>
      <c r="N110" s="28"/>
      <c r="O110" s="110">
        <v>417.59399999999999</v>
      </c>
      <c r="T110" s="27"/>
    </row>
    <row r="111" spans="1:20" hidden="1">
      <c r="A111" s="22"/>
      <c r="B111" s="94"/>
      <c r="C111" s="104" t="s">
        <v>185</v>
      </c>
      <c r="D111" s="80"/>
      <c r="E111" s="77"/>
      <c r="F111" s="27"/>
      <c r="G111" s="111"/>
      <c r="H111" s="28"/>
      <c r="I111" s="28"/>
      <c r="J111" s="28"/>
      <c r="K111" s="28">
        <v>250</v>
      </c>
      <c r="L111" s="28"/>
      <c r="M111" s="28"/>
      <c r="N111" s="28"/>
      <c r="O111" s="28"/>
      <c r="T111" s="27"/>
    </row>
    <row r="112" spans="1:20" hidden="1">
      <c r="A112" s="22"/>
      <c r="B112" s="94"/>
      <c r="C112" s="104" t="s">
        <v>186</v>
      </c>
      <c r="D112" s="80"/>
      <c r="E112" s="77"/>
      <c r="F112" s="27"/>
      <c r="G112" s="111"/>
      <c r="H112" s="28"/>
      <c r="I112" s="28"/>
      <c r="J112" s="28"/>
      <c r="K112" s="28"/>
      <c r="L112" s="28">
        <v>147.94800000000001</v>
      </c>
      <c r="M112" s="28">
        <v>147.94800000000001</v>
      </c>
      <c r="N112" s="28"/>
      <c r="O112" s="101">
        <v>147.94800000000001</v>
      </c>
      <c r="T112" s="27"/>
    </row>
    <row r="113" spans="1:20" hidden="1">
      <c r="A113" s="22"/>
      <c r="B113" s="94"/>
      <c r="C113" s="104" t="s">
        <v>187</v>
      </c>
      <c r="D113" s="80"/>
      <c r="E113" s="77"/>
      <c r="F113" s="27"/>
      <c r="G113" s="111"/>
      <c r="H113" s="28"/>
      <c r="I113" s="28"/>
      <c r="J113" s="28"/>
      <c r="K113" s="28"/>
      <c r="L113" s="28"/>
      <c r="M113" s="28">
        <v>75</v>
      </c>
      <c r="N113" s="28"/>
      <c r="O113" s="28"/>
      <c r="T113" s="27"/>
    </row>
    <row r="114" spans="1:20" hidden="1">
      <c r="A114" s="22"/>
      <c r="B114" s="94"/>
      <c r="C114" s="104" t="s">
        <v>188</v>
      </c>
      <c r="D114" s="80"/>
      <c r="E114" s="77"/>
      <c r="F114" s="27"/>
      <c r="G114" s="111"/>
      <c r="H114" s="28"/>
      <c r="I114" s="28"/>
      <c r="J114" s="28"/>
      <c r="K114" s="28"/>
      <c r="L114" s="28">
        <v>10.452999999999999</v>
      </c>
      <c r="M114" s="28">
        <v>10.452999999999999</v>
      </c>
      <c r="N114" s="28"/>
      <c r="O114" s="101">
        <v>10.452999999999999</v>
      </c>
      <c r="T114" s="27"/>
    </row>
    <row r="115" spans="1:20" hidden="1">
      <c r="A115" s="22"/>
      <c r="B115" s="94"/>
      <c r="C115" s="104" t="s">
        <v>189</v>
      </c>
      <c r="D115" s="80"/>
      <c r="E115" s="77"/>
      <c r="F115" s="27"/>
      <c r="G115" s="111"/>
      <c r="H115" s="28"/>
      <c r="I115" s="28"/>
      <c r="J115" s="28"/>
      <c r="K115" s="28"/>
      <c r="L115" s="28">
        <v>16.934000000000001</v>
      </c>
      <c r="M115" s="28">
        <v>16.934000000000001</v>
      </c>
      <c r="N115" s="28"/>
      <c r="O115" s="101">
        <v>16.934000000000001</v>
      </c>
      <c r="T115" s="27"/>
    </row>
    <row r="116" spans="1:20" hidden="1">
      <c r="A116" s="22"/>
      <c r="B116" s="94"/>
      <c r="C116" s="104" t="s">
        <v>190</v>
      </c>
      <c r="D116" s="80"/>
      <c r="E116" s="77"/>
      <c r="F116" s="27"/>
      <c r="G116" s="111"/>
      <c r="H116" s="28"/>
      <c r="I116" s="28"/>
      <c r="J116" s="28"/>
      <c r="K116" s="28">
        <v>150</v>
      </c>
      <c r="L116" s="28"/>
      <c r="M116" s="28"/>
      <c r="N116" s="28"/>
      <c r="O116" s="28"/>
      <c r="T116" s="27"/>
    </row>
    <row r="117" spans="1:20">
      <c r="A117" s="22"/>
      <c r="B117" s="112" t="s">
        <v>46</v>
      </c>
      <c r="C117" s="113" t="s">
        <v>47</v>
      </c>
      <c r="D117" s="94" t="s">
        <v>3</v>
      </c>
      <c r="E117" s="114">
        <f>E66+E16</f>
        <v>83522.800000000017</v>
      </c>
      <c r="F117" s="115">
        <f>F66+F16</f>
        <v>1.4385041666666667</v>
      </c>
      <c r="G117" s="116"/>
      <c r="H117" s="52">
        <f t="shared" ref="H117:M117" si="14">H66+H16</f>
        <v>70940.820833333317</v>
      </c>
      <c r="I117" s="115">
        <f t="shared" si="14"/>
        <v>64951.629000000001</v>
      </c>
      <c r="J117" s="52">
        <f t="shared" si="14"/>
        <v>61241.427000000003</v>
      </c>
      <c r="K117" s="52">
        <f t="shared" si="14"/>
        <v>62329.995000000003</v>
      </c>
      <c r="L117" s="52">
        <f t="shared" si="14"/>
        <v>52994.69200000001</v>
      </c>
      <c r="M117" s="52">
        <f t="shared" si="14"/>
        <v>44480.233999999997</v>
      </c>
      <c r="N117" s="52"/>
      <c r="O117" s="52">
        <f>O66+O16</f>
        <v>66221.106</v>
      </c>
      <c r="Q117" s="20">
        <f>O18+O19+O20+O22+O25+O26+O27+O32+O33+O35+O37+O38+O48+O56+O57+O58+O59+O60+O61+O63+O64</f>
        <v>37619.191000000013</v>
      </c>
      <c r="R117" s="117">
        <f>O69+O70+O71+O73+O76+O77+O78+O80+O84+O85+O86+O87+O88+O89+O90+O92+O93+O94+O95+O97+O98+O99+O100+O102+O103+O104+O105+O106+O107+O108+O109+O110+O111+O112+O113+O114+O115+O116</f>
        <v>28601.915000000001</v>
      </c>
      <c r="T117" s="27"/>
    </row>
    <row r="118" spans="1:20">
      <c r="A118" s="22"/>
      <c r="B118" s="112" t="s">
        <v>48</v>
      </c>
      <c r="C118" s="86" t="s">
        <v>107</v>
      </c>
      <c r="D118" s="94" t="s">
        <v>3</v>
      </c>
      <c r="E118" s="31">
        <v>227.8</v>
      </c>
      <c r="H118" s="28"/>
      <c r="I118" s="28">
        <f>I119-I117</f>
        <v>413.37099999999919</v>
      </c>
      <c r="J118" s="28">
        <f>J119-J117</f>
        <v>787.57299999999668</v>
      </c>
      <c r="K118" s="64">
        <f>K119-K117</f>
        <v>4.9999999973806553E-3</v>
      </c>
      <c r="L118" s="64">
        <f>L119-L117</f>
        <v>2035.7599999999875</v>
      </c>
      <c r="M118" s="64">
        <f>M119-M117</f>
        <v>10550.218000000001</v>
      </c>
      <c r="N118" s="64"/>
      <c r="O118" s="52">
        <f t="shared" ref="O118" si="15">O119-O117</f>
        <v>749.99599999999919</v>
      </c>
      <c r="T118" s="27"/>
    </row>
    <row r="119" spans="1:20">
      <c r="A119" s="22"/>
      <c r="B119" s="112" t="s">
        <v>49</v>
      </c>
      <c r="C119" s="86" t="s">
        <v>50</v>
      </c>
      <c r="D119" s="94" t="s">
        <v>3</v>
      </c>
      <c r="E119" s="31">
        <f>E117+E118</f>
        <v>83750.60000000002</v>
      </c>
      <c r="F119" s="118"/>
      <c r="H119" s="28">
        <f>E119/E120*G120</f>
        <v>71134.323717948733</v>
      </c>
      <c r="I119" s="28">
        <v>65365</v>
      </c>
      <c r="J119" s="28">
        <v>62029</v>
      </c>
      <c r="K119" s="29">
        <v>62330</v>
      </c>
      <c r="L119" s="119">
        <v>55030.451999999997</v>
      </c>
      <c r="M119" s="119">
        <v>55030.451999999997</v>
      </c>
      <c r="N119" s="119"/>
      <c r="O119" s="52">
        <v>66971.101999999999</v>
      </c>
      <c r="T119" s="27"/>
    </row>
    <row r="120" spans="1:20" ht="38.25">
      <c r="A120" s="22"/>
      <c r="B120" s="126" t="s">
        <v>51</v>
      </c>
      <c r="C120" s="86" t="s">
        <v>52</v>
      </c>
      <c r="D120" s="94" t="s">
        <v>53</v>
      </c>
      <c r="E120" s="42">
        <v>62400</v>
      </c>
      <c r="G120" s="19">
        <v>53000</v>
      </c>
      <c r="H120" s="28"/>
      <c r="I120" s="48">
        <v>53000</v>
      </c>
      <c r="J120" s="48">
        <v>50300</v>
      </c>
      <c r="K120" s="29">
        <v>51000</v>
      </c>
      <c r="L120" s="29">
        <v>45697.711000000003</v>
      </c>
      <c r="M120" s="29">
        <v>45697.711000000003</v>
      </c>
      <c r="N120" s="29"/>
      <c r="O120" s="60">
        <v>54812.711000000003</v>
      </c>
      <c r="T120" s="127" t="s">
        <v>112</v>
      </c>
    </row>
    <row r="121" spans="1:20">
      <c r="A121" s="22"/>
      <c r="B121" s="112" t="s">
        <v>54</v>
      </c>
      <c r="C121" s="86" t="s">
        <v>55</v>
      </c>
      <c r="D121" s="94" t="s">
        <v>56</v>
      </c>
      <c r="E121" s="120">
        <f>E119/E120</f>
        <v>1.3421570512820515</v>
      </c>
      <c r="H121" s="28"/>
      <c r="I121" s="28"/>
      <c r="J121" s="28"/>
      <c r="K121" s="28"/>
      <c r="L121" s="28"/>
      <c r="M121" s="28"/>
      <c r="N121" s="28"/>
      <c r="O121" s="52" t="s">
        <v>191</v>
      </c>
      <c r="T121" s="27"/>
    </row>
    <row r="123" spans="1:20" s="2" customFormat="1" ht="15">
      <c r="B123" s="14" t="s">
        <v>66</v>
      </c>
      <c r="C123" s="14"/>
      <c r="D123" s="14"/>
      <c r="E123" s="14"/>
      <c r="H123" s="11"/>
    </row>
    <row r="124" spans="1:20" s="2" customFormat="1" ht="15">
      <c r="B124" s="14" t="s">
        <v>65</v>
      </c>
      <c r="C124" s="14"/>
      <c r="D124" s="14"/>
      <c r="E124" s="14"/>
      <c r="H124" s="11"/>
    </row>
    <row r="125" spans="1:20" s="2" customFormat="1" ht="15">
      <c r="B125" s="14" t="s">
        <v>64</v>
      </c>
      <c r="C125" s="14"/>
      <c r="D125" s="14"/>
      <c r="E125" s="14"/>
      <c r="H125" s="11"/>
    </row>
    <row r="126" spans="1:20" s="2" customFormat="1" ht="15">
      <c r="B126" s="14" t="s">
        <v>67</v>
      </c>
      <c r="C126" s="14"/>
      <c r="D126" s="14"/>
      <c r="E126" s="14"/>
      <c r="H126" s="11"/>
    </row>
    <row r="127" spans="1:20" s="2" customFormat="1" ht="15">
      <c r="B127" s="14"/>
      <c r="C127" s="14"/>
      <c r="D127" s="14"/>
      <c r="E127" s="14"/>
      <c r="H127" s="11"/>
    </row>
    <row r="128" spans="1:20" s="5" customFormat="1" ht="14.25">
      <c r="B128" s="6"/>
      <c r="C128" s="5" t="s">
        <v>68</v>
      </c>
      <c r="E128" s="5" t="s">
        <v>57</v>
      </c>
      <c r="F128" s="15" t="s">
        <v>57</v>
      </c>
      <c r="G128" s="15"/>
      <c r="H128" s="12"/>
    </row>
    <row r="129" spans="2:8" s="5" customFormat="1" ht="14.25">
      <c r="B129" s="6"/>
      <c r="F129" s="6"/>
      <c r="H129" s="12"/>
    </row>
    <row r="130" spans="2:8" s="5" customFormat="1" ht="14.25">
      <c r="B130" s="6"/>
      <c r="C130" s="5" t="s">
        <v>69</v>
      </c>
      <c r="E130" s="5" t="s">
        <v>70</v>
      </c>
      <c r="F130" s="15" t="s">
        <v>70</v>
      </c>
      <c r="G130" s="15"/>
      <c r="H130" s="12"/>
    </row>
    <row r="131" spans="2:8" s="5" customFormat="1" ht="14.25">
      <c r="B131" s="6"/>
      <c r="D131" s="6"/>
      <c r="H131" s="12"/>
    </row>
    <row r="132" spans="2:8" s="2" customFormat="1" ht="15">
      <c r="B132" s="3"/>
      <c r="D132" s="3"/>
      <c r="H132" s="11"/>
    </row>
  </sheetData>
  <mergeCells count="16">
    <mergeCell ref="F130:G130"/>
    <mergeCell ref="D4:O4"/>
    <mergeCell ref="D5:T5"/>
    <mergeCell ref="B123:E123"/>
    <mergeCell ref="B124:E124"/>
    <mergeCell ref="B125:E125"/>
    <mergeCell ref="B126:E126"/>
    <mergeCell ref="B127:E127"/>
    <mergeCell ref="F128:G128"/>
    <mergeCell ref="B7:O7"/>
    <mergeCell ref="B13:C13"/>
    <mergeCell ref="B9:O9"/>
    <mergeCell ref="B10:O10"/>
    <mergeCell ref="B22:B24"/>
    <mergeCell ref="B73:B75"/>
    <mergeCell ref="B12:C12"/>
  </mergeCells>
  <pageMargins left="0.19685039370078741" right="0.19685039370078741" top="0.31496062992125984" bottom="0.51181102362204722" header="0.23622047244094491" footer="0.51181102362204722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</vt:lpstr>
      <vt:lpstr>отчет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Ботагоз</dc:creator>
  <cp:lastModifiedBy>Елена</cp:lastModifiedBy>
  <cp:lastPrinted>2018-12-10T13:01:33Z</cp:lastPrinted>
  <dcterms:created xsi:type="dcterms:W3CDTF">2016-06-28T08:41:18Z</dcterms:created>
  <dcterms:modified xsi:type="dcterms:W3CDTF">2018-12-10T13:06:49Z</dcterms:modified>
</cp:coreProperties>
</file>