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1015" windowHeight="3345" firstSheet="11" activeTab="11"/>
  </bookViews>
  <sheets>
    <sheet name="ян" sheetId="30" state="hidden" r:id="rId1"/>
    <sheet name="фев" sheetId="31" state="hidden" r:id="rId2"/>
    <sheet name="март" sheetId="32" state="hidden" r:id="rId3"/>
    <sheet name="апр" sheetId="33" state="hidden" r:id="rId4"/>
    <sheet name="май" sheetId="34" state="hidden" r:id="rId5"/>
    <sheet name="июнь" sheetId="35" state="hidden" r:id="rId6"/>
    <sheet name="июль" sheetId="36" state="hidden" r:id="rId7"/>
    <sheet name="август" sheetId="37" state="hidden" r:id="rId8"/>
    <sheet name="сентябрь" sheetId="38" state="hidden" r:id="rId9"/>
    <sheet name="октябрь" sheetId="40" state="hidden" r:id="rId10"/>
    <sheet name="ноябрь" sheetId="41" state="hidden" r:id="rId11"/>
    <sheet name="ноябрь за 11 мес" sheetId="42" r:id="rId12"/>
    <sheet name="сентябрь на корретировку" sheetId="39" state="hidden" r:id="rId13"/>
  </sheets>
  <calcPr calcId="125725"/>
</workbook>
</file>

<file path=xl/calcChain.xml><?xml version="1.0" encoding="utf-8"?>
<calcChain xmlns="http://schemas.openxmlformats.org/spreadsheetml/2006/main">
  <c r="O221" i="42"/>
  <c r="P221" s="1"/>
  <c r="O222"/>
  <c r="P222" s="1"/>
  <c r="O223"/>
  <c r="P223" s="1"/>
  <c r="O224"/>
  <c r="P224"/>
  <c r="J193"/>
  <c r="J110"/>
  <c r="J95"/>
  <c r="J94"/>
  <c r="J72"/>
  <c r="J11"/>
  <c r="J15"/>
  <c r="J12"/>
  <c r="F125" i="41"/>
  <c r="F109"/>
  <c r="F48"/>
  <c r="F183"/>
  <c r="H212"/>
  <c r="F162"/>
  <c r="J161" i="42"/>
  <c r="J207"/>
  <c r="J206"/>
  <c r="J201"/>
  <c r="J199"/>
  <c r="J197"/>
  <c r="J196"/>
  <c r="J191"/>
  <c r="J189"/>
  <c r="J188"/>
  <c r="J187"/>
  <c r="J182"/>
  <c r="J179"/>
  <c r="K179" s="1"/>
  <c r="J180"/>
  <c r="K180" s="1"/>
  <c r="J175"/>
  <c r="K175" s="1"/>
  <c r="J172"/>
  <c r="J169"/>
  <c r="K169" s="1"/>
  <c r="J163"/>
  <c r="K163" s="1"/>
  <c r="J154"/>
  <c r="J153"/>
  <c r="J152"/>
  <c r="J151"/>
  <c r="J227" s="1"/>
  <c r="O227" s="1"/>
  <c r="P227" s="1"/>
  <c r="J148"/>
  <c r="J150" s="1"/>
  <c r="J147"/>
  <c r="I231"/>
  <c r="H228"/>
  <c r="T227"/>
  <c r="D227"/>
  <c r="T226"/>
  <c r="D226"/>
  <c r="T225"/>
  <c r="U224"/>
  <c r="T224"/>
  <c r="S224"/>
  <c r="U223"/>
  <c r="T223"/>
  <c r="S223"/>
  <c r="K222"/>
  <c r="J222"/>
  <c r="I222"/>
  <c r="H222"/>
  <c r="G222"/>
  <c r="F222"/>
  <c r="E222"/>
  <c r="D222"/>
  <c r="D225" s="1"/>
  <c r="S225" s="1"/>
  <c r="U221"/>
  <c r="T221"/>
  <c r="S221"/>
  <c r="F220"/>
  <c r="S219"/>
  <c r="F219"/>
  <c r="E219"/>
  <c r="D219"/>
  <c r="D218" s="1"/>
  <c r="S218" s="1"/>
  <c r="F218"/>
  <c r="S217"/>
  <c r="J219"/>
  <c r="J218" s="1"/>
  <c r="G217"/>
  <c r="S215"/>
  <c r="G215"/>
  <c r="S213"/>
  <c r="S210"/>
  <c r="G210"/>
  <c r="S209"/>
  <c r="G209"/>
  <c r="S208"/>
  <c r="G208"/>
  <c r="S207"/>
  <c r="G207"/>
  <c r="S206"/>
  <c r="G206"/>
  <c r="S205"/>
  <c r="G205"/>
  <c r="S204"/>
  <c r="G204"/>
  <c r="S203"/>
  <c r="G203"/>
  <c r="S202"/>
  <c r="J202"/>
  <c r="G202"/>
  <c r="S201"/>
  <c r="G201"/>
  <c r="S200"/>
  <c r="G200"/>
  <c r="S199"/>
  <c r="G199"/>
  <c r="F198"/>
  <c r="F194" s="1"/>
  <c r="E198"/>
  <c r="D198"/>
  <c r="S197"/>
  <c r="G197"/>
  <c r="S196"/>
  <c r="G196"/>
  <c r="S195"/>
  <c r="G195"/>
  <c r="E194"/>
  <c r="S193"/>
  <c r="G193"/>
  <c r="S192"/>
  <c r="G192"/>
  <c r="S191"/>
  <c r="G191"/>
  <c r="S190"/>
  <c r="R190"/>
  <c r="F190"/>
  <c r="G190" s="1"/>
  <c r="D190"/>
  <c r="S189"/>
  <c r="G189"/>
  <c r="S188"/>
  <c r="G188"/>
  <c r="S187"/>
  <c r="G187"/>
  <c r="S186"/>
  <c r="J186"/>
  <c r="G186"/>
  <c r="F185"/>
  <c r="E185"/>
  <c r="D185"/>
  <c r="S185" s="1"/>
  <c r="T184"/>
  <c r="S184"/>
  <c r="G184"/>
  <c r="U183"/>
  <c r="T183"/>
  <c r="K183"/>
  <c r="G183"/>
  <c r="D183"/>
  <c r="S183" s="1"/>
  <c r="S182"/>
  <c r="G182"/>
  <c r="T181"/>
  <c r="S181"/>
  <c r="G181"/>
  <c r="T180"/>
  <c r="S180"/>
  <c r="G180"/>
  <c r="T179"/>
  <c r="S179"/>
  <c r="G179"/>
  <c r="S178"/>
  <c r="G178"/>
  <c r="F178"/>
  <c r="T177"/>
  <c r="F177"/>
  <c r="D177"/>
  <c r="S177" s="1"/>
  <c r="T176"/>
  <c r="S176"/>
  <c r="G176"/>
  <c r="T175"/>
  <c r="S175"/>
  <c r="G175"/>
  <c r="T174"/>
  <c r="F174"/>
  <c r="D174"/>
  <c r="S174" s="1"/>
  <c r="T173"/>
  <c r="S173"/>
  <c r="G173"/>
  <c r="T172"/>
  <c r="S172"/>
  <c r="K172"/>
  <c r="G172"/>
  <c r="T171"/>
  <c r="F171"/>
  <c r="D171"/>
  <c r="S171" s="1"/>
  <c r="T170"/>
  <c r="S170"/>
  <c r="G170"/>
  <c r="T169"/>
  <c r="S169"/>
  <c r="G169"/>
  <c r="U168"/>
  <c r="T168"/>
  <c r="K168"/>
  <c r="G168"/>
  <c r="D168"/>
  <c r="S168" s="1"/>
  <c r="T167"/>
  <c r="S167"/>
  <c r="G167"/>
  <c r="T166"/>
  <c r="S166"/>
  <c r="G166"/>
  <c r="T165"/>
  <c r="F165"/>
  <c r="G165" s="1"/>
  <c r="D165"/>
  <c r="S165" s="1"/>
  <c r="T164"/>
  <c r="S164"/>
  <c r="G164"/>
  <c r="T163"/>
  <c r="S163"/>
  <c r="G163"/>
  <c r="F162"/>
  <c r="D162"/>
  <c r="S162" s="1"/>
  <c r="S161"/>
  <c r="Q161"/>
  <c r="G161"/>
  <c r="F160"/>
  <c r="E160"/>
  <c r="D160"/>
  <c r="S160" s="1"/>
  <c r="T159"/>
  <c r="S159"/>
  <c r="Q159"/>
  <c r="K159"/>
  <c r="G159"/>
  <c r="T158"/>
  <c r="S158"/>
  <c r="Q158"/>
  <c r="K158"/>
  <c r="G158"/>
  <c r="J157"/>
  <c r="F157"/>
  <c r="G157" s="1"/>
  <c r="D157"/>
  <c r="S157" s="1"/>
  <c r="S156"/>
  <c r="J156"/>
  <c r="G156"/>
  <c r="S155"/>
  <c r="G155"/>
  <c r="S154"/>
  <c r="G154"/>
  <c r="S153"/>
  <c r="G153"/>
  <c r="S152"/>
  <c r="G152"/>
  <c r="S151"/>
  <c r="Q151"/>
  <c r="G151"/>
  <c r="F150"/>
  <c r="E150"/>
  <c r="D150"/>
  <c r="S150" s="1"/>
  <c r="T149"/>
  <c r="S149"/>
  <c r="G149"/>
  <c r="S148"/>
  <c r="Q148"/>
  <c r="G148"/>
  <c r="S147"/>
  <c r="Q147"/>
  <c r="G147"/>
  <c r="F146"/>
  <c r="E146"/>
  <c r="D146"/>
  <c r="S146" s="1"/>
  <c r="J143"/>
  <c r="K142"/>
  <c r="L142" s="1"/>
  <c r="K141"/>
  <c r="L141" s="1"/>
  <c r="K140"/>
  <c r="L140" s="1"/>
  <c r="S137"/>
  <c r="Q137"/>
  <c r="G137"/>
  <c r="S136"/>
  <c r="G136"/>
  <c r="S135"/>
  <c r="G135"/>
  <c r="S134"/>
  <c r="G134"/>
  <c r="S133"/>
  <c r="G133"/>
  <c r="S132"/>
  <c r="G132"/>
  <c r="S131"/>
  <c r="Q131"/>
  <c r="G131"/>
  <c r="S130"/>
  <c r="J130"/>
  <c r="G130"/>
  <c r="S129"/>
  <c r="G129"/>
  <c r="S128"/>
  <c r="G128"/>
  <c r="S127"/>
  <c r="G127"/>
  <c r="S126"/>
  <c r="J126"/>
  <c r="G126"/>
  <c r="S125"/>
  <c r="Q125"/>
  <c r="G125"/>
  <c r="S124"/>
  <c r="Q124"/>
  <c r="G124"/>
  <c r="S123"/>
  <c r="G123"/>
  <c r="U122"/>
  <c r="T122"/>
  <c r="S122"/>
  <c r="K122"/>
  <c r="L122" s="1"/>
  <c r="G122"/>
  <c r="S121"/>
  <c r="F121"/>
  <c r="E121"/>
  <c r="S120"/>
  <c r="D119"/>
  <c r="S119" s="1"/>
  <c r="T118"/>
  <c r="S118"/>
  <c r="G118"/>
  <c r="T117"/>
  <c r="S117"/>
  <c r="K117"/>
  <c r="G117"/>
  <c r="T116"/>
  <c r="S116"/>
  <c r="G116"/>
  <c r="G115"/>
  <c r="D115"/>
  <c r="T114"/>
  <c r="S114"/>
  <c r="G114"/>
  <c r="T113"/>
  <c r="S113"/>
  <c r="Q113"/>
  <c r="K113"/>
  <c r="G113"/>
  <c r="T112"/>
  <c r="S112"/>
  <c r="Q112"/>
  <c r="K112"/>
  <c r="G112"/>
  <c r="S111"/>
  <c r="F111"/>
  <c r="E110"/>
  <c r="S109"/>
  <c r="J109"/>
  <c r="G109"/>
  <c r="S108"/>
  <c r="G108"/>
  <c r="S107"/>
  <c r="Q107"/>
  <c r="G107"/>
  <c r="S106"/>
  <c r="Q106"/>
  <c r="G106"/>
  <c r="S105"/>
  <c r="Q105"/>
  <c r="G105"/>
  <c r="F104"/>
  <c r="E104"/>
  <c r="D104"/>
  <c r="S104" s="1"/>
  <c r="S103"/>
  <c r="G103"/>
  <c r="T102"/>
  <c r="S102"/>
  <c r="G102"/>
  <c r="T101"/>
  <c r="S101"/>
  <c r="J101"/>
  <c r="K101" s="1"/>
  <c r="G101"/>
  <c r="T100"/>
  <c r="S100"/>
  <c r="G100"/>
  <c r="F99"/>
  <c r="G99" s="1"/>
  <c r="D99"/>
  <c r="S98"/>
  <c r="G98"/>
  <c r="S96"/>
  <c r="J96"/>
  <c r="G96"/>
  <c r="F95"/>
  <c r="E95"/>
  <c r="D95"/>
  <c r="S95" s="1"/>
  <c r="S94"/>
  <c r="G94"/>
  <c r="J93"/>
  <c r="F93"/>
  <c r="E93"/>
  <c r="D93"/>
  <c r="S93" s="1"/>
  <c r="S92"/>
  <c r="S91"/>
  <c r="J91"/>
  <c r="G91"/>
  <c r="S90"/>
  <c r="J90"/>
  <c r="G90"/>
  <c r="S89"/>
  <c r="J89"/>
  <c r="G89"/>
  <c r="S88"/>
  <c r="J88"/>
  <c r="J226" s="1"/>
  <c r="G88"/>
  <c r="F87"/>
  <c r="E87"/>
  <c r="D87"/>
  <c r="S87" s="1"/>
  <c r="T86"/>
  <c r="K86"/>
  <c r="F86"/>
  <c r="G86" s="1"/>
  <c r="D86"/>
  <c r="S86" s="1"/>
  <c r="T85"/>
  <c r="S85"/>
  <c r="G85"/>
  <c r="T84"/>
  <c r="S84"/>
  <c r="G84"/>
  <c r="T83"/>
  <c r="K83"/>
  <c r="F83"/>
  <c r="G83" s="1"/>
  <c r="D83"/>
  <c r="S83" s="1"/>
  <c r="T82"/>
  <c r="S82"/>
  <c r="T81"/>
  <c r="S81"/>
  <c r="G81"/>
  <c r="T80"/>
  <c r="K80"/>
  <c r="F80"/>
  <c r="D80"/>
  <c r="S80" s="1"/>
  <c r="T79"/>
  <c r="S79"/>
  <c r="G79"/>
  <c r="T78"/>
  <c r="S78"/>
  <c r="G78"/>
  <c r="T77"/>
  <c r="K77"/>
  <c r="G77"/>
  <c r="F77"/>
  <c r="U77" s="1"/>
  <c r="D77"/>
  <c r="S77" s="1"/>
  <c r="T76"/>
  <c r="S76"/>
  <c r="G76"/>
  <c r="T75"/>
  <c r="S75"/>
  <c r="G75"/>
  <c r="F74"/>
  <c r="E74"/>
  <c r="T74" s="1"/>
  <c r="D74"/>
  <c r="S74" s="1"/>
  <c r="I73"/>
  <c r="F73"/>
  <c r="E73"/>
  <c r="D73"/>
  <c r="S73" s="1"/>
  <c r="Q72"/>
  <c r="F72"/>
  <c r="D72"/>
  <c r="S72" s="1"/>
  <c r="T71"/>
  <c r="J71"/>
  <c r="K71" s="1"/>
  <c r="F71"/>
  <c r="D71"/>
  <c r="S71" s="1"/>
  <c r="T70"/>
  <c r="S70"/>
  <c r="K70"/>
  <c r="G70"/>
  <c r="T69"/>
  <c r="S69"/>
  <c r="K69"/>
  <c r="G69"/>
  <c r="T68"/>
  <c r="G68"/>
  <c r="D68"/>
  <c r="S68" s="1"/>
  <c r="T67"/>
  <c r="S67"/>
  <c r="G67"/>
  <c r="T66"/>
  <c r="S66"/>
  <c r="G66"/>
  <c r="T65"/>
  <c r="F65"/>
  <c r="G65" s="1"/>
  <c r="D65"/>
  <c r="S65" s="1"/>
  <c r="T64"/>
  <c r="S64"/>
  <c r="G64"/>
  <c r="T63"/>
  <c r="S63"/>
  <c r="G63"/>
  <c r="T62"/>
  <c r="F62"/>
  <c r="D62"/>
  <c r="S62" s="1"/>
  <c r="T61"/>
  <c r="S61"/>
  <c r="K61"/>
  <c r="G61"/>
  <c r="T60"/>
  <c r="S60"/>
  <c r="G60"/>
  <c r="T59"/>
  <c r="K59"/>
  <c r="F59"/>
  <c r="D59"/>
  <c r="S59" s="1"/>
  <c r="T58"/>
  <c r="S58"/>
  <c r="G58"/>
  <c r="T57"/>
  <c r="S57"/>
  <c r="G57"/>
  <c r="T56"/>
  <c r="F56"/>
  <c r="D56"/>
  <c r="S56" s="1"/>
  <c r="T55"/>
  <c r="S55"/>
  <c r="K55"/>
  <c r="G55"/>
  <c r="T54"/>
  <c r="S54"/>
  <c r="G54"/>
  <c r="T53"/>
  <c r="F53"/>
  <c r="T52"/>
  <c r="G52"/>
  <c r="F52"/>
  <c r="D52"/>
  <c r="S52" s="1"/>
  <c r="T51"/>
  <c r="F51"/>
  <c r="D51"/>
  <c r="S51" s="1"/>
  <c r="T50"/>
  <c r="J50"/>
  <c r="K50" s="1"/>
  <c r="F50"/>
  <c r="D50"/>
  <c r="S50" s="1"/>
  <c r="T49"/>
  <c r="S49"/>
  <c r="K49"/>
  <c r="G49"/>
  <c r="T48"/>
  <c r="S48"/>
  <c r="K48"/>
  <c r="G48"/>
  <c r="T47"/>
  <c r="J47"/>
  <c r="K47" s="1"/>
  <c r="F47"/>
  <c r="D47"/>
  <c r="S47" s="1"/>
  <c r="T46"/>
  <c r="S46"/>
  <c r="K46"/>
  <c r="G46"/>
  <c r="S45"/>
  <c r="G45"/>
  <c r="T44"/>
  <c r="G44"/>
  <c r="D44"/>
  <c r="S44" s="1"/>
  <c r="T43"/>
  <c r="S43"/>
  <c r="G43"/>
  <c r="T42"/>
  <c r="S42"/>
  <c r="G42"/>
  <c r="F41"/>
  <c r="E41"/>
  <c r="D41"/>
  <c r="S41" s="1"/>
  <c r="T40"/>
  <c r="F40"/>
  <c r="G40" s="1"/>
  <c r="D40"/>
  <c r="S40" s="1"/>
  <c r="T39"/>
  <c r="S39"/>
  <c r="G39"/>
  <c r="S38"/>
  <c r="G38"/>
  <c r="S36"/>
  <c r="Q36"/>
  <c r="G36"/>
  <c r="J35"/>
  <c r="F35"/>
  <c r="E35"/>
  <c r="D35"/>
  <c r="S35" s="1"/>
  <c r="T34"/>
  <c r="S34"/>
  <c r="Q34"/>
  <c r="G34"/>
  <c r="T33"/>
  <c r="S33"/>
  <c r="J33"/>
  <c r="K33" s="1"/>
  <c r="G33"/>
  <c r="T32"/>
  <c r="S32"/>
  <c r="Q32"/>
  <c r="K32"/>
  <c r="G32"/>
  <c r="T31"/>
  <c r="S31"/>
  <c r="Q31"/>
  <c r="K31"/>
  <c r="G31"/>
  <c r="F30"/>
  <c r="D30"/>
  <c r="S30" s="1"/>
  <c r="T29"/>
  <c r="F29"/>
  <c r="D29"/>
  <c r="S29" s="1"/>
  <c r="T28"/>
  <c r="S28"/>
  <c r="G28"/>
  <c r="T27"/>
  <c r="S27"/>
  <c r="G27"/>
  <c r="F26"/>
  <c r="E26"/>
  <c r="T26" s="1"/>
  <c r="D26"/>
  <c r="S26" s="1"/>
  <c r="T25"/>
  <c r="S25"/>
  <c r="G25"/>
  <c r="T24"/>
  <c r="S24"/>
  <c r="G24"/>
  <c r="F23"/>
  <c r="E23"/>
  <c r="T23" s="1"/>
  <c r="D23"/>
  <c r="S23" s="1"/>
  <c r="T22"/>
  <c r="S22"/>
  <c r="K22"/>
  <c r="G22"/>
  <c r="T21"/>
  <c r="S21"/>
  <c r="G21"/>
  <c r="T20"/>
  <c r="F20"/>
  <c r="U20" s="1"/>
  <c r="D20"/>
  <c r="S20" s="1"/>
  <c r="T19"/>
  <c r="S19"/>
  <c r="K19"/>
  <c r="G19"/>
  <c r="T18"/>
  <c r="S18"/>
  <c r="G18"/>
  <c r="T17"/>
  <c r="F17"/>
  <c r="U17" s="1"/>
  <c r="D17"/>
  <c r="S17" s="1"/>
  <c r="T16"/>
  <c r="S16"/>
  <c r="J16"/>
  <c r="K16" s="1"/>
  <c r="G16"/>
  <c r="T15"/>
  <c r="S15"/>
  <c r="Q15"/>
  <c r="G15"/>
  <c r="T14"/>
  <c r="F14"/>
  <c r="D14"/>
  <c r="S14" s="1"/>
  <c r="T13"/>
  <c r="S13"/>
  <c r="J13"/>
  <c r="K13" s="1"/>
  <c r="G13"/>
  <c r="T12"/>
  <c r="S12"/>
  <c r="G12"/>
  <c r="F11"/>
  <c r="G11" s="1"/>
  <c r="D11"/>
  <c r="S11" s="1"/>
  <c r="E10"/>
  <c r="E9" s="1"/>
  <c r="R8"/>
  <c r="T5"/>
  <c r="J16" i="41"/>
  <c r="K16" s="1"/>
  <c r="J13"/>
  <c r="K13" s="1"/>
  <c r="I232"/>
  <c r="H229"/>
  <c r="H233" s="1"/>
  <c r="T228"/>
  <c r="J228"/>
  <c r="D228"/>
  <c r="T227"/>
  <c r="D227"/>
  <c r="T226"/>
  <c r="U225"/>
  <c r="T225"/>
  <c r="S225"/>
  <c r="U224"/>
  <c r="T224"/>
  <c r="S224"/>
  <c r="K223"/>
  <c r="J223"/>
  <c r="I223"/>
  <c r="H223"/>
  <c r="G223"/>
  <c r="F223"/>
  <c r="E223"/>
  <c r="D223"/>
  <c r="D226" s="1"/>
  <c r="S226" s="1"/>
  <c r="U222"/>
  <c r="T222"/>
  <c r="S222"/>
  <c r="F221"/>
  <c r="S220"/>
  <c r="F220"/>
  <c r="G220" s="1"/>
  <c r="E220"/>
  <c r="D220"/>
  <c r="D219" s="1"/>
  <c r="S219" s="1"/>
  <c r="E219"/>
  <c r="S218"/>
  <c r="G218"/>
  <c r="S216"/>
  <c r="G216"/>
  <c r="S214"/>
  <c r="S211"/>
  <c r="G211"/>
  <c r="S210"/>
  <c r="G210"/>
  <c r="S209"/>
  <c r="G209"/>
  <c r="S208"/>
  <c r="J208"/>
  <c r="G208"/>
  <c r="S207"/>
  <c r="J207"/>
  <c r="G207"/>
  <c r="S206"/>
  <c r="G206"/>
  <c r="S205"/>
  <c r="G205"/>
  <c r="S204"/>
  <c r="G204"/>
  <c r="S203"/>
  <c r="J203"/>
  <c r="G203"/>
  <c r="S202"/>
  <c r="G202"/>
  <c r="S201"/>
  <c r="G201"/>
  <c r="S200"/>
  <c r="J200"/>
  <c r="G200"/>
  <c r="F199"/>
  <c r="E199"/>
  <c r="D199"/>
  <c r="S199" s="1"/>
  <c r="S198"/>
  <c r="J198"/>
  <c r="G198"/>
  <c r="S197"/>
  <c r="J197"/>
  <c r="G197"/>
  <c r="S196"/>
  <c r="G196"/>
  <c r="S194"/>
  <c r="G194"/>
  <c r="S193"/>
  <c r="G193"/>
  <c r="S192"/>
  <c r="G192"/>
  <c r="R191"/>
  <c r="G191"/>
  <c r="F191"/>
  <c r="D191"/>
  <c r="S191" s="1"/>
  <c r="S190"/>
  <c r="J190"/>
  <c r="G190"/>
  <c r="S189"/>
  <c r="J189"/>
  <c r="G189"/>
  <c r="S188"/>
  <c r="J188"/>
  <c r="G188"/>
  <c r="S187"/>
  <c r="J187"/>
  <c r="G187"/>
  <c r="F186"/>
  <c r="E186"/>
  <c r="D186"/>
  <c r="S186" s="1"/>
  <c r="T185"/>
  <c r="S185"/>
  <c r="G185"/>
  <c r="U184"/>
  <c r="T184"/>
  <c r="K184"/>
  <c r="G184"/>
  <c r="D184"/>
  <c r="S184" s="1"/>
  <c r="S183"/>
  <c r="J183"/>
  <c r="T182"/>
  <c r="S182"/>
  <c r="G182"/>
  <c r="T181"/>
  <c r="S181"/>
  <c r="J181"/>
  <c r="K181" s="1"/>
  <c r="G181"/>
  <c r="T180"/>
  <c r="S180"/>
  <c r="J180"/>
  <c r="G180"/>
  <c r="S179"/>
  <c r="F179"/>
  <c r="T178"/>
  <c r="F178"/>
  <c r="D178"/>
  <c r="S178" s="1"/>
  <c r="T177"/>
  <c r="S177"/>
  <c r="G177"/>
  <c r="T176"/>
  <c r="S176"/>
  <c r="K176"/>
  <c r="J176"/>
  <c r="G176"/>
  <c r="T175"/>
  <c r="F175"/>
  <c r="G175" s="1"/>
  <c r="D175"/>
  <c r="S175" s="1"/>
  <c r="T174"/>
  <c r="S174"/>
  <c r="G174"/>
  <c r="T173"/>
  <c r="S173"/>
  <c r="J173"/>
  <c r="K173" s="1"/>
  <c r="G173"/>
  <c r="T172"/>
  <c r="F172"/>
  <c r="G172" s="1"/>
  <c r="D172"/>
  <c r="S172" s="1"/>
  <c r="T171"/>
  <c r="S171"/>
  <c r="G171"/>
  <c r="T170"/>
  <c r="S170"/>
  <c r="K170"/>
  <c r="J170"/>
  <c r="G170"/>
  <c r="U169"/>
  <c r="T169"/>
  <c r="K169"/>
  <c r="G169"/>
  <c r="D169"/>
  <c r="S169" s="1"/>
  <c r="T168"/>
  <c r="S168"/>
  <c r="G168"/>
  <c r="T167"/>
  <c r="S167"/>
  <c r="G167"/>
  <c r="T166"/>
  <c r="F166"/>
  <c r="G166" s="1"/>
  <c r="D166"/>
  <c r="S166" s="1"/>
  <c r="T165"/>
  <c r="S165"/>
  <c r="G165"/>
  <c r="T164"/>
  <c r="S164"/>
  <c r="G164"/>
  <c r="F163"/>
  <c r="D163"/>
  <c r="S163" s="1"/>
  <c r="S162"/>
  <c r="Q162"/>
  <c r="J162"/>
  <c r="J161"/>
  <c r="E161"/>
  <c r="D161"/>
  <c r="S161" s="1"/>
  <c r="T160"/>
  <c r="S160"/>
  <c r="Q160"/>
  <c r="K160"/>
  <c r="G160"/>
  <c r="T159"/>
  <c r="S159"/>
  <c r="Q159"/>
  <c r="K159"/>
  <c r="G159"/>
  <c r="J158"/>
  <c r="F158"/>
  <c r="D158"/>
  <c r="S158" s="1"/>
  <c r="S157"/>
  <c r="J157"/>
  <c r="G157"/>
  <c r="S156"/>
  <c r="G156"/>
  <c r="S155"/>
  <c r="J155"/>
  <c r="G155"/>
  <c r="S154"/>
  <c r="J154"/>
  <c r="G154"/>
  <c r="S153"/>
  <c r="J153"/>
  <c r="G153"/>
  <c r="S152"/>
  <c r="Q152"/>
  <c r="G152"/>
  <c r="J151"/>
  <c r="F151"/>
  <c r="E151"/>
  <c r="T151" s="1"/>
  <c r="D151"/>
  <c r="S151" s="1"/>
  <c r="T150"/>
  <c r="S150"/>
  <c r="G150"/>
  <c r="S149"/>
  <c r="Q149"/>
  <c r="G149"/>
  <c r="S148"/>
  <c r="Q148"/>
  <c r="G148"/>
  <c r="F147"/>
  <c r="E147"/>
  <c r="D147"/>
  <c r="J143"/>
  <c r="L142"/>
  <c r="K142"/>
  <c r="K141"/>
  <c r="L141" s="1"/>
  <c r="K140"/>
  <c r="L140" s="1"/>
  <c r="S137"/>
  <c r="Q137"/>
  <c r="G137"/>
  <c r="S136"/>
  <c r="G136"/>
  <c r="S135"/>
  <c r="G135"/>
  <c r="S134"/>
  <c r="G134"/>
  <c r="S133"/>
  <c r="G133"/>
  <c r="S132"/>
  <c r="G132"/>
  <c r="S131"/>
  <c r="Q131"/>
  <c r="G131"/>
  <c r="S130"/>
  <c r="J130"/>
  <c r="G130"/>
  <c r="S129"/>
  <c r="G129"/>
  <c r="S128"/>
  <c r="G128"/>
  <c r="S127"/>
  <c r="G127"/>
  <c r="S126"/>
  <c r="J126"/>
  <c r="G126"/>
  <c r="S125"/>
  <c r="Q125"/>
  <c r="G125"/>
  <c r="S124"/>
  <c r="Q124"/>
  <c r="G124"/>
  <c r="S123"/>
  <c r="G123"/>
  <c r="U122"/>
  <c r="T122"/>
  <c r="S122"/>
  <c r="K122"/>
  <c r="L122" s="1"/>
  <c r="G122"/>
  <c r="S121"/>
  <c r="F121"/>
  <c r="F120" s="1"/>
  <c r="E121"/>
  <c r="S120"/>
  <c r="D119"/>
  <c r="S119" s="1"/>
  <c r="T118"/>
  <c r="S118"/>
  <c r="G118"/>
  <c r="T117"/>
  <c r="S117"/>
  <c r="K117"/>
  <c r="G117"/>
  <c r="T116"/>
  <c r="S116"/>
  <c r="G116"/>
  <c r="S115"/>
  <c r="G115"/>
  <c r="D115"/>
  <c r="D110" s="1"/>
  <c r="S110" s="1"/>
  <c r="T114"/>
  <c r="S114"/>
  <c r="G114"/>
  <c r="T113"/>
  <c r="S113"/>
  <c r="Q113"/>
  <c r="K113"/>
  <c r="G113"/>
  <c r="T112"/>
  <c r="S112"/>
  <c r="Q112"/>
  <c r="K112"/>
  <c r="G112"/>
  <c r="S111"/>
  <c r="F111"/>
  <c r="E110"/>
  <c r="S109"/>
  <c r="J109"/>
  <c r="G109"/>
  <c r="S108"/>
  <c r="G108"/>
  <c r="S107"/>
  <c r="Q107"/>
  <c r="G107"/>
  <c r="S106"/>
  <c r="Q106"/>
  <c r="G106"/>
  <c r="S105"/>
  <c r="Q105"/>
  <c r="G105"/>
  <c r="F104"/>
  <c r="E104"/>
  <c r="D104"/>
  <c r="S104" s="1"/>
  <c r="S103"/>
  <c r="G103"/>
  <c r="T102"/>
  <c r="S102"/>
  <c r="G102"/>
  <c r="T101"/>
  <c r="S101"/>
  <c r="J101"/>
  <c r="G101"/>
  <c r="T100"/>
  <c r="S100"/>
  <c r="G100"/>
  <c r="F99"/>
  <c r="D99"/>
  <c r="S98"/>
  <c r="G98"/>
  <c r="S96"/>
  <c r="J96"/>
  <c r="J95" s="1"/>
  <c r="G96"/>
  <c r="F95"/>
  <c r="E95"/>
  <c r="D95"/>
  <c r="S95" s="1"/>
  <c r="S94"/>
  <c r="G94"/>
  <c r="J93"/>
  <c r="F93"/>
  <c r="E93"/>
  <c r="D93"/>
  <c r="S93" s="1"/>
  <c r="S92"/>
  <c r="S91"/>
  <c r="J91"/>
  <c r="G91"/>
  <c r="S90"/>
  <c r="J90"/>
  <c r="G90"/>
  <c r="S89"/>
  <c r="J89"/>
  <c r="G89"/>
  <c r="S88"/>
  <c r="J88"/>
  <c r="G88"/>
  <c r="F87"/>
  <c r="E87"/>
  <c r="D87"/>
  <c r="S87" s="1"/>
  <c r="T86"/>
  <c r="K86"/>
  <c r="F86"/>
  <c r="U86" s="1"/>
  <c r="D86"/>
  <c r="S86" s="1"/>
  <c r="T85"/>
  <c r="S85"/>
  <c r="G85"/>
  <c r="T84"/>
  <c r="S84"/>
  <c r="G84"/>
  <c r="T83"/>
  <c r="S83"/>
  <c r="K83"/>
  <c r="F83"/>
  <c r="U83" s="1"/>
  <c r="D83"/>
  <c r="T82"/>
  <c r="S82"/>
  <c r="T81"/>
  <c r="S81"/>
  <c r="G81"/>
  <c r="T80"/>
  <c r="K80"/>
  <c r="G80"/>
  <c r="F80"/>
  <c r="U80" s="1"/>
  <c r="D80"/>
  <c r="S80" s="1"/>
  <c r="T79"/>
  <c r="S79"/>
  <c r="G79"/>
  <c r="T78"/>
  <c r="S78"/>
  <c r="G78"/>
  <c r="T77"/>
  <c r="S77"/>
  <c r="K77"/>
  <c r="F77"/>
  <c r="U77" s="1"/>
  <c r="D77"/>
  <c r="T76"/>
  <c r="S76"/>
  <c r="G76"/>
  <c r="T75"/>
  <c r="S75"/>
  <c r="G75"/>
  <c r="F74"/>
  <c r="E74"/>
  <c r="T74" s="1"/>
  <c r="D74"/>
  <c r="S74" s="1"/>
  <c r="I73"/>
  <c r="F73"/>
  <c r="E73"/>
  <c r="D73"/>
  <c r="S73" s="1"/>
  <c r="Q72"/>
  <c r="D72"/>
  <c r="S72" s="1"/>
  <c r="T71"/>
  <c r="J71"/>
  <c r="K71" s="1"/>
  <c r="F71"/>
  <c r="D71"/>
  <c r="S71" s="1"/>
  <c r="T70"/>
  <c r="S70"/>
  <c r="K70"/>
  <c r="G70"/>
  <c r="T69"/>
  <c r="S69"/>
  <c r="K69"/>
  <c r="G69"/>
  <c r="T68"/>
  <c r="G68"/>
  <c r="D68"/>
  <c r="S68" s="1"/>
  <c r="T67"/>
  <c r="S67"/>
  <c r="G67"/>
  <c r="T66"/>
  <c r="S66"/>
  <c r="G66"/>
  <c r="T65"/>
  <c r="F65"/>
  <c r="D65"/>
  <c r="S65" s="1"/>
  <c r="T64"/>
  <c r="S64"/>
  <c r="G64"/>
  <c r="T63"/>
  <c r="S63"/>
  <c r="G63"/>
  <c r="T62"/>
  <c r="F62"/>
  <c r="G62" s="1"/>
  <c r="D62"/>
  <c r="S62" s="1"/>
  <c r="T61"/>
  <c r="S61"/>
  <c r="K61"/>
  <c r="G61"/>
  <c r="T60"/>
  <c r="S60"/>
  <c r="G60"/>
  <c r="T59"/>
  <c r="K59"/>
  <c r="F59"/>
  <c r="G59" s="1"/>
  <c r="D59"/>
  <c r="S59" s="1"/>
  <c r="T58"/>
  <c r="S58"/>
  <c r="G58"/>
  <c r="T57"/>
  <c r="S57"/>
  <c r="G57"/>
  <c r="T56"/>
  <c r="F56"/>
  <c r="D56"/>
  <c r="S56" s="1"/>
  <c r="T55"/>
  <c r="S55"/>
  <c r="K55"/>
  <c r="G55"/>
  <c r="T54"/>
  <c r="S54"/>
  <c r="G54"/>
  <c r="T53"/>
  <c r="T52"/>
  <c r="F52"/>
  <c r="D52"/>
  <c r="S52" s="1"/>
  <c r="T51"/>
  <c r="F51"/>
  <c r="D51"/>
  <c r="T50"/>
  <c r="J50"/>
  <c r="K50" s="1"/>
  <c r="D50"/>
  <c r="S50" s="1"/>
  <c r="T49"/>
  <c r="S49"/>
  <c r="K49"/>
  <c r="G49"/>
  <c r="T48"/>
  <c r="S48"/>
  <c r="K48"/>
  <c r="T47"/>
  <c r="J47"/>
  <c r="K47" s="1"/>
  <c r="F47"/>
  <c r="G47" s="1"/>
  <c r="D47"/>
  <c r="S47" s="1"/>
  <c r="T46"/>
  <c r="S46"/>
  <c r="K46"/>
  <c r="G46"/>
  <c r="S45"/>
  <c r="G45"/>
  <c r="T44"/>
  <c r="G44"/>
  <c r="D44"/>
  <c r="S44" s="1"/>
  <c r="T43"/>
  <c r="S43"/>
  <c r="G43"/>
  <c r="T42"/>
  <c r="S42"/>
  <c r="G42"/>
  <c r="F41"/>
  <c r="E41"/>
  <c r="D41"/>
  <c r="S41" s="1"/>
  <c r="T40"/>
  <c r="F40"/>
  <c r="D40"/>
  <c r="S40" s="1"/>
  <c r="T39"/>
  <c r="S39"/>
  <c r="G39"/>
  <c r="S38"/>
  <c r="G38"/>
  <c r="S36"/>
  <c r="Q36"/>
  <c r="G36"/>
  <c r="J35"/>
  <c r="F35"/>
  <c r="E35"/>
  <c r="D35"/>
  <c r="S35" s="1"/>
  <c r="T34"/>
  <c r="S34"/>
  <c r="Q34"/>
  <c r="G34"/>
  <c r="T33"/>
  <c r="S33"/>
  <c r="J33"/>
  <c r="K33" s="1"/>
  <c r="G33"/>
  <c r="T32"/>
  <c r="S32"/>
  <c r="Q32"/>
  <c r="K32"/>
  <c r="G32"/>
  <c r="T31"/>
  <c r="S31"/>
  <c r="Q31"/>
  <c r="K31"/>
  <c r="G31"/>
  <c r="F30"/>
  <c r="D30"/>
  <c r="S30" s="1"/>
  <c r="T29"/>
  <c r="G29"/>
  <c r="F29"/>
  <c r="D29"/>
  <c r="S29" s="1"/>
  <c r="T28"/>
  <c r="S28"/>
  <c r="G28"/>
  <c r="T27"/>
  <c r="S27"/>
  <c r="G27"/>
  <c r="F26"/>
  <c r="E26"/>
  <c r="T26" s="1"/>
  <c r="D26"/>
  <c r="S26" s="1"/>
  <c r="T25"/>
  <c r="S25"/>
  <c r="G25"/>
  <c r="T24"/>
  <c r="S24"/>
  <c r="G24"/>
  <c r="F23"/>
  <c r="U23" s="1"/>
  <c r="E23"/>
  <c r="D23"/>
  <c r="S23" s="1"/>
  <c r="T22"/>
  <c r="S22"/>
  <c r="K22"/>
  <c r="G22"/>
  <c r="T21"/>
  <c r="S21"/>
  <c r="G21"/>
  <c r="T20"/>
  <c r="F20"/>
  <c r="D20"/>
  <c r="S20" s="1"/>
  <c r="T19"/>
  <c r="S19"/>
  <c r="K19"/>
  <c r="G19"/>
  <c r="T18"/>
  <c r="S18"/>
  <c r="G18"/>
  <c r="T17"/>
  <c r="F17"/>
  <c r="D17"/>
  <c r="S17" s="1"/>
  <c r="T16"/>
  <c r="S16"/>
  <c r="G16"/>
  <c r="T15"/>
  <c r="S15"/>
  <c r="Q15"/>
  <c r="G15"/>
  <c r="T14"/>
  <c r="F14"/>
  <c r="G14" s="1"/>
  <c r="D14"/>
  <c r="S14" s="1"/>
  <c r="T13"/>
  <c r="S13"/>
  <c r="G13"/>
  <c r="T12"/>
  <c r="S12"/>
  <c r="G12"/>
  <c r="F11"/>
  <c r="D11"/>
  <c r="E10"/>
  <c r="R8"/>
  <c r="T5"/>
  <c r="F216" i="38"/>
  <c r="J207" i="40"/>
  <c r="J199"/>
  <c r="J206"/>
  <c r="J156"/>
  <c r="J161"/>
  <c r="J202"/>
  <c r="J182"/>
  <c r="J189"/>
  <c r="J197"/>
  <c r="J196"/>
  <c r="J186"/>
  <c r="J188"/>
  <c r="J187"/>
  <c r="J179"/>
  <c r="J180"/>
  <c r="K180" s="1"/>
  <c r="J175"/>
  <c r="J172"/>
  <c r="J169"/>
  <c r="Q161"/>
  <c r="Q159"/>
  <c r="Q158"/>
  <c r="J154"/>
  <c r="J153"/>
  <c r="J152"/>
  <c r="Q151"/>
  <c r="Q148"/>
  <c r="Q147"/>
  <c r="J101"/>
  <c r="K101" s="1"/>
  <c r="Q137"/>
  <c r="Q131"/>
  <c r="J130"/>
  <c r="J126"/>
  <c r="Q125"/>
  <c r="Q124"/>
  <c r="Q113"/>
  <c r="Q112"/>
  <c r="J109"/>
  <c r="Q107"/>
  <c r="Q106"/>
  <c r="Q105"/>
  <c r="J96"/>
  <c r="J91"/>
  <c r="J90"/>
  <c r="J89"/>
  <c r="J88"/>
  <c r="Q72"/>
  <c r="Q36"/>
  <c r="J33"/>
  <c r="K33" s="1"/>
  <c r="Q34"/>
  <c r="Q32"/>
  <c r="Q31"/>
  <c r="Q15"/>
  <c r="F71"/>
  <c r="F182"/>
  <c r="F161"/>
  <c r="F160" s="1"/>
  <c r="F151"/>
  <c r="F145" i="33"/>
  <c r="F155" i="40"/>
  <c r="F109"/>
  <c r="F99"/>
  <c r="G99" s="1"/>
  <c r="F99" i="38"/>
  <c r="F48" i="40"/>
  <c r="F88"/>
  <c r="G88"/>
  <c r="F125"/>
  <c r="K159"/>
  <c r="J143"/>
  <c r="K143" s="1"/>
  <c r="L143" s="1"/>
  <c r="K142"/>
  <c r="L142" s="1"/>
  <c r="K141"/>
  <c r="L141" s="1"/>
  <c r="K140"/>
  <c r="L140" s="1"/>
  <c r="K113"/>
  <c r="K112"/>
  <c r="J93"/>
  <c r="K70"/>
  <c r="K49"/>
  <c r="K32"/>
  <c r="K22"/>
  <c r="K16"/>
  <c r="K13"/>
  <c r="I222"/>
  <c r="I231"/>
  <c r="H228"/>
  <c r="H232" s="1"/>
  <c r="T227"/>
  <c r="D227"/>
  <c r="T226"/>
  <c r="D226"/>
  <c r="T225"/>
  <c r="U224"/>
  <c r="T224"/>
  <c r="S224"/>
  <c r="U223"/>
  <c r="T223"/>
  <c r="S223"/>
  <c r="K222"/>
  <c r="J222"/>
  <c r="H222"/>
  <c r="G222"/>
  <c r="F222"/>
  <c r="E222"/>
  <c r="D222"/>
  <c r="S222" s="1"/>
  <c r="U221"/>
  <c r="T221"/>
  <c r="S221"/>
  <c r="F219"/>
  <c r="E219"/>
  <c r="E218" s="1"/>
  <c r="D219"/>
  <c r="D218" s="1"/>
  <c r="S218" s="1"/>
  <c r="S217"/>
  <c r="G217"/>
  <c r="S215"/>
  <c r="G215"/>
  <c r="S213"/>
  <c r="S210"/>
  <c r="G210"/>
  <c r="S209"/>
  <c r="G209"/>
  <c r="S208"/>
  <c r="G208"/>
  <c r="S207"/>
  <c r="G207"/>
  <c r="S206"/>
  <c r="G206"/>
  <c r="S205"/>
  <c r="G205"/>
  <c r="S204"/>
  <c r="G204"/>
  <c r="S203"/>
  <c r="G203"/>
  <c r="S202"/>
  <c r="G202"/>
  <c r="S201"/>
  <c r="G201"/>
  <c r="S200"/>
  <c r="G200"/>
  <c r="S199"/>
  <c r="G199"/>
  <c r="S198"/>
  <c r="F198"/>
  <c r="E198"/>
  <c r="D198"/>
  <c r="S197"/>
  <c r="G197"/>
  <c r="S196"/>
  <c r="G196"/>
  <c r="S195"/>
  <c r="G195"/>
  <c r="D194"/>
  <c r="S194" s="1"/>
  <c r="S193"/>
  <c r="G193"/>
  <c r="S192"/>
  <c r="G192"/>
  <c r="S191"/>
  <c r="G191"/>
  <c r="R190"/>
  <c r="F190"/>
  <c r="D190"/>
  <c r="S190" s="1"/>
  <c r="S189"/>
  <c r="G189"/>
  <c r="S188"/>
  <c r="G188"/>
  <c r="S187"/>
  <c r="G187"/>
  <c r="S186"/>
  <c r="G186"/>
  <c r="F185"/>
  <c r="E185"/>
  <c r="D185"/>
  <c r="S185" s="1"/>
  <c r="T184"/>
  <c r="S184"/>
  <c r="G184"/>
  <c r="U183"/>
  <c r="T183"/>
  <c r="K183"/>
  <c r="G183"/>
  <c r="D183"/>
  <c r="S183" s="1"/>
  <c r="S182"/>
  <c r="T181"/>
  <c r="S181"/>
  <c r="G181"/>
  <c r="T180"/>
  <c r="S180"/>
  <c r="G180"/>
  <c r="T179"/>
  <c r="S179"/>
  <c r="G179"/>
  <c r="S178"/>
  <c r="F178"/>
  <c r="G178" s="1"/>
  <c r="T177"/>
  <c r="F177"/>
  <c r="D177"/>
  <c r="S177" s="1"/>
  <c r="T176"/>
  <c r="S176"/>
  <c r="G176"/>
  <c r="T175"/>
  <c r="S175"/>
  <c r="G175"/>
  <c r="T174"/>
  <c r="F174"/>
  <c r="D174"/>
  <c r="S174" s="1"/>
  <c r="T173"/>
  <c r="S173"/>
  <c r="G173"/>
  <c r="T172"/>
  <c r="S172"/>
  <c r="G172"/>
  <c r="T171"/>
  <c r="F171"/>
  <c r="G171" s="1"/>
  <c r="D171"/>
  <c r="S171" s="1"/>
  <c r="T170"/>
  <c r="S170"/>
  <c r="G170"/>
  <c r="T169"/>
  <c r="S169"/>
  <c r="G169"/>
  <c r="U168"/>
  <c r="T168"/>
  <c r="S168"/>
  <c r="K168"/>
  <c r="G168"/>
  <c r="D168"/>
  <c r="T167"/>
  <c r="S167"/>
  <c r="G167"/>
  <c r="T166"/>
  <c r="S166"/>
  <c r="G166"/>
  <c r="T165"/>
  <c r="G165"/>
  <c r="F165"/>
  <c r="D165"/>
  <c r="S165" s="1"/>
  <c r="T164"/>
  <c r="S164"/>
  <c r="G164"/>
  <c r="T163"/>
  <c r="S163"/>
  <c r="G163"/>
  <c r="S162"/>
  <c r="F162"/>
  <c r="D162"/>
  <c r="S161"/>
  <c r="E160"/>
  <c r="D160"/>
  <c r="T159"/>
  <c r="S159"/>
  <c r="G159"/>
  <c r="T158"/>
  <c r="S158"/>
  <c r="G158"/>
  <c r="S157"/>
  <c r="G157"/>
  <c r="F157"/>
  <c r="D157"/>
  <c r="S156"/>
  <c r="G156"/>
  <c r="S155"/>
  <c r="G155"/>
  <c r="S154"/>
  <c r="G154"/>
  <c r="S153"/>
  <c r="G153"/>
  <c r="S152"/>
  <c r="G152"/>
  <c r="S151"/>
  <c r="G151"/>
  <c r="F150"/>
  <c r="E150"/>
  <c r="T150" s="1"/>
  <c r="D150"/>
  <c r="S150" s="1"/>
  <c r="T149"/>
  <c r="S149"/>
  <c r="G149"/>
  <c r="S148"/>
  <c r="G148"/>
  <c r="S147"/>
  <c r="G147"/>
  <c r="S146"/>
  <c r="F146"/>
  <c r="E146"/>
  <c r="D146"/>
  <c r="O143"/>
  <c r="P143" s="1"/>
  <c r="S137"/>
  <c r="G137"/>
  <c r="S136"/>
  <c r="G136"/>
  <c r="S135"/>
  <c r="G135"/>
  <c r="S134"/>
  <c r="G134"/>
  <c r="S133"/>
  <c r="G133"/>
  <c r="S132"/>
  <c r="G132"/>
  <c r="S131"/>
  <c r="G131"/>
  <c r="S130"/>
  <c r="G130"/>
  <c r="S129"/>
  <c r="G129"/>
  <c r="S128"/>
  <c r="G128"/>
  <c r="S127"/>
  <c r="G127"/>
  <c r="S126"/>
  <c r="G126"/>
  <c r="S125"/>
  <c r="S124"/>
  <c r="G124"/>
  <c r="S123"/>
  <c r="G123"/>
  <c r="U122"/>
  <c r="T122"/>
  <c r="S122"/>
  <c r="K122"/>
  <c r="L122" s="1"/>
  <c r="G122"/>
  <c r="S121"/>
  <c r="F121"/>
  <c r="E121"/>
  <c r="S120"/>
  <c r="D119"/>
  <c r="S119" s="1"/>
  <c r="T118"/>
  <c r="S118"/>
  <c r="G118"/>
  <c r="T117"/>
  <c r="S117"/>
  <c r="G117"/>
  <c r="T116"/>
  <c r="S116"/>
  <c r="G116"/>
  <c r="G115"/>
  <c r="D115"/>
  <c r="T114"/>
  <c r="S114"/>
  <c r="G114"/>
  <c r="T113"/>
  <c r="S113"/>
  <c r="G113"/>
  <c r="T112"/>
  <c r="S112"/>
  <c r="G112"/>
  <c r="S111"/>
  <c r="F111"/>
  <c r="G111" s="1"/>
  <c r="E110"/>
  <c r="S109"/>
  <c r="S108"/>
  <c r="G108"/>
  <c r="S107"/>
  <c r="G107"/>
  <c r="S106"/>
  <c r="G106"/>
  <c r="S105"/>
  <c r="G105"/>
  <c r="F104"/>
  <c r="E104"/>
  <c r="D104"/>
  <c r="S103"/>
  <c r="G103"/>
  <c r="T102"/>
  <c r="S102"/>
  <c r="G102"/>
  <c r="T101"/>
  <c r="S101"/>
  <c r="G101"/>
  <c r="T100"/>
  <c r="S100"/>
  <c r="G100"/>
  <c r="D99"/>
  <c r="S99" s="1"/>
  <c r="S98"/>
  <c r="G98"/>
  <c r="S96"/>
  <c r="G96"/>
  <c r="F95"/>
  <c r="G95" s="1"/>
  <c r="E95"/>
  <c r="D95"/>
  <c r="S95" s="1"/>
  <c r="S94"/>
  <c r="G94"/>
  <c r="F93"/>
  <c r="E93"/>
  <c r="D93"/>
  <c r="S93" s="1"/>
  <c r="S92"/>
  <c r="S91"/>
  <c r="G91"/>
  <c r="S90"/>
  <c r="G90"/>
  <c r="S89"/>
  <c r="G89"/>
  <c r="S88"/>
  <c r="F87"/>
  <c r="E87"/>
  <c r="D87"/>
  <c r="S87" s="1"/>
  <c r="T86"/>
  <c r="K86"/>
  <c r="F86"/>
  <c r="G86" s="1"/>
  <c r="D86"/>
  <c r="S86" s="1"/>
  <c r="T85"/>
  <c r="S85"/>
  <c r="G85"/>
  <c r="T84"/>
  <c r="S84"/>
  <c r="G84"/>
  <c r="T83"/>
  <c r="K83"/>
  <c r="F83"/>
  <c r="G83" s="1"/>
  <c r="D83"/>
  <c r="S83" s="1"/>
  <c r="T82"/>
  <c r="S82"/>
  <c r="T81"/>
  <c r="S81"/>
  <c r="G81"/>
  <c r="T80"/>
  <c r="K80"/>
  <c r="F80"/>
  <c r="U80" s="1"/>
  <c r="D80"/>
  <c r="S80" s="1"/>
  <c r="T79"/>
  <c r="S79"/>
  <c r="G79"/>
  <c r="T78"/>
  <c r="S78"/>
  <c r="G78"/>
  <c r="T77"/>
  <c r="K77"/>
  <c r="F77"/>
  <c r="U77" s="1"/>
  <c r="D77"/>
  <c r="S77" s="1"/>
  <c r="T76"/>
  <c r="S76"/>
  <c r="G76"/>
  <c r="T75"/>
  <c r="S75"/>
  <c r="G75"/>
  <c r="T74"/>
  <c r="F74"/>
  <c r="E74"/>
  <c r="D74"/>
  <c r="S74" s="1"/>
  <c r="I73"/>
  <c r="F73"/>
  <c r="G73" s="1"/>
  <c r="E73"/>
  <c r="D73"/>
  <c r="S73" s="1"/>
  <c r="T71"/>
  <c r="D71"/>
  <c r="S71" s="1"/>
  <c r="T70"/>
  <c r="S70"/>
  <c r="G70"/>
  <c r="T69"/>
  <c r="S69"/>
  <c r="G69"/>
  <c r="T68"/>
  <c r="G68"/>
  <c r="D68"/>
  <c r="S68" s="1"/>
  <c r="T67"/>
  <c r="S67"/>
  <c r="G67"/>
  <c r="T66"/>
  <c r="S66"/>
  <c r="G66"/>
  <c r="T65"/>
  <c r="F65"/>
  <c r="D65"/>
  <c r="S65" s="1"/>
  <c r="T64"/>
  <c r="S64"/>
  <c r="G64"/>
  <c r="T63"/>
  <c r="S63"/>
  <c r="G63"/>
  <c r="T62"/>
  <c r="F62"/>
  <c r="D62"/>
  <c r="S62" s="1"/>
  <c r="T61"/>
  <c r="S61"/>
  <c r="G61"/>
  <c r="T60"/>
  <c r="S60"/>
  <c r="G60"/>
  <c r="T59"/>
  <c r="K59"/>
  <c r="F59"/>
  <c r="G59" s="1"/>
  <c r="D59"/>
  <c r="S59" s="1"/>
  <c r="T58"/>
  <c r="S58"/>
  <c r="G58"/>
  <c r="T57"/>
  <c r="S57"/>
  <c r="G57"/>
  <c r="T56"/>
  <c r="F56"/>
  <c r="D56"/>
  <c r="S56" s="1"/>
  <c r="T55"/>
  <c r="S55"/>
  <c r="G55"/>
  <c r="T54"/>
  <c r="S54"/>
  <c r="G54"/>
  <c r="T53"/>
  <c r="T52"/>
  <c r="F52"/>
  <c r="D52"/>
  <c r="S52" s="1"/>
  <c r="T51"/>
  <c r="F51"/>
  <c r="D51"/>
  <c r="T50"/>
  <c r="D50"/>
  <c r="S50" s="1"/>
  <c r="T49"/>
  <c r="S49"/>
  <c r="G49"/>
  <c r="T48"/>
  <c r="S48"/>
  <c r="T47"/>
  <c r="F47"/>
  <c r="D47"/>
  <c r="S47" s="1"/>
  <c r="T46"/>
  <c r="S46"/>
  <c r="G46"/>
  <c r="S45"/>
  <c r="G45"/>
  <c r="T44"/>
  <c r="G44"/>
  <c r="D44"/>
  <c r="S44" s="1"/>
  <c r="T43"/>
  <c r="S43"/>
  <c r="G43"/>
  <c r="T42"/>
  <c r="S42"/>
  <c r="G42"/>
  <c r="F41"/>
  <c r="E41"/>
  <c r="D41"/>
  <c r="S41" s="1"/>
  <c r="T40"/>
  <c r="F40"/>
  <c r="D40"/>
  <c r="S40" s="1"/>
  <c r="T39"/>
  <c r="S39"/>
  <c r="G39"/>
  <c r="S38"/>
  <c r="G38"/>
  <c r="S36"/>
  <c r="G36"/>
  <c r="J35"/>
  <c r="F35"/>
  <c r="E35"/>
  <c r="D35"/>
  <c r="S35" s="1"/>
  <c r="T34"/>
  <c r="S34"/>
  <c r="G34"/>
  <c r="T33"/>
  <c r="S33"/>
  <c r="G33"/>
  <c r="T32"/>
  <c r="S32"/>
  <c r="G32"/>
  <c r="T31"/>
  <c r="S31"/>
  <c r="G31"/>
  <c r="F30"/>
  <c r="D30"/>
  <c r="S30" s="1"/>
  <c r="T29"/>
  <c r="F29"/>
  <c r="D29"/>
  <c r="S29" s="1"/>
  <c r="T28"/>
  <c r="S28"/>
  <c r="G28"/>
  <c r="T27"/>
  <c r="S27"/>
  <c r="G27"/>
  <c r="F26"/>
  <c r="E26"/>
  <c r="T26" s="1"/>
  <c r="D26"/>
  <c r="S26" s="1"/>
  <c r="T25"/>
  <c r="S25"/>
  <c r="G25"/>
  <c r="T24"/>
  <c r="S24"/>
  <c r="G24"/>
  <c r="F23"/>
  <c r="U23" s="1"/>
  <c r="E23"/>
  <c r="T23" s="1"/>
  <c r="D23"/>
  <c r="S23" s="1"/>
  <c r="T22"/>
  <c r="S22"/>
  <c r="G22"/>
  <c r="T21"/>
  <c r="S21"/>
  <c r="G21"/>
  <c r="T20"/>
  <c r="F20"/>
  <c r="U20" s="1"/>
  <c r="D20"/>
  <c r="S20" s="1"/>
  <c r="T19"/>
  <c r="S19"/>
  <c r="K19"/>
  <c r="G19"/>
  <c r="T18"/>
  <c r="S18"/>
  <c r="G18"/>
  <c r="T17"/>
  <c r="F17"/>
  <c r="G17" s="1"/>
  <c r="D17"/>
  <c r="S17" s="1"/>
  <c r="T16"/>
  <c r="S16"/>
  <c r="G16"/>
  <c r="T15"/>
  <c r="S15"/>
  <c r="G15"/>
  <c r="T14"/>
  <c r="F14"/>
  <c r="D14"/>
  <c r="S14" s="1"/>
  <c r="T13"/>
  <c r="S13"/>
  <c r="G13"/>
  <c r="T12"/>
  <c r="S12"/>
  <c r="G12"/>
  <c r="F11"/>
  <c r="D11"/>
  <c r="S11" s="1"/>
  <c r="R8"/>
  <c r="T5"/>
  <c r="H211" i="39"/>
  <c r="J184"/>
  <c r="H138" i="37"/>
  <c r="H139"/>
  <c r="H139" i="39" s="1"/>
  <c r="H138"/>
  <c r="Q107"/>
  <c r="J186"/>
  <c r="Q162"/>
  <c r="J162"/>
  <c r="J191"/>
  <c r="Q148"/>
  <c r="J152"/>
  <c r="K144"/>
  <c r="L144" s="1"/>
  <c r="O144"/>
  <c r="P144" s="1"/>
  <c r="Q130"/>
  <c r="Q109"/>
  <c r="J109"/>
  <c r="J48"/>
  <c r="J17" i="42" l="1"/>
  <c r="K17" s="1"/>
  <c r="U83"/>
  <c r="J198"/>
  <c r="G26" i="41"/>
  <c r="S99"/>
  <c r="D97"/>
  <c r="S97" s="1"/>
  <c r="J227"/>
  <c r="J226"/>
  <c r="J87"/>
  <c r="U23" i="42"/>
  <c r="G23"/>
  <c r="E145"/>
  <c r="D145" i="40"/>
  <c r="D37"/>
  <c r="S37" s="1"/>
  <c r="D53"/>
  <c r="S53" s="1"/>
  <c r="D72"/>
  <c r="S72" s="1"/>
  <c r="G87"/>
  <c r="G93"/>
  <c r="D110"/>
  <c r="S219"/>
  <c r="D195" i="41"/>
  <c r="S195" s="1"/>
  <c r="U80" i="42"/>
  <c r="G80"/>
  <c r="S198"/>
  <c r="D194"/>
  <c r="S194" s="1"/>
  <c r="O143" i="41"/>
  <c r="P143" s="1"/>
  <c r="K143"/>
  <c r="L143" s="1"/>
  <c r="G72" i="42"/>
  <c r="U59"/>
  <c r="G59"/>
  <c r="G104" i="40"/>
  <c r="G150"/>
  <c r="G219"/>
  <c r="D225"/>
  <c r="S225" s="1"/>
  <c r="G41" i="42"/>
  <c r="F37"/>
  <c r="G171"/>
  <c r="E218"/>
  <c r="J199" i="41"/>
  <c r="G20" i="42"/>
  <c r="G150"/>
  <c r="G104"/>
  <c r="G87" i="41"/>
  <c r="F110"/>
  <c r="G26" i="42"/>
  <c r="J225"/>
  <c r="G17"/>
  <c r="G219"/>
  <c r="G177"/>
  <c r="G111"/>
  <c r="E97"/>
  <c r="G30"/>
  <c r="D37"/>
  <c r="S37" s="1"/>
  <c r="G50"/>
  <c r="F10"/>
  <c r="K12"/>
  <c r="F120"/>
  <c r="G77" i="41"/>
  <c r="G183"/>
  <c r="G162"/>
  <c r="F161"/>
  <c r="G194" i="42"/>
  <c r="G35"/>
  <c r="G56"/>
  <c r="E120"/>
  <c r="G51"/>
  <c r="J160"/>
  <c r="G174"/>
  <c r="G47"/>
  <c r="G71"/>
  <c r="J87"/>
  <c r="D110"/>
  <c r="S110" s="1"/>
  <c r="S115"/>
  <c r="K143"/>
  <c r="L143" s="1"/>
  <c r="O143"/>
  <c r="P143" s="1"/>
  <c r="J14"/>
  <c r="H232"/>
  <c r="F9"/>
  <c r="D10"/>
  <c r="U86"/>
  <c r="G87"/>
  <c r="S99"/>
  <c r="G121"/>
  <c r="G146"/>
  <c r="T150"/>
  <c r="G160"/>
  <c r="G185"/>
  <c r="G218"/>
  <c r="G29"/>
  <c r="G53"/>
  <c r="G74"/>
  <c r="J146"/>
  <c r="F145"/>
  <c r="G162"/>
  <c r="J185"/>
  <c r="G62"/>
  <c r="G93"/>
  <c r="G95"/>
  <c r="G198"/>
  <c r="S222"/>
  <c r="G14"/>
  <c r="K15"/>
  <c r="G73"/>
  <c r="D53"/>
  <c r="S53" s="1"/>
  <c r="G179" i="41"/>
  <c r="G163"/>
  <c r="G158"/>
  <c r="G99"/>
  <c r="G71"/>
  <c r="G56"/>
  <c r="F37"/>
  <c r="G37" s="1"/>
  <c r="G30"/>
  <c r="G23"/>
  <c r="G11"/>
  <c r="E9"/>
  <c r="U17"/>
  <c r="G17"/>
  <c r="U20"/>
  <c r="G20"/>
  <c r="G35"/>
  <c r="G104"/>
  <c r="E97"/>
  <c r="F119"/>
  <c r="G178"/>
  <c r="S11"/>
  <c r="D10"/>
  <c r="D53"/>
  <c r="S53" s="1"/>
  <c r="S51"/>
  <c r="G73"/>
  <c r="F72"/>
  <c r="K101"/>
  <c r="G111"/>
  <c r="G121"/>
  <c r="G52"/>
  <c r="F53"/>
  <c r="G93"/>
  <c r="G95"/>
  <c r="G151"/>
  <c r="T23"/>
  <c r="D37"/>
  <c r="S37" s="1"/>
  <c r="F10"/>
  <c r="G48"/>
  <c r="F50"/>
  <c r="G65"/>
  <c r="E120"/>
  <c r="G147"/>
  <c r="K180"/>
  <c r="J186"/>
  <c r="D146"/>
  <c r="S147"/>
  <c r="G199"/>
  <c r="F195"/>
  <c r="U59"/>
  <c r="S223"/>
  <c r="G41"/>
  <c r="E195"/>
  <c r="F219"/>
  <c r="G186"/>
  <c r="G40"/>
  <c r="G51"/>
  <c r="G74"/>
  <c r="G83"/>
  <c r="G86"/>
  <c r="J71" i="40"/>
  <c r="K71" s="1"/>
  <c r="G71"/>
  <c r="U17"/>
  <c r="G182"/>
  <c r="G161"/>
  <c r="G160"/>
  <c r="G109"/>
  <c r="F50"/>
  <c r="G48"/>
  <c r="G125"/>
  <c r="J185"/>
  <c r="J150"/>
  <c r="K117"/>
  <c r="F120"/>
  <c r="F218"/>
  <c r="K172"/>
  <c r="G162"/>
  <c r="G30"/>
  <c r="G11"/>
  <c r="F10"/>
  <c r="D144"/>
  <c r="S144" s="1"/>
  <c r="S145"/>
  <c r="G47"/>
  <c r="G51"/>
  <c r="F53"/>
  <c r="G74"/>
  <c r="J95"/>
  <c r="K48"/>
  <c r="G62"/>
  <c r="F72"/>
  <c r="E97"/>
  <c r="G177"/>
  <c r="K179"/>
  <c r="G198"/>
  <c r="F194"/>
  <c r="F145" s="1"/>
  <c r="J227"/>
  <c r="E10"/>
  <c r="G20"/>
  <c r="G26"/>
  <c r="G29"/>
  <c r="K31"/>
  <c r="G41"/>
  <c r="J50"/>
  <c r="S51"/>
  <c r="G52"/>
  <c r="G56"/>
  <c r="U59"/>
  <c r="S104"/>
  <c r="S115"/>
  <c r="E120"/>
  <c r="G174"/>
  <c r="K175"/>
  <c r="K46"/>
  <c r="G146"/>
  <c r="E194"/>
  <c r="K61"/>
  <c r="K158"/>
  <c r="J157"/>
  <c r="J160"/>
  <c r="D10"/>
  <c r="F37"/>
  <c r="S160"/>
  <c r="G14"/>
  <c r="G23"/>
  <c r="G35"/>
  <c r="J47"/>
  <c r="K55"/>
  <c r="U83"/>
  <c r="U86"/>
  <c r="G185"/>
  <c r="J198"/>
  <c r="G40"/>
  <c r="G65"/>
  <c r="K69"/>
  <c r="G77"/>
  <c r="G80"/>
  <c r="G121"/>
  <c r="K169"/>
  <c r="G190"/>
  <c r="J201" i="39"/>
  <c r="J199" s="1"/>
  <c r="J183"/>
  <c r="R191"/>
  <c r="J151"/>
  <c r="J77"/>
  <c r="K77" s="1"/>
  <c r="J86"/>
  <c r="K86" s="1"/>
  <c r="J80"/>
  <c r="K80" s="1"/>
  <c r="J134"/>
  <c r="Q125"/>
  <c r="J105"/>
  <c r="Q105"/>
  <c r="Q31"/>
  <c r="J83"/>
  <c r="K83" s="1"/>
  <c r="F41"/>
  <c r="F37" s="1"/>
  <c r="G37" s="1"/>
  <c r="Q32"/>
  <c r="I232"/>
  <c r="H229"/>
  <c r="H233" s="1"/>
  <c r="T228"/>
  <c r="J228"/>
  <c r="D228"/>
  <c r="T227"/>
  <c r="D227"/>
  <c r="T226"/>
  <c r="U225"/>
  <c r="T225"/>
  <c r="S225"/>
  <c r="U224"/>
  <c r="T224"/>
  <c r="S224"/>
  <c r="K223"/>
  <c r="J223"/>
  <c r="I223"/>
  <c r="H223"/>
  <c r="G223"/>
  <c r="F223"/>
  <c r="E223"/>
  <c r="D223"/>
  <c r="S223" s="1"/>
  <c r="U222"/>
  <c r="T222"/>
  <c r="S222"/>
  <c r="F220"/>
  <c r="E220"/>
  <c r="D220"/>
  <c r="D219" s="1"/>
  <c r="S219" s="1"/>
  <c r="S218"/>
  <c r="G218"/>
  <c r="F217"/>
  <c r="S216"/>
  <c r="G216"/>
  <c r="S214"/>
  <c r="S211"/>
  <c r="G211"/>
  <c r="S210"/>
  <c r="G210"/>
  <c r="S209"/>
  <c r="G209"/>
  <c r="S208"/>
  <c r="G208"/>
  <c r="S207"/>
  <c r="G207"/>
  <c r="S206"/>
  <c r="G206"/>
  <c r="S205"/>
  <c r="G205"/>
  <c r="S204"/>
  <c r="G204"/>
  <c r="S203"/>
  <c r="G203"/>
  <c r="S202"/>
  <c r="G202"/>
  <c r="S201"/>
  <c r="G201"/>
  <c r="S200"/>
  <c r="G200"/>
  <c r="F199"/>
  <c r="E199"/>
  <c r="D199"/>
  <c r="S199" s="1"/>
  <c r="S198"/>
  <c r="G198"/>
  <c r="S197"/>
  <c r="G197"/>
  <c r="S196"/>
  <c r="G196"/>
  <c r="D195"/>
  <c r="S195" s="1"/>
  <c r="S194"/>
  <c r="G194"/>
  <c r="S193"/>
  <c r="G193"/>
  <c r="S192"/>
  <c r="G192"/>
  <c r="F191"/>
  <c r="D191"/>
  <c r="S191" s="1"/>
  <c r="S190"/>
  <c r="G190"/>
  <c r="S189"/>
  <c r="G189"/>
  <c r="S188"/>
  <c r="G188"/>
  <c r="S187"/>
  <c r="G187"/>
  <c r="F186"/>
  <c r="E186"/>
  <c r="D186"/>
  <c r="S186" s="1"/>
  <c r="T185"/>
  <c r="S185"/>
  <c r="G185"/>
  <c r="U184"/>
  <c r="T184"/>
  <c r="K184"/>
  <c r="G184"/>
  <c r="D184"/>
  <c r="S184" s="1"/>
  <c r="S183"/>
  <c r="G183"/>
  <c r="T182"/>
  <c r="S182"/>
  <c r="G182"/>
  <c r="T181"/>
  <c r="S181"/>
  <c r="K181"/>
  <c r="G181"/>
  <c r="T180"/>
  <c r="S180"/>
  <c r="G180"/>
  <c r="S179"/>
  <c r="F179"/>
  <c r="T178"/>
  <c r="F178"/>
  <c r="D178"/>
  <c r="S178" s="1"/>
  <c r="T177"/>
  <c r="S177"/>
  <c r="G177"/>
  <c r="T176"/>
  <c r="S176"/>
  <c r="G176"/>
  <c r="T175"/>
  <c r="F175"/>
  <c r="D175"/>
  <c r="S175" s="1"/>
  <c r="T174"/>
  <c r="S174"/>
  <c r="K174"/>
  <c r="G174"/>
  <c r="T173"/>
  <c r="S173"/>
  <c r="G173"/>
  <c r="T172"/>
  <c r="F172"/>
  <c r="D172"/>
  <c r="S172" s="1"/>
  <c r="T171"/>
  <c r="S171"/>
  <c r="K171"/>
  <c r="G171"/>
  <c r="T170"/>
  <c r="S170"/>
  <c r="G170"/>
  <c r="U169"/>
  <c r="T169"/>
  <c r="S169"/>
  <c r="K169"/>
  <c r="G169"/>
  <c r="D169"/>
  <c r="T168"/>
  <c r="S168"/>
  <c r="G168"/>
  <c r="T167"/>
  <c r="S167"/>
  <c r="G167"/>
  <c r="T166"/>
  <c r="F166"/>
  <c r="G166" s="1"/>
  <c r="D166"/>
  <c r="S166" s="1"/>
  <c r="T165"/>
  <c r="S165"/>
  <c r="K165"/>
  <c r="G165"/>
  <c r="T164"/>
  <c r="S164"/>
  <c r="G164"/>
  <c r="F163"/>
  <c r="D163"/>
  <c r="S163" s="1"/>
  <c r="S162"/>
  <c r="F162"/>
  <c r="E161"/>
  <c r="D161"/>
  <c r="S161" s="1"/>
  <c r="T160"/>
  <c r="S160"/>
  <c r="K160"/>
  <c r="G160"/>
  <c r="T159"/>
  <c r="S159"/>
  <c r="G159"/>
  <c r="F158"/>
  <c r="D158"/>
  <c r="S158" s="1"/>
  <c r="S157"/>
  <c r="G157"/>
  <c r="S156"/>
  <c r="G156"/>
  <c r="S155"/>
  <c r="G155"/>
  <c r="S154"/>
  <c r="G154"/>
  <c r="S153"/>
  <c r="G153"/>
  <c r="S152"/>
  <c r="G152"/>
  <c r="T151"/>
  <c r="G151"/>
  <c r="F151"/>
  <c r="E151"/>
  <c r="D151"/>
  <c r="S151" s="1"/>
  <c r="T150"/>
  <c r="S150"/>
  <c r="G150"/>
  <c r="S149"/>
  <c r="G149"/>
  <c r="S148"/>
  <c r="G148"/>
  <c r="F147"/>
  <c r="E147"/>
  <c r="D147"/>
  <c r="S147" s="1"/>
  <c r="O143"/>
  <c r="P143" s="1"/>
  <c r="K143"/>
  <c r="L143" s="1"/>
  <c r="K142"/>
  <c r="L142" s="1"/>
  <c r="H142"/>
  <c r="O142" s="1"/>
  <c r="P142" s="1"/>
  <c r="K141"/>
  <c r="L141" s="1"/>
  <c r="H141"/>
  <c r="O141" s="1"/>
  <c r="P141" s="1"/>
  <c r="K140"/>
  <c r="L140" s="1"/>
  <c r="H140"/>
  <c r="O140" s="1"/>
  <c r="P140" s="1"/>
  <c r="O139"/>
  <c r="P139" s="1"/>
  <c r="S137"/>
  <c r="G137"/>
  <c r="S136"/>
  <c r="G136"/>
  <c r="S135"/>
  <c r="G135"/>
  <c r="S134"/>
  <c r="G134"/>
  <c r="S133"/>
  <c r="G133"/>
  <c r="S132"/>
  <c r="G132"/>
  <c r="S131"/>
  <c r="G131"/>
  <c r="S130"/>
  <c r="F130"/>
  <c r="G130" s="1"/>
  <c r="S129"/>
  <c r="G129"/>
  <c r="S128"/>
  <c r="G128"/>
  <c r="S127"/>
  <c r="G127"/>
  <c r="S126"/>
  <c r="G126"/>
  <c r="S125"/>
  <c r="F125"/>
  <c r="G125" s="1"/>
  <c r="S124"/>
  <c r="G124"/>
  <c r="S123"/>
  <c r="G123"/>
  <c r="U122"/>
  <c r="T122"/>
  <c r="S122"/>
  <c r="K122"/>
  <c r="L122" s="1"/>
  <c r="G122"/>
  <c r="S121"/>
  <c r="F121"/>
  <c r="E121"/>
  <c r="G121" s="1"/>
  <c r="S120"/>
  <c r="F120"/>
  <c r="E120"/>
  <c r="S119"/>
  <c r="D119"/>
  <c r="T118"/>
  <c r="S118"/>
  <c r="G118"/>
  <c r="T117"/>
  <c r="S117"/>
  <c r="K117"/>
  <c r="G117"/>
  <c r="T116"/>
  <c r="S116"/>
  <c r="G116"/>
  <c r="G115"/>
  <c r="D115"/>
  <c r="T114"/>
  <c r="S114"/>
  <c r="G114"/>
  <c r="T113"/>
  <c r="S113"/>
  <c r="K113"/>
  <c r="G113"/>
  <c r="T112"/>
  <c r="S112"/>
  <c r="K112"/>
  <c r="G112"/>
  <c r="S111"/>
  <c r="F111"/>
  <c r="G111" s="1"/>
  <c r="E110"/>
  <c r="S109"/>
  <c r="F109"/>
  <c r="S108"/>
  <c r="G108"/>
  <c r="S107"/>
  <c r="G107"/>
  <c r="S106"/>
  <c r="G106"/>
  <c r="S105"/>
  <c r="G105"/>
  <c r="F104"/>
  <c r="G104" s="1"/>
  <c r="E104"/>
  <c r="D104"/>
  <c r="S103"/>
  <c r="G103"/>
  <c r="T102"/>
  <c r="S102"/>
  <c r="G102"/>
  <c r="T101"/>
  <c r="S101"/>
  <c r="G101"/>
  <c r="T100"/>
  <c r="S100"/>
  <c r="G100"/>
  <c r="G99"/>
  <c r="F99"/>
  <c r="D99"/>
  <c r="S99" s="1"/>
  <c r="S98"/>
  <c r="G98"/>
  <c r="S96"/>
  <c r="G96"/>
  <c r="F95"/>
  <c r="E95"/>
  <c r="D95"/>
  <c r="S95" s="1"/>
  <c r="S94"/>
  <c r="G94"/>
  <c r="J93"/>
  <c r="F93"/>
  <c r="E93"/>
  <c r="D93"/>
  <c r="S93" s="1"/>
  <c r="S92"/>
  <c r="S91"/>
  <c r="G91"/>
  <c r="S90"/>
  <c r="G90"/>
  <c r="S89"/>
  <c r="G89"/>
  <c r="S88"/>
  <c r="F88"/>
  <c r="G88" s="1"/>
  <c r="E87"/>
  <c r="D87"/>
  <c r="S87" s="1"/>
  <c r="T86"/>
  <c r="F86"/>
  <c r="G86" s="1"/>
  <c r="D86"/>
  <c r="S86" s="1"/>
  <c r="T85"/>
  <c r="S85"/>
  <c r="G85"/>
  <c r="T84"/>
  <c r="S84"/>
  <c r="G84"/>
  <c r="T83"/>
  <c r="F83"/>
  <c r="G83" s="1"/>
  <c r="D83"/>
  <c r="S83" s="1"/>
  <c r="T82"/>
  <c r="S82"/>
  <c r="J74"/>
  <c r="T81"/>
  <c r="S81"/>
  <c r="G81"/>
  <c r="T80"/>
  <c r="F80"/>
  <c r="U80" s="1"/>
  <c r="D80"/>
  <c r="S80" s="1"/>
  <c r="T79"/>
  <c r="S79"/>
  <c r="K79"/>
  <c r="G79"/>
  <c r="T78"/>
  <c r="S78"/>
  <c r="G78"/>
  <c r="T77"/>
  <c r="F77"/>
  <c r="U77" s="1"/>
  <c r="D77"/>
  <c r="S77" s="1"/>
  <c r="T76"/>
  <c r="S76"/>
  <c r="K76"/>
  <c r="G76"/>
  <c r="T75"/>
  <c r="S75"/>
  <c r="G75"/>
  <c r="F74"/>
  <c r="E74"/>
  <c r="T74" s="1"/>
  <c r="D74"/>
  <c r="S74" s="1"/>
  <c r="I73"/>
  <c r="F73"/>
  <c r="E73"/>
  <c r="D73"/>
  <c r="S73" s="1"/>
  <c r="T71"/>
  <c r="F71"/>
  <c r="G71" s="1"/>
  <c r="D71"/>
  <c r="S71" s="1"/>
  <c r="T70"/>
  <c r="S70"/>
  <c r="K70"/>
  <c r="G70"/>
  <c r="T69"/>
  <c r="S69"/>
  <c r="J71"/>
  <c r="K71" s="1"/>
  <c r="G69"/>
  <c r="T68"/>
  <c r="G68"/>
  <c r="D68"/>
  <c r="S68" s="1"/>
  <c r="T67"/>
  <c r="S67"/>
  <c r="G67"/>
  <c r="T66"/>
  <c r="S66"/>
  <c r="G66"/>
  <c r="T65"/>
  <c r="F65"/>
  <c r="D65"/>
  <c r="S65" s="1"/>
  <c r="T64"/>
  <c r="S64"/>
  <c r="G64"/>
  <c r="T63"/>
  <c r="S63"/>
  <c r="G63"/>
  <c r="T62"/>
  <c r="F62"/>
  <c r="D62"/>
  <c r="S62" s="1"/>
  <c r="T61"/>
  <c r="S61"/>
  <c r="G61"/>
  <c r="T60"/>
  <c r="S60"/>
  <c r="G60"/>
  <c r="T59"/>
  <c r="F59"/>
  <c r="G59" s="1"/>
  <c r="D59"/>
  <c r="S59" s="1"/>
  <c r="T58"/>
  <c r="S58"/>
  <c r="G58"/>
  <c r="T57"/>
  <c r="S57"/>
  <c r="G57"/>
  <c r="T56"/>
  <c r="G56"/>
  <c r="F56"/>
  <c r="D56"/>
  <c r="S56" s="1"/>
  <c r="T55"/>
  <c r="S55"/>
  <c r="K55"/>
  <c r="G55"/>
  <c r="T54"/>
  <c r="S54"/>
  <c r="G54"/>
  <c r="T53"/>
  <c r="T52"/>
  <c r="F52"/>
  <c r="D52"/>
  <c r="S52" s="1"/>
  <c r="T51"/>
  <c r="F51"/>
  <c r="D51"/>
  <c r="T50"/>
  <c r="F50"/>
  <c r="D50"/>
  <c r="S50" s="1"/>
  <c r="T49"/>
  <c r="S49"/>
  <c r="K49"/>
  <c r="G49"/>
  <c r="T48"/>
  <c r="S48"/>
  <c r="G48"/>
  <c r="T47"/>
  <c r="F47"/>
  <c r="D47"/>
  <c r="S47" s="1"/>
  <c r="T46"/>
  <c r="S46"/>
  <c r="G46"/>
  <c r="S45"/>
  <c r="J47"/>
  <c r="G45"/>
  <c r="T44"/>
  <c r="G44"/>
  <c r="D44"/>
  <c r="S44" s="1"/>
  <c r="T43"/>
  <c r="S43"/>
  <c r="G43"/>
  <c r="T42"/>
  <c r="S42"/>
  <c r="G42"/>
  <c r="E41"/>
  <c r="D41"/>
  <c r="S41" s="1"/>
  <c r="T40"/>
  <c r="F40"/>
  <c r="D40"/>
  <c r="S40" s="1"/>
  <c r="T39"/>
  <c r="S39"/>
  <c r="G39"/>
  <c r="S38"/>
  <c r="G38"/>
  <c r="S36"/>
  <c r="G36"/>
  <c r="F35"/>
  <c r="E35"/>
  <c r="D35"/>
  <c r="S35" s="1"/>
  <c r="T34"/>
  <c r="S34"/>
  <c r="G34"/>
  <c r="T33"/>
  <c r="S33"/>
  <c r="K33"/>
  <c r="G33"/>
  <c r="T32"/>
  <c r="S32"/>
  <c r="K32"/>
  <c r="G32"/>
  <c r="T31"/>
  <c r="S31"/>
  <c r="K31"/>
  <c r="G31"/>
  <c r="F30"/>
  <c r="G30" s="1"/>
  <c r="D30"/>
  <c r="S30" s="1"/>
  <c r="T29"/>
  <c r="F29"/>
  <c r="G29" s="1"/>
  <c r="D29"/>
  <c r="S29" s="1"/>
  <c r="T28"/>
  <c r="S28"/>
  <c r="G28"/>
  <c r="T27"/>
  <c r="S27"/>
  <c r="G27"/>
  <c r="G26"/>
  <c r="F26"/>
  <c r="E26"/>
  <c r="T26" s="1"/>
  <c r="D26"/>
  <c r="S26" s="1"/>
  <c r="T25"/>
  <c r="S25"/>
  <c r="G25"/>
  <c r="T24"/>
  <c r="S24"/>
  <c r="G24"/>
  <c r="T23"/>
  <c r="F23"/>
  <c r="U23" s="1"/>
  <c r="E23"/>
  <c r="D23"/>
  <c r="S23" s="1"/>
  <c r="T22"/>
  <c r="S22"/>
  <c r="K22"/>
  <c r="G22"/>
  <c r="T21"/>
  <c r="S21"/>
  <c r="G21"/>
  <c r="T20"/>
  <c r="F20"/>
  <c r="U20" s="1"/>
  <c r="D20"/>
  <c r="S20" s="1"/>
  <c r="T19"/>
  <c r="S19"/>
  <c r="K19"/>
  <c r="G19"/>
  <c r="T18"/>
  <c r="S18"/>
  <c r="G18"/>
  <c r="T17"/>
  <c r="F17"/>
  <c r="U17" s="1"/>
  <c r="D17"/>
  <c r="S17" s="1"/>
  <c r="T16"/>
  <c r="S16"/>
  <c r="K16"/>
  <c r="G16"/>
  <c r="T15"/>
  <c r="S15"/>
  <c r="G15"/>
  <c r="T14"/>
  <c r="F14"/>
  <c r="D14"/>
  <c r="S14" s="1"/>
  <c r="T13"/>
  <c r="S13"/>
  <c r="K13"/>
  <c r="G13"/>
  <c r="T12"/>
  <c r="S12"/>
  <c r="G12"/>
  <c r="F11"/>
  <c r="G11" s="1"/>
  <c r="D11"/>
  <c r="S11" s="1"/>
  <c r="E10"/>
  <c r="E9" s="1"/>
  <c r="R8"/>
  <c r="T5"/>
  <c r="O143" i="38"/>
  <c r="P143" s="1"/>
  <c r="O141"/>
  <c r="P141" s="1"/>
  <c r="L140"/>
  <c r="K140"/>
  <c r="K143"/>
  <c r="L143" s="1"/>
  <c r="K142"/>
  <c r="L142" s="1"/>
  <c r="K141"/>
  <c r="L141" s="1"/>
  <c r="F130"/>
  <c r="F161"/>
  <c r="F121"/>
  <c r="F125"/>
  <c r="F109"/>
  <c r="G109" s="1"/>
  <c r="F88"/>
  <c r="F87" s="1"/>
  <c r="F30"/>
  <c r="G30" s="1"/>
  <c r="H142"/>
  <c r="H141"/>
  <c r="H140"/>
  <c r="I231"/>
  <c r="H228"/>
  <c r="H232" s="1"/>
  <c r="T227"/>
  <c r="D227"/>
  <c r="T226"/>
  <c r="D226"/>
  <c r="T225"/>
  <c r="U224"/>
  <c r="T224"/>
  <c r="S224"/>
  <c r="U223"/>
  <c r="T223"/>
  <c r="S223"/>
  <c r="K222"/>
  <c r="J222"/>
  <c r="I222"/>
  <c r="H222"/>
  <c r="G222"/>
  <c r="F222"/>
  <c r="E222"/>
  <c r="D222"/>
  <c r="D225" s="1"/>
  <c r="S225" s="1"/>
  <c r="U221"/>
  <c r="T221"/>
  <c r="S221"/>
  <c r="F219"/>
  <c r="E219"/>
  <c r="D219"/>
  <c r="S217"/>
  <c r="G217"/>
  <c r="S215"/>
  <c r="G215"/>
  <c r="S213"/>
  <c r="S210"/>
  <c r="G210"/>
  <c r="S209"/>
  <c r="G209"/>
  <c r="S208"/>
  <c r="G208"/>
  <c r="S207"/>
  <c r="G207"/>
  <c r="S206"/>
  <c r="G206"/>
  <c r="S205"/>
  <c r="G205"/>
  <c r="S204"/>
  <c r="G204"/>
  <c r="S203"/>
  <c r="G203"/>
  <c r="S202"/>
  <c r="G202"/>
  <c r="S201"/>
  <c r="G201"/>
  <c r="S200"/>
  <c r="G200"/>
  <c r="S199"/>
  <c r="G199"/>
  <c r="F198"/>
  <c r="E198"/>
  <c r="D198"/>
  <c r="D194" s="1"/>
  <c r="S194" s="1"/>
  <c r="S197"/>
  <c r="G197"/>
  <c r="S196"/>
  <c r="G196"/>
  <c r="S195"/>
  <c r="G195"/>
  <c r="E194"/>
  <c r="S193"/>
  <c r="G193"/>
  <c r="S192"/>
  <c r="G192"/>
  <c r="S191"/>
  <c r="G191"/>
  <c r="R190"/>
  <c r="F190"/>
  <c r="G190" s="1"/>
  <c r="D190"/>
  <c r="S190" s="1"/>
  <c r="S189"/>
  <c r="G189"/>
  <c r="S188"/>
  <c r="G188"/>
  <c r="S187"/>
  <c r="G187"/>
  <c r="S186"/>
  <c r="G186"/>
  <c r="G185"/>
  <c r="F185"/>
  <c r="E185"/>
  <c r="D185"/>
  <c r="S185" s="1"/>
  <c r="T184"/>
  <c r="S184"/>
  <c r="G184"/>
  <c r="U183"/>
  <c r="T183"/>
  <c r="K183"/>
  <c r="G183"/>
  <c r="D183"/>
  <c r="S183" s="1"/>
  <c r="S182"/>
  <c r="G182"/>
  <c r="T181"/>
  <c r="S181"/>
  <c r="G181"/>
  <c r="T180"/>
  <c r="S180"/>
  <c r="G180"/>
  <c r="T179"/>
  <c r="S179"/>
  <c r="G179"/>
  <c r="S178"/>
  <c r="F178"/>
  <c r="T177"/>
  <c r="F177"/>
  <c r="D177"/>
  <c r="S177" s="1"/>
  <c r="T176"/>
  <c r="S176"/>
  <c r="G176"/>
  <c r="T175"/>
  <c r="S175"/>
  <c r="G175"/>
  <c r="T174"/>
  <c r="F174"/>
  <c r="D174"/>
  <c r="S174" s="1"/>
  <c r="T173"/>
  <c r="S173"/>
  <c r="G173"/>
  <c r="T172"/>
  <c r="S172"/>
  <c r="G172"/>
  <c r="T171"/>
  <c r="F171"/>
  <c r="D171"/>
  <c r="S171" s="1"/>
  <c r="T170"/>
  <c r="S170"/>
  <c r="G170"/>
  <c r="T169"/>
  <c r="S169"/>
  <c r="G169"/>
  <c r="U168"/>
  <c r="T168"/>
  <c r="K168"/>
  <c r="G168"/>
  <c r="D168"/>
  <c r="S168" s="1"/>
  <c r="T167"/>
  <c r="S167"/>
  <c r="G167"/>
  <c r="T166"/>
  <c r="S166"/>
  <c r="G166"/>
  <c r="T165"/>
  <c r="F165"/>
  <c r="D165"/>
  <c r="S165" s="1"/>
  <c r="T164"/>
  <c r="S164"/>
  <c r="G164"/>
  <c r="T163"/>
  <c r="S163"/>
  <c r="G163"/>
  <c r="F162"/>
  <c r="G162" s="1"/>
  <c r="D162"/>
  <c r="S162" s="1"/>
  <c r="S161"/>
  <c r="S160"/>
  <c r="F160"/>
  <c r="E160"/>
  <c r="D160"/>
  <c r="T159"/>
  <c r="S159"/>
  <c r="G159"/>
  <c r="T158"/>
  <c r="S158"/>
  <c r="G158"/>
  <c r="F157"/>
  <c r="G157" s="1"/>
  <c r="D157"/>
  <c r="S157" s="1"/>
  <c r="S156"/>
  <c r="G156"/>
  <c r="S155"/>
  <c r="G155"/>
  <c r="S154"/>
  <c r="G154"/>
  <c r="S153"/>
  <c r="G153"/>
  <c r="S152"/>
  <c r="G152"/>
  <c r="S151"/>
  <c r="G151"/>
  <c r="S150"/>
  <c r="F150"/>
  <c r="E150"/>
  <c r="T150" s="1"/>
  <c r="D150"/>
  <c r="T149"/>
  <c r="S149"/>
  <c r="G149"/>
  <c r="S148"/>
  <c r="G148"/>
  <c r="S147"/>
  <c r="G147"/>
  <c r="F146"/>
  <c r="E146"/>
  <c r="D146"/>
  <c r="E145"/>
  <c r="S137"/>
  <c r="G137"/>
  <c r="S136"/>
  <c r="G136"/>
  <c r="S135"/>
  <c r="G135"/>
  <c r="S134"/>
  <c r="G134"/>
  <c r="S133"/>
  <c r="G133"/>
  <c r="S132"/>
  <c r="G132"/>
  <c r="S131"/>
  <c r="G131"/>
  <c r="S130"/>
  <c r="S129"/>
  <c r="G129"/>
  <c r="S128"/>
  <c r="G128"/>
  <c r="S127"/>
  <c r="G127"/>
  <c r="S126"/>
  <c r="G126"/>
  <c r="S125"/>
  <c r="G125"/>
  <c r="S124"/>
  <c r="G124"/>
  <c r="S123"/>
  <c r="G123"/>
  <c r="U122"/>
  <c r="T122"/>
  <c r="S122"/>
  <c r="K122"/>
  <c r="L122" s="1"/>
  <c r="G122"/>
  <c r="S121"/>
  <c r="E121"/>
  <c r="S120"/>
  <c r="D119"/>
  <c r="S119" s="1"/>
  <c r="T118"/>
  <c r="S118"/>
  <c r="G118"/>
  <c r="T117"/>
  <c r="S117"/>
  <c r="G117"/>
  <c r="T116"/>
  <c r="S116"/>
  <c r="G116"/>
  <c r="G115"/>
  <c r="D115"/>
  <c r="S115" s="1"/>
  <c r="T114"/>
  <c r="S114"/>
  <c r="G114"/>
  <c r="T113"/>
  <c r="S113"/>
  <c r="G113"/>
  <c r="T112"/>
  <c r="S112"/>
  <c r="G112"/>
  <c r="S111"/>
  <c r="F111"/>
  <c r="E110"/>
  <c r="D110"/>
  <c r="S110" s="1"/>
  <c r="S109"/>
  <c r="S108"/>
  <c r="G108"/>
  <c r="S107"/>
  <c r="G107"/>
  <c r="S106"/>
  <c r="G106"/>
  <c r="S105"/>
  <c r="G105"/>
  <c r="F104"/>
  <c r="E104"/>
  <c r="D104"/>
  <c r="S104" s="1"/>
  <c r="S103"/>
  <c r="G103"/>
  <c r="T102"/>
  <c r="S102"/>
  <c r="G102"/>
  <c r="T101"/>
  <c r="S101"/>
  <c r="G101"/>
  <c r="T100"/>
  <c r="S100"/>
  <c r="G100"/>
  <c r="G99"/>
  <c r="D99"/>
  <c r="S98"/>
  <c r="G98"/>
  <c r="E97"/>
  <c r="S96"/>
  <c r="G96"/>
  <c r="S95"/>
  <c r="F95"/>
  <c r="E95"/>
  <c r="D95"/>
  <c r="S94"/>
  <c r="G94"/>
  <c r="G93"/>
  <c r="F93"/>
  <c r="E93"/>
  <c r="D93"/>
  <c r="S93" s="1"/>
  <c r="S92"/>
  <c r="S91"/>
  <c r="G91"/>
  <c r="S90"/>
  <c r="G90"/>
  <c r="S89"/>
  <c r="G89"/>
  <c r="S88"/>
  <c r="E87"/>
  <c r="D87"/>
  <c r="S87" s="1"/>
  <c r="T86"/>
  <c r="K86"/>
  <c r="F86"/>
  <c r="U86" s="1"/>
  <c r="D86"/>
  <c r="S86" s="1"/>
  <c r="T85"/>
  <c r="S85"/>
  <c r="G85"/>
  <c r="T84"/>
  <c r="S84"/>
  <c r="G84"/>
  <c r="T83"/>
  <c r="K83"/>
  <c r="F83"/>
  <c r="U83" s="1"/>
  <c r="D83"/>
  <c r="S83" s="1"/>
  <c r="T82"/>
  <c r="S82"/>
  <c r="T81"/>
  <c r="S81"/>
  <c r="G81"/>
  <c r="T80"/>
  <c r="K80"/>
  <c r="F80"/>
  <c r="G80" s="1"/>
  <c r="D80"/>
  <c r="S80" s="1"/>
  <c r="T79"/>
  <c r="S79"/>
  <c r="G79"/>
  <c r="T78"/>
  <c r="S78"/>
  <c r="G78"/>
  <c r="T77"/>
  <c r="K77"/>
  <c r="F77"/>
  <c r="U77" s="1"/>
  <c r="D77"/>
  <c r="S77" s="1"/>
  <c r="T76"/>
  <c r="S76"/>
  <c r="G76"/>
  <c r="T75"/>
  <c r="S75"/>
  <c r="G75"/>
  <c r="F74"/>
  <c r="G74" s="1"/>
  <c r="E74"/>
  <c r="T74" s="1"/>
  <c r="D74"/>
  <c r="S74" s="1"/>
  <c r="I73"/>
  <c r="F73"/>
  <c r="E73"/>
  <c r="D73"/>
  <c r="T71"/>
  <c r="F71"/>
  <c r="D71"/>
  <c r="S71" s="1"/>
  <c r="T70"/>
  <c r="S70"/>
  <c r="G70"/>
  <c r="T69"/>
  <c r="S69"/>
  <c r="G69"/>
  <c r="T68"/>
  <c r="G68"/>
  <c r="D68"/>
  <c r="S68" s="1"/>
  <c r="T67"/>
  <c r="S67"/>
  <c r="G67"/>
  <c r="T66"/>
  <c r="S66"/>
  <c r="G66"/>
  <c r="T65"/>
  <c r="F65"/>
  <c r="G65" s="1"/>
  <c r="D65"/>
  <c r="S65" s="1"/>
  <c r="T64"/>
  <c r="S64"/>
  <c r="G64"/>
  <c r="T63"/>
  <c r="S63"/>
  <c r="G63"/>
  <c r="T62"/>
  <c r="F62"/>
  <c r="D62"/>
  <c r="S62" s="1"/>
  <c r="T61"/>
  <c r="S61"/>
  <c r="G61"/>
  <c r="T60"/>
  <c r="S60"/>
  <c r="G60"/>
  <c r="T59"/>
  <c r="K59"/>
  <c r="F59"/>
  <c r="D59"/>
  <c r="S59" s="1"/>
  <c r="T58"/>
  <c r="S58"/>
  <c r="G58"/>
  <c r="T57"/>
  <c r="S57"/>
  <c r="G57"/>
  <c r="T56"/>
  <c r="F56"/>
  <c r="D56"/>
  <c r="S56" s="1"/>
  <c r="T55"/>
  <c r="S55"/>
  <c r="G55"/>
  <c r="T54"/>
  <c r="S54"/>
  <c r="G54"/>
  <c r="T53"/>
  <c r="T52"/>
  <c r="F52"/>
  <c r="D52"/>
  <c r="S52" s="1"/>
  <c r="T51"/>
  <c r="F51"/>
  <c r="G51" s="1"/>
  <c r="D51"/>
  <c r="S51" s="1"/>
  <c r="T50"/>
  <c r="F50"/>
  <c r="G50" s="1"/>
  <c r="D50"/>
  <c r="S50" s="1"/>
  <c r="T49"/>
  <c r="S49"/>
  <c r="G49"/>
  <c r="T48"/>
  <c r="S48"/>
  <c r="G48"/>
  <c r="T47"/>
  <c r="F47"/>
  <c r="D47"/>
  <c r="S47" s="1"/>
  <c r="T46"/>
  <c r="S46"/>
  <c r="G46"/>
  <c r="S45"/>
  <c r="G45"/>
  <c r="T44"/>
  <c r="G44"/>
  <c r="D44"/>
  <c r="S44" s="1"/>
  <c r="T43"/>
  <c r="S43"/>
  <c r="G43"/>
  <c r="T42"/>
  <c r="S42"/>
  <c r="G42"/>
  <c r="F41"/>
  <c r="E41"/>
  <c r="D41"/>
  <c r="T40"/>
  <c r="F40"/>
  <c r="D40"/>
  <c r="S40" s="1"/>
  <c r="T39"/>
  <c r="S39"/>
  <c r="G39"/>
  <c r="S38"/>
  <c r="G38"/>
  <c r="S36"/>
  <c r="G36"/>
  <c r="F35"/>
  <c r="E35"/>
  <c r="D35"/>
  <c r="S35" s="1"/>
  <c r="T34"/>
  <c r="S34"/>
  <c r="G34"/>
  <c r="T33"/>
  <c r="S33"/>
  <c r="G33"/>
  <c r="T32"/>
  <c r="S32"/>
  <c r="G32"/>
  <c r="T31"/>
  <c r="S31"/>
  <c r="D30"/>
  <c r="S30" s="1"/>
  <c r="T29"/>
  <c r="F29"/>
  <c r="D29"/>
  <c r="S29" s="1"/>
  <c r="T28"/>
  <c r="S28"/>
  <c r="G28"/>
  <c r="T27"/>
  <c r="S27"/>
  <c r="G27"/>
  <c r="T26"/>
  <c r="F26"/>
  <c r="E26"/>
  <c r="D26"/>
  <c r="S26" s="1"/>
  <c r="T25"/>
  <c r="S25"/>
  <c r="G25"/>
  <c r="T24"/>
  <c r="S24"/>
  <c r="G24"/>
  <c r="F23"/>
  <c r="U23" s="1"/>
  <c r="E23"/>
  <c r="T23" s="1"/>
  <c r="D23"/>
  <c r="S23" s="1"/>
  <c r="T22"/>
  <c r="S22"/>
  <c r="G22"/>
  <c r="T21"/>
  <c r="S21"/>
  <c r="G21"/>
  <c r="T20"/>
  <c r="F20"/>
  <c r="G20" s="1"/>
  <c r="D20"/>
  <c r="S20" s="1"/>
  <c r="T19"/>
  <c r="S19"/>
  <c r="G19"/>
  <c r="T18"/>
  <c r="S18"/>
  <c r="G18"/>
  <c r="T17"/>
  <c r="F17"/>
  <c r="G17" s="1"/>
  <c r="D17"/>
  <c r="S17" s="1"/>
  <c r="T16"/>
  <c r="S16"/>
  <c r="G16"/>
  <c r="T15"/>
  <c r="S15"/>
  <c r="G15"/>
  <c r="T14"/>
  <c r="F14"/>
  <c r="D14"/>
  <c r="S14" s="1"/>
  <c r="T13"/>
  <c r="S13"/>
  <c r="G13"/>
  <c r="T12"/>
  <c r="S12"/>
  <c r="G12"/>
  <c r="F11"/>
  <c r="G11" s="1"/>
  <c r="D11"/>
  <c r="S11" s="1"/>
  <c r="E10"/>
  <c r="E9"/>
  <c r="R8"/>
  <c r="T5"/>
  <c r="F88" i="37"/>
  <c r="F87" s="1"/>
  <c r="F88" i="36"/>
  <c r="F88" i="35"/>
  <c r="F88" i="34"/>
  <c r="F87" s="1"/>
  <c r="F88" i="33"/>
  <c r="F87" s="1"/>
  <c r="F181" i="37"/>
  <c r="F125"/>
  <c r="G125" s="1"/>
  <c r="F109"/>
  <c r="I230"/>
  <c r="T226"/>
  <c r="D226"/>
  <c r="T225"/>
  <c r="D225"/>
  <c r="T224"/>
  <c r="U223"/>
  <c r="T223"/>
  <c r="S223"/>
  <c r="U222"/>
  <c r="T222"/>
  <c r="S222"/>
  <c r="K221"/>
  <c r="J221"/>
  <c r="I221"/>
  <c r="H221"/>
  <c r="G221"/>
  <c r="F221"/>
  <c r="E221"/>
  <c r="D221"/>
  <c r="S221" s="1"/>
  <c r="U220"/>
  <c r="T220"/>
  <c r="S220"/>
  <c r="F218"/>
  <c r="E218"/>
  <c r="E217" s="1"/>
  <c r="D218"/>
  <c r="S216"/>
  <c r="G216"/>
  <c r="F215"/>
  <c r="S214"/>
  <c r="G214"/>
  <c r="S212"/>
  <c r="S209"/>
  <c r="G209"/>
  <c r="S208"/>
  <c r="G208"/>
  <c r="S207"/>
  <c r="G207"/>
  <c r="S206"/>
  <c r="G206"/>
  <c r="S205"/>
  <c r="G205"/>
  <c r="S204"/>
  <c r="G204"/>
  <c r="S203"/>
  <c r="G203"/>
  <c r="S202"/>
  <c r="G202"/>
  <c r="S201"/>
  <c r="G201"/>
  <c r="S200"/>
  <c r="G200"/>
  <c r="S199"/>
  <c r="G199"/>
  <c r="S198"/>
  <c r="G198"/>
  <c r="S197"/>
  <c r="F197"/>
  <c r="G197" s="1"/>
  <c r="E197"/>
  <c r="D197"/>
  <c r="S196"/>
  <c r="G196"/>
  <c r="S195"/>
  <c r="G195"/>
  <c r="S194"/>
  <c r="G194"/>
  <c r="D193"/>
  <c r="S193" s="1"/>
  <c r="S192"/>
  <c r="G192"/>
  <c r="S191"/>
  <c r="G191"/>
  <c r="S190"/>
  <c r="G190"/>
  <c r="R189"/>
  <c r="F189"/>
  <c r="G189" s="1"/>
  <c r="D189"/>
  <c r="S189" s="1"/>
  <c r="S188"/>
  <c r="G188"/>
  <c r="S187"/>
  <c r="G187"/>
  <c r="S186"/>
  <c r="G186"/>
  <c r="S185"/>
  <c r="G185"/>
  <c r="F184"/>
  <c r="E184"/>
  <c r="D184"/>
  <c r="S184" s="1"/>
  <c r="T183"/>
  <c r="S183"/>
  <c r="G183"/>
  <c r="U182"/>
  <c r="T182"/>
  <c r="K182"/>
  <c r="G182"/>
  <c r="D182"/>
  <c r="S182" s="1"/>
  <c r="S181"/>
  <c r="T180"/>
  <c r="S180"/>
  <c r="G180"/>
  <c r="T179"/>
  <c r="S179"/>
  <c r="G179"/>
  <c r="T178"/>
  <c r="S178"/>
  <c r="G178"/>
  <c r="S177"/>
  <c r="F177"/>
  <c r="G177" s="1"/>
  <c r="T176"/>
  <c r="F176"/>
  <c r="D176"/>
  <c r="S176" s="1"/>
  <c r="T175"/>
  <c r="S175"/>
  <c r="G175"/>
  <c r="T174"/>
  <c r="S174"/>
  <c r="G174"/>
  <c r="T173"/>
  <c r="S173"/>
  <c r="F173"/>
  <c r="D173"/>
  <c r="T172"/>
  <c r="S172"/>
  <c r="G172"/>
  <c r="T171"/>
  <c r="S171"/>
  <c r="G171"/>
  <c r="T170"/>
  <c r="F170"/>
  <c r="D170"/>
  <c r="S170" s="1"/>
  <c r="T169"/>
  <c r="S169"/>
  <c r="G169"/>
  <c r="T168"/>
  <c r="S168"/>
  <c r="G168"/>
  <c r="U167"/>
  <c r="T167"/>
  <c r="K167"/>
  <c r="G167"/>
  <c r="D167"/>
  <c r="S167" s="1"/>
  <c r="T166"/>
  <c r="S166"/>
  <c r="G166"/>
  <c r="T165"/>
  <c r="S165"/>
  <c r="G165"/>
  <c r="T164"/>
  <c r="F164"/>
  <c r="D164"/>
  <c r="S164" s="1"/>
  <c r="T163"/>
  <c r="S163"/>
  <c r="G163"/>
  <c r="T162"/>
  <c r="S162"/>
  <c r="G162"/>
  <c r="F161"/>
  <c r="G161" s="1"/>
  <c r="D161"/>
  <c r="S161" s="1"/>
  <c r="S160"/>
  <c r="G160"/>
  <c r="F159"/>
  <c r="E159"/>
  <c r="D159"/>
  <c r="S159" s="1"/>
  <c r="T158"/>
  <c r="S158"/>
  <c r="G158"/>
  <c r="T157"/>
  <c r="S157"/>
  <c r="G157"/>
  <c r="G156"/>
  <c r="F156"/>
  <c r="D156"/>
  <c r="S156" s="1"/>
  <c r="S155"/>
  <c r="G155"/>
  <c r="S154"/>
  <c r="G154"/>
  <c r="S153"/>
  <c r="G153"/>
  <c r="S152"/>
  <c r="G152"/>
  <c r="S151"/>
  <c r="G151"/>
  <c r="S150"/>
  <c r="H227"/>
  <c r="H231" s="1"/>
  <c r="G150"/>
  <c r="E149"/>
  <c r="T149" s="1"/>
  <c r="D149"/>
  <c r="S149" s="1"/>
  <c r="T148"/>
  <c r="S148"/>
  <c r="G148"/>
  <c r="S147"/>
  <c r="G147"/>
  <c r="F149"/>
  <c r="G149" s="1"/>
  <c r="S146"/>
  <c r="G146"/>
  <c r="S145"/>
  <c r="F145"/>
  <c r="E145"/>
  <c r="D145"/>
  <c r="S137"/>
  <c r="G137"/>
  <c r="S136"/>
  <c r="G136"/>
  <c r="S135"/>
  <c r="G135"/>
  <c r="S134"/>
  <c r="G134"/>
  <c r="S133"/>
  <c r="G133"/>
  <c r="S132"/>
  <c r="G132"/>
  <c r="S131"/>
  <c r="G131"/>
  <c r="S130"/>
  <c r="G130"/>
  <c r="S129"/>
  <c r="G129"/>
  <c r="S128"/>
  <c r="G128"/>
  <c r="S127"/>
  <c r="G127"/>
  <c r="S126"/>
  <c r="G126"/>
  <c r="S125"/>
  <c r="S124"/>
  <c r="G124"/>
  <c r="S123"/>
  <c r="G123"/>
  <c r="U122"/>
  <c r="T122"/>
  <c r="S122"/>
  <c r="K122"/>
  <c r="L122" s="1"/>
  <c r="G122"/>
  <c r="S121"/>
  <c r="F121"/>
  <c r="E121"/>
  <c r="S120"/>
  <c r="E120"/>
  <c r="D119"/>
  <c r="S119" s="1"/>
  <c r="T118"/>
  <c r="S118"/>
  <c r="G118"/>
  <c r="T117"/>
  <c r="S117"/>
  <c r="G117"/>
  <c r="T116"/>
  <c r="S116"/>
  <c r="G116"/>
  <c r="G115"/>
  <c r="D115"/>
  <c r="S115" s="1"/>
  <c r="T114"/>
  <c r="S114"/>
  <c r="G114"/>
  <c r="T113"/>
  <c r="S113"/>
  <c r="G113"/>
  <c r="T112"/>
  <c r="S112"/>
  <c r="S111"/>
  <c r="F111"/>
  <c r="E110"/>
  <c r="D110"/>
  <c r="S110" s="1"/>
  <c r="S109"/>
  <c r="G109"/>
  <c r="S108"/>
  <c r="G108"/>
  <c r="S107"/>
  <c r="G107"/>
  <c r="S106"/>
  <c r="G106"/>
  <c r="S105"/>
  <c r="G105"/>
  <c r="F104"/>
  <c r="G104" s="1"/>
  <c r="E104"/>
  <c r="D104"/>
  <c r="D97" s="1"/>
  <c r="S97" s="1"/>
  <c r="S103"/>
  <c r="G103"/>
  <c r="T102"/>
  <c r="S102"/>
  <c r="G102"/>
  <c r="T101"/>
  <c r="S101"/>
  <c r="G101"/>
  <c r="T100"/>
  <c r="S100"/>
  <c r="G100"/>
  <c r="S99"/>
  <c r="G99"/>
  <c r="F99"/>
  <c r="D99"/>
  <c r="S98"/>
  <c r="G98"/>
  <c r="S96"/>
  <c r="G96"/>
  <c r="F95"/>
  <c r="G95" s="1"/>
  <c r="E95"/>
  <c r="D95"/>
  <c r="S95" s="1"/>
  <c r="S94"/>
  <c r="G94"/>
  <c r="F93"/>
  <c r="E93"/>
  <c r="D93"/>
  <c r="S93" s="1"/>
  <c r="S92"/>
  <c r="S91"/>
  <c r="G91"/>
  <c r="S90"/>
  <c r="G90"/>
  <c r="S89"/>
  <c r="G89"/>
  <c r="S88"/>
  <c r="G88"/>
  <c r="E87"/>
  <c r="D87"/>
  <c r="S87" s="1"/>
  <c r="T86"/>
  <c r="K86"/>
  <c r="F86"/>
  <c r="U86" s="1"/>
  <c r="D86"/>
  <c r="S86" s="1"/>
  <c r="T85"/>
  <c r="S85"/>
  <c r="G85"/>
  <c r="T84"/>
  <c r="S84"/>
  <c r="G84"/>
  <c r="T83"/>
  <c r="K83"/>
  <c r="F83"/>
  <c r="U83" s="1"/>
  <c r="D83"/>
  <c r="S83" s="1"/>
  <c r="T82"/>
  <c r="S82"/>
  <c r="T81"/>
  <c r="S81"/>
  <c r="G81"/>
  <c r="T80"/>
  <c r="S80"/>
  <c r="K80"/>
  <c r="F80"/>
  <c r="U80" s="1"/>
  <c r="D80"/>
  <c r="T79"/>
  <c r="S79"/>
  <c r="G79"/>
  <c r="T78"/>
  <c r="S78"/>
  <c r="G78"/>
  <c r="T77"/>
  <c r="K77"/>
  <c r="F77"/>
  <c r="U77" s="1"/>
  <c r="D77"/>
  <c r="S77" s="1"/>
  <c r="T76"/>
  <c r="S76"/>
  <c r="G76"/>
  <c r="T75"/>
  <c r="S75"/>
  <c r="G75"/>
  <c r="F74"/>
  <c r="E74"/>
  <c r="T74" s="1"/>
  <c r="D74"/>
  <c r="S74" s="1"/>
  <c r="I73"/>
  <c r="F73"/>
  <c r="E73"/>
  <c r="D73"/>
  <c r="S73" s="1"/>
  <c r="S72"/>
  <c r="D72"/>
  <c r="T71"/>
  <c r="F71"/>
  <c r="D71"/>
  <c r="S71" s="1"/>
  <c r="T70"/>
  <c r="S70"/>
  <c r="G70"/>
  <c r="T69"/>
  <c r="S69"/>
  <c r="G69"/>
  <c r="T68"/>
  <c r="G68"/>
  <c r="D68"/>
  <c r="S68" s="1"/>
  <c r="T67"/>
  <c r="S67"/>
  <c r="G67"/>
  <c r="T66"/>
  <c r="S66"/>
  <c r="G66"/>
  <c r="T65"/>
  <c r="F65"/>
  <c r="G65" s="1"/>
  <c r="D65"/>
  <c r="S65" s="1"/>
  <c r="T64"/>
  <c r="S64"/>
  <c r="G64"/>
  <c r="T63"/>
  <c r="S63"/>
  <c r="G63"/>
  <c r="T62"/>
  <c r="F62"/>
  <c r="D62"/>
  <c r="S62" s="1"/>
  <c r="T61"/>
  <c r="S61"/>
  <c r="G61"/>
  <c r="T60"/>
  <c r="S60"/>
  <c r="G60"/>
  <c r="T59"/>
  <c r="K59"/>
  <c r="F59"/>
  <c r="U59" s="1"/>
  <c r="D59"/>
  <c r="S59" s="1"/>
  <c r="T58"/>
  <c r="S58"/>
  <c r="G58"/>
  <c r="T57"/>
  <c r="S57"/>
  <c r="G57"/>
  <c r="T56"/>
  <c r="F56"/>
  <c r="D56"/>
  <c r="S56" s="1"/>
  <c r="T55"/>
  <c r="S55"/>
  <c r="G55"/>
  <c r="T54"/>
  <c r="S54"/>
  <c r="G54"/>
  <c r="T53"/>
  <c r="T52"/>
  <c r="F52"/>
  <c r="D52"/>
  <c r="S52" s="1"/>
  <c r="T51"/>
  <c r="F51"/>
  <c r="D51"/>
  <c r="S51" s="1"/>
  <c r="T50"/>
  <c r="F50"/>
  <c r="D50"/>
  <c r="S50" s="1"/>
  <c r="T49"/>
  <c r="S49"/>
  <c r="G49"/>
  <c r="T48"/>
  <c r="S48"/>
  <c r="G48"/>
  <c r="T47"/>
  <c r="F47"/>
  <c r="D47"/>
  <c r="S47" s="1"/>
  <c r="T46"/>
  <c r="S46"/>
  <c r="G46"/>
  <c r="S45"/>
  <c r="G45"/>
  <c r="T44"/>
  <c r="G44"/>
  <c r="D44"/>
  <c r="S44" s="1"/>
  <c r="T43"/>
  <c r="S43"/>
  <c r="G43"/>
  <c r="T42"/>
  <c r="S42"/>
  <c r="G42"/>
  <c r="F41"/>
  <c r="E41"/>
  <c r="D41"/>
  <c r="S41" s="1"/>
  <c r="T40"/>
  <c r="F40"/>
  <c r="D40"/>
  <c r="S40" s="1"/>
  <c r="T39"/>
  <c r="S39"/>
  <c r="G39"/>
  <c r="S38"/>
  <c r="G38"/>
  <c r="D37"/>
  <c r="S37" s="1"/>
  <c r="S36"/>
  <c r="G36"/>
  <c r="F35"/>
  <c r="G35" s="1"/>
  <c r="E35"/>
  <c r="D35"/>
  <c r="S35" s="1"/>
  <c r="T34"/>
  <c r="S34"/>
  <c r="G34"/>
  <c r="T33"/>
  <c r="S33"/>
  <c r="G33"/>
  <c r="T32"/>
  <c r="S32"/>
  <c r="G32"/>
  <c r="T31"/>
  <c r="S31"/>
  <c r="G31"/>
  <c r="S30"/>
  <c r="F30"/>
  <c r="D30"/>
  <c r="T29"/>
  <c r="F29"/>
  <c r="D29"/>
  <c r="S29" s="1"/>
  <c r="T28"/>
  <c r="S28"/>
  <c r="G28"/>
  <c r="T27"/>
  <c r="S27"/>
  <c r="G27"/>
  <c r="F26"/>
  <c r="E26"/>
  <c r="T26" s="1"/>
  <c r="D26"/>
  <c r="S26" s="1"/>
  <c r="T25"/>
  <c r="S25"/>
  <c r="G25"/>
  <c r="T24"/>
  <c r="S24"/>
  <c r="G24"/>
  <c r="K23"/>
  <c r="F23"/>
  <c r="U23" s="1"/>
  <c r="E23"/>
  <c r="T23" s="1"/>
  <c r="D23"/>
  <c r="S23" s="1"/>
  <c r="T22"/>
  <c r="S22"/>
  <c r="G22"/>
  <c r="T21"/>
  <c r="S21"/>
  <c r="G21"/>
  <c r="T20"/>
  <c r="K20"/>
  <c r="F20"/>
  <c r="U20" s="1"/>
  <c r="D20"/>
  <c r="S20" s="1"/>
  <c r="T19"/>
  <c r="S19"/>
  <c r="G19"/>
  <c r="T18"/>
  <c r="S18"/>
  <c r="G18"/>
  <c r="T17"/>
  <c r="K17"/>
  <c r="F17"/>
  <c r="U17" s="1"/>
  <c r="D17"/>
  <c r="S17" s="1"/>
  <c r="T16"/>
  <c r="S16"/>
  <c r="G16"/>
  <c r="T15"/>
  <c r="S15"/>
  <c r="G15"/>
  <c r="T14"/>
  <c r="F14"/>
  <c r="D14"/>
  <c r="S14" s="1"/>
  <c r="T13"/>
  <c r="S13"/>
  <c r="G13"/>
  <c r="T12"/>
  <c r="S12"/>
  <c r="G12"/>
  <c r="F11"/>
  <c r="G11" s="1"/>
  <c r="D11"/>
  <c r="S11" s="1"/>
  <c r="E10"/>
  <c r="E9" s="1"/>
  <c r="R8"/>
  <c r="T5"/>
  <c r="F179" i="36"/>
  <c r="F145"/>
  <c r="F125"/>
  <c r="F105"/>
  <c r="F112"/>
  <c r="F109"/>
  <c r="J138"/>
  <c r="J138" i="37" s="1"/>
  <c r="J138" i="38" s="1"/>
  <c r="J139" i="35"/>
  <c r="J139" i="36" s="1"/>
  <c r="J139" i="37" s="1"/>
  <c r="J139" i="38" s="1"/>
  <c r="J138" i="35"/>
  <c r="J139" i="42" l="1"/>
  <c r="J139" i="40"/>
  <c r="J139" i="41"/>
  <c r="G121" i="38"/>
  <c r="G40" i="37"/>
  <c r="E97"/>
  <c r="G121"/>
  <c r="G26" i="38"/>
  <c r="U59"/>
  <c r="G59"/>
  <c r="G26" i="37"/>
  <c r="G165" i="38"/>
  <c r="F219" i="39"/>
  <c r="G14" i="38"/>
  <c r="D37"/>
  <c r="S37" s="1"/>
  <c r="S41"/>
  <c r="E146" i="41"/>
  <c r="G111" i="37"/>
  <c r="E120" i="38"/>
  <c r="D218"/>
  <c r="S218" s="1"/>
  <c r="S219"/>
  <c r="H140" i="42"/>
  <c r="O140" s="1"/>
  <c r="P140" s="1"/>
  <c r="H140" i="40"/>
  <c r="S104" i="37"/>
  <c r="D72" i="39"/>
  <c r="S72" s="1"/>
  <c r="G41" i="37"/>
  <c r="S198" i="38"/>
  <c r="O140"/>
  <c r="P140" s="1"/>
  <c r="E193" i="37"/>
  <c r="E144" s="1"/>
  <c r="E143" s="1"/>
  <c r="F161" i="39"/>
  <c r="G37" i="42"/>
  <c r="E144"/>
  <c r="G130" i="38"/>
  <c r="E219" i="39"/>
  <c r="D145" i="42"/>
  <c r="D144" s="1"/>
  <c r="S144" s="1"/>
  <c r="H142"/>
  <c r="O142" s="1"/>
  <c r="P142" s="1"/>
  <c r="H142" i="40"/>
  <c r="S110"/>
  <c r="D97"/>
  <c r="S97" s="1"/>
  <c r="G35" i="38"/>
  <c r="F194"/>
  <c r="G20" i="39"/>
  <c r="G35"/>
  <c r="D110"/>
  <c r="S110" s="1"/>
  <c r="H141" i="42"/>
  <c r="O141" s="1"/>
  <c r="P141" s="1"/>
  <c r="H141" i="40"/>
  <c r="G10" i="42"/>
  <c r="G41" i="38"/>
  <c r="D145"/>
  <c r="S145" s="1"/>
  <c r="O142"/>
  <c r="P142" s="1"/>
  <c r="D53" i="39"/>
  <c r="S53" s="1"/>
  <c r="G186"/>
  <c r="F119" i="42"/>
  <c r="G119" s="1"/>
  <c r="D97"/>
  <c r="S97" s="1"/>
  <c r="E8"/>
  <c r="G161" i="41"/>
  <c r="F144" i="42"/>
  <c r="G145"/>
  <c r="S10"/>
  <c r="D9"/>
  <c r="S145"/>
  <c r="G9"/>
  <c r="K14"/>
  <c r="G120"/>
  <c r="G219" i="41"/>
  <c r="G53"/>
  <c r="S146"/>
  <c r="D145"/>
  <c r="S145" s="1"/>
  <c r="E145"/>
  <c r="S10"/>
  <c r="D9"/>
  <c r="E8"/>
  <c r="G195"/>
  <c r="F146"/>
  <c r="G72"/>
  <c r="G119"/>
  <c r="G110"/>
  <c r="F97"/>
  <c r="G50"/>
  <c r="G10"/>
  <c r="F9"/>
  <c r="G120"/>
  <c r="G50" i="40"/>
  <c r="F119"/>
  <c r="F110" s="1"/>
  <c r="G120"/>
  <c r="G218"/>
  <c r="F9"/>
  <c r="F144"/>
  <c r="E9"/>
  <c r="J225"/>
  <c r="J87"/>
  <c r="J226"/>
  <c r="G194"/>
  <c r="K47"/>
  <c r="G37"/>
  <c r="K50"/>
  <c r="G53"/>
  <c r="S10"/>
  <c r="D9"/>
  <c r="G72"/>
  <c r="E145"/>
  <c r="G10"/>
  <c r="F10" i="39"/>
  <c r="G10" s="1"/>
  <c r="G52"/>
  <c r="D97"/>
  <c r="S97" s="1"/>
  <c r="G220"/>
  <c r="G158"/>
  <c r="G172"/>
  <c r="G179"/>
  <c r="F119"/>
  <c r="F87"/>
  <c r="G95"/>
  <c r="G109"/>
  <c r="G162"/>
  <c r="D226"/>
  <c r="S226" s="1"/>
  <c r="K47"/>
  <c r="K74"/>
  <c r="F72"/>
  <c r="K75"/>
  <c r="K159"/>
  <c r="J158"/>
  <c r="K58"/>
  <c r="K61"/>
  <c r="K81"/>
  <c r="G147"/>
  <c r="G178"/>
  <c r="S51"/>
  <c r="J73"/>
  <c r="J72" s="1"/>
  <c r="S104"/>
  <c r="D10"/>
  <c r="G17"/>
  <c r="J35"/>
  <c r="U83"/>
  <c r="K84"/>
  <c r="U86"/>
  <c r="F110"/>
  <c r="G175"/>
  <c r="G219"/>
  <c r="K48"/>
  <c r="G62"/>
  <c r="K82"/>
  <c r="K85"/>
  <c r="K177"/>
  <c r="E195"/>
  <c r="K46"/>
  <c r="G47"/>
  <c r="G51"/>
  <c r="F53"/>
  <c r="G74"/>
  <c r="K78"/>
  <c r="J95"/>
  <c r="E97"/>
  <c r="E146"/>
  <c r="K180"/>
  <c r="G199"/>
  <c r="F195"/>
  <c r="J50"/>
  <c r="U59"/>
  <c r="D37"/>
  <c r="S37" s="1"/>
  <c r="S220"/>
  <c r="G14"/>
  <c r="G23"/>
  <c r="G41"/>
  <c r="G73"/>
  <c r="G93"/>
  <c r="S115"/>
  <c r="G119"/>
  <c r="G120"/>
  <c r="O138"/>
  <c r="P138" s="1"/>
  <c r="D146"/>
  <c r="G163"/>
  <c r="G40"/>
  <c r="G50"/>
  <c r="G65"/>
  <c r="K69"/>
  <c r="G77"/>
  <c r="G80"/>
  <c r="G191"/>
  <c r="E8" i="38"/>
  <c r="G86"/>
  <c r="G73"/>
  <c r="G104"/>
  <c r="G161"/>
  <c r="F120"/>
  <c r="G111"/>
  <c r="G31"/>
  <c r="G47"/>
  <c r="G198"/>
  <c r="G146"/>
  <c r="G95"/>
  <c r="G88"/>
  <c r="F72"/>
  <c r="G83"/>
  <c r="U80"/>
  <c r="G77"/>
  <c r="G62"/>
  <c r="F53"/>
  <c r="S99"/>
  <c r="D97"/>
  <c r="S97" s="1"/>
  <c r="G219"/>
  <c r="F218"/>
  <c r="G150"/>
  <c r="G174"/>
  <c r="E218"/>
  <c r="U17"/>
  <c r="U20"/>
  <c r="S222"/>
  <c r="D53"/>
  <c r="S53" s="1"/>
  <c r="S146"/>
  <c r="G23"/>
  <c r="G40"/>
  <c r="D144"/>
  <c r="S144" s="1"/>
  <c r="G160"/>
  <c r="G171"/>
  <c r="G178"/>
  <c r="G71"/>
  <c r="F37"/>
  <c r="S73"/>
  <c r="D72"/>
  <c r="S72" s="1"/>
  <c r="E144"/>
  <c r="F10"/>
  <c r="D10"/>
  <c r="G29"/>
  <c r="G52"/>
  <c r="G56"/>
  <c r="G87"/>
  <c r="G177"/>
  <c r="G181" i="37"/>
  <c r="G176"/>
  <c r="G159"/>
  <c r="G145"/>
  <c r="F217"/>
  <c r="G173"/>
  <c r="G80"/>
  <c r="G77"/>
  <c r="F37"/>
  <c r="G37" s="1"/>
  <c r="F53"/>
  <c r="G53" s="1"/>
  <c r="G50"/>
  <c r="G30"/>
  <c r="G29"/>
  <c r="G23"/>
  <c r="F10"/>
  <c r="G10" s="1"/>
  <c r="E8"/>
  <c r="G56"/>
  <c r="D217"/>
  <c r="S217" s="1"/>
  <c r="S218"/>
  <c r="G164"/>
  <c r="D10"/>
  <c r="G17"/>
  <c r="G20"/>
  <c r="G71"/>
  <c r="G93"/>
  <c r="D144"/>
  <c r="G184"/>
  <c r="G170"/>
  <c r="G52"/>
  <c r="G73"/>
  <c r="F72"/>
  <c r="F120"/>
  <c r="F193"/>
  <c r="G14"/>
  <c r="D53"/>
  <c r="S53" s="1"/>
  <c r="G87"/>
  <c r="G218"/>
  <c r="G47"/>
  <c r="G51"/>
  <c r="G59"/>
  <c r="G62"/>
  <c r="G74"/>
  <c r="G83"/>
  <c r="G86"/>
  <c r="G112"/>
  <c r="D224"/>
  <c r="S224" s="1"/>
  <c r="H176" i="36"/>
  <c r="H178" i="37" s="1"/>
  <c r="H122" i="36"/>
  <c r="H122" i="37" s="1"/>
  <c r="H112" i="36"/>
  <c r="H112" i="37" s="1"/>
  <c r="I228" i="36"/>
  <c r="T224"/>
  <c r="D224"/>
  <c r="T223"/>
  <c r="D223"/>
  <c r="T222"/>
  <c r="U221"/>
  <c r="T221"/>
  <c r="S221"/>
  <c r="U220"/>
  <c r="T220"/>
  <c r="S220"/>
  <c r="K219"/>
  <c r="J219"/>
  <c r="I219"/>
  <c r="H219"/>
  <c r="G219"/>
  <c r="F219"/>
  <c r="E219"/>
  <c r="D219"/>
  <c r="S219" s="1"/>
  <c r="U218"/>
  <c r="T218"/>
  <c r="S218"/>
  <c r="S216"/>
  <c r="F216"/>
  <c r="F215" s="1"/>
  <c r="E216"/>
  <c r="D216"/>
  <c r="D215" s="1"/>
  <c r="S215" s="1"/>
  <c r="S214"/>
  <c r="G214"/>
  <c r="F213"/>
  <c r="S212"/>
  <c r="G212"/>
  <c r="S210"/>
  <c r="S207"/>
  <c r="G207"/>
  <c r="S206"/>
  <c r="G206"/>
  <c r="S205"/>
  <c r="G205"/>
  <c r="S204"/>
  <c r="G204"/>
  <c r="S203"/>
  <c r="G203"/>
  <c r="S202"/>
  <c r="G202"/>
  <c r="S201"/>
  <c r="G201"/>
  <c r="S200"/>
  <c r="G200"/>
  <c r="S199"/>
  <c r="G199"/>
  <c r="S198"/>
  <c r="G198"/>
  <c r="S197"/>
  <c r="G197"/>
  <c r="S196"/>
  <c r="G196"/>
  <c r="S195"/>
  <c r="F195"/>
  <c r="E195"/>
  <c r="D195"/>
  <c r="S194"/>
  <c r="G194"/>
  <c r="S193"/>
  <c r="G193"/>
  <c r="S192"/>
  <c r="G192"/>
  <c r="E191"/>
  <c r="D191"/>
  <c r="S191" s="1"/>
  <c r="S190"/>
  <c r="G190"/>
  <c r="S189"/>
  <c r="G189"/>
  <c r="S188"/>
  <c r="G188"/>
  <c r="R187"/>
  <c r="F187"/>
  <c r="D187"/>
  <c r="S187" s="1"/>
  <c r="S186"/>
  <c r="G186"/>
  <c r="S185"/>
  <c r="G185"/>
  <c r="S184"/>
  <c r="G184"/>
  <c r="S183"/>
  <c r="G183"/>
  <c r="G182"/>
  <c r="F182"/>
  <c r="E182"/>
  <c r="D182"/>
  <c r="S182" s="1"/>
  <c r="T181"/>
  <c r="S181"/>
  <c r="G181"/>
  <c r="U180"/>
  <c r="T180"/>
  <c r="K180"/>
  <c r="G180"/>
  <c r="D180"/>
  <c r="S180" s="1"/>
  <c r="S179"/>
  <c r="G179"/>
  <c r="T178"/>
  <c r="S178"/>
  <c r="G178"/>
  <c r="T177"/>
  <c r="S177"/>
  <c r="G177"/>
  <c r="T176"/>
  <c r="S176"/>
  <c r="S175"/>
  <c r="T174"/>
  <c r="F174"/>
  <c r="G174" s="1"/>
  <c r="D174"/>
  <c r="S174" s="1"/>
  <c r="T173"/>
  <c r="S173"/>
  <c r="G173"/>
  <c r="T172"/>
  <c r="S172"/>
  <c r="G172"/>
  <c r="T171"/>
  <c r="F171"/>
  <c r="D171"/>
  <c r="S171" s="1"/>
  <c r="T170"/>
  <c r="S170"/>
  <c r="G170"/>
  <c r="T169"/>
  <c r="S169"/>
  <c r="G169"/>
  <c r="T168"/>
  <c r="F168"/>
  <c r="G168" s="1"/>
  <c r="D168"/>
  <c r="S168" s="1"/>
  <c r="T167"/>
  <c r="S167"/>
  <c r="G167"/>
  <c r="T166"/>
  <c r="S166"/>
  <c r="G166"/>
  <c r="U165"/>
  <c r="T165"/>
  <c r="K165"/>
  <c r="G165"/>
  <c r="D165"/>
  <c r="S165" s="1"/>
  <c r="T164"/>
  <c r="S164"/>
  <c r="G164"/>
  <c r="T163"/>
  <c r="S163"/>
  <c r="G163"/>
  <c r="T162"/>
  <c r="G162"/>
  <c r="F162"/>
  <c r="D162"/>
  <c r="S162" s="1"/>
  <c r="T161"/>
  <c r="S161"/>
  <c r="G161"/>
  <c r="T160"/>
  <c r="S160"/>
  <c r="G160"/>
  <c r="F159"/>
  <c r="G159" s="1"/>
  <c r="D159"/>
  <c r="S159" s="1"/>
  <c r="S158"/>
  <c r="S157"/>
  <c r="E157"/>
  <c r="D157"/>
  <c r="T156"/>
  <c r="S156"/>
  <c r="G156"/>
  <c r="T155"/>
  <c r="S155"/>
  <c r="G155"/>
  <c r="F154"/>
  <c r="G154" s="1"/>
  <c r="D154"/>
  <c r="S154" s="1"/>
  <c r="S153"/>
  <c r="G153"/>
  <c r="S152"/>
  <c r="G152"/>
  <c r="S151"/>
  <c r="G151"/>
  <c r="S150"/>
  <c r="G150"/>
  <c r="S149"/>
  <c r="G149"/>
  <c r="S148"/>
  <c r="G148"/>
  <c r="S147"/>
  <c r="F147"/>
  <c r="E147"/>
  <c r="D147"/>
  <c r="T146"/>
  <c r="S146"/>
  <c r="G146"/>
  <c r="S145"/>
  <c r="G145"/>
  <c r="S144"/>
  <c r="G144"/>
  <c r="F143"/>
  <c r="E143"/>
  <c r="E142" s="1"/>
  <c r="D143"/>
  <c r="S143" s="1"/>
  <c r="S137"/>
  <c r="G137"/>
  <c r="S136"/>
  <c r="G136"/>
  <c r="S135"/>
  <c r="G135"/>
  <c r="S134"/>
  <c r="G134"/>
  <c r="S133"/>
  <c r="G133"/>
  <c r="S132"/>
  <c r="G132"/>
  <c r="S131"/>
  <c r="G131"/>
  <c r="S130"/>
  <c r="G130"/>
  <c r="S129"/>
  <c r="G129"/>
  <c r="S128"/>
  <c r="G128"/>
  <c r="S127"/>
  <c r="G127"/>
  <c r="S126"/>
  <c r="G126"/>
  <c r="S125"/>
  <c r="S124"/>
  <c r="G124"/>
  <c r="S123"/>
  <c r="G123"/>
  <c r="U122"/>
  <c r="T122"/>
  <c r="S122"/>
  <c r="O122"/>
  <c r="P122" s="1"/>
  <c r="K122"/>
  <c r="L122" s="1"/>
  <c r="G122"/>
  <c r="S121"/>
  <c r="F121"/>
  <c r="F120" s="1"/>
  <c r="E121"/>
  <c r="S120"/>
  <c r="S119"/>
  <c r="D119"/>
  <c r="T118"/>
  <c r="S118"/>
  <c r="G118"/>
  <c r="T117"/>
  <c r="S117"/>
  <c r="G117"/>
  <c r="T116"/>
  <c r="S116"/>
  <c r="G116"/>
  <c r="G115"/>
  <c r="D115"/>
  <c r="T114"/>
  <c r="S114"/>
  <c r="G114"/>
  <c r="T113"/>
  <c r="S113"/>
  <c r="G113"/>
  <c r="T112"/>
  <c r="S112"/>
  <c r="S111"/>
  <c r="E110"/>
  <c r="S109"/>
  <c r="G109"/>
  <c r="S108"/>
  <c r="G108"/>
  <c r="S107"/>
  <c r="G107"/>
  <c r="S106"/>
  <c r="G106"/>
  <c r="S105"/>
  <c r="G105"/>
  <c r="F104"/>
  <c r="E104"/>
  <c r="D104"/>
  <c r="S104" s="1"/>
  <c r="S103"/>
  <c r="G103"/>
  <c r="T102"/>
  <c r="S102"/>
  <c r="G102"/>
  <c r="T101"/>
  <c r="S101"/>
  <c r="G101"/>
  <c r="T100"/>
  <c r="S100"/>
  <c r="G100"/>
  <c r="F99"/>
  <c r="G99" s="1"/>
  <c r="D99"/>
  <c r="S98"/>
  <c r="G98"/>
  <c r="S96"/>
  <c r="G96"/>
  <c r="F95"/>
  <c r="G95" s="1"/>
  <c r="E95"/>
  <c r="D95"/>
  <c r="S95" s="1"/>
  <c r="S94"/>
  <c r="G94"/>
  <c r="F93"/>
  <c r="E93"/>
  <c r="D93"/>
  <c r="S93" s="1"/>
  <c r="S92"/>
  <c r="S91"/>
  <c r="G91"/>
  <c r="S90"/>
  <c r="G90"/>
  <c r="S89"/>
  <c r="G89"/>
  <c r="S88"/>
  <c r="G88"/>
  <c r="F87"/>
  <c r="G87" s="1"/>
  <c r="E87"/>
  <c r="D87"/>
  <c r="S87" s="1"/>
  <c r="T86"/>
  <c r="K86"/>
  <c r="F86"/>
  <c r="U86" s="1"/>
  <c r="D86"/>
  <c r="S86" s="1"/>
  <c r="T85"/>
  <c r="S85"/>
  <c r="G85"/>
  <c r="T84"/>
  <c r="S84"/>
  <c r="G84"/>
  <c r="T83"/>
  <c r="K83"/>
  <c r="F83"/>
  <c r="U83" s="1"/>
  <c r="D83"/>
  <c r="S83" s="1"/>
  <c r="T82"/>
  <c r="S82"/>
  <c r="T81"/>
  <c r="S81"/>
  <c r="G81"/>
  <c r="T80"/>
  <c r="K80"/>
  <c r="F80"/>
  <c r="G80" s="1"/>
  <c r="D80"/>
  <c r="S80" s="1"/>
  <c r="T79"/>
  <c r="S79"/>
  <c r="G79"/>
  <c r="T78"/>
  <c r="S78"/>
  <c r="G78"/>
  <c r="T77"/>
  <c r="S77"/>
  <c r="K77"/>
  <c r="F77"/>
  <c r="G77" s="1"/>
  <c r="D77"/>
  <c r="T76"/>
  <c r="S76"/>
  <c r="G76"/>
  <c r="T75"/>
  <c r="S75"/>
  <c r="G75"/>
  <c r="T74"/>
  <c r="F74"/>
  <c r="E74"/>
  <c r="D74"/>
  <c r="S74" s="1"/>
  <c r="I73"/>
  <c r="F73"/>
  <c r="F72" s="1"/>
  <c r="E73"/>
  <c r="D73"/>
  <c r="D72" s="1"/>
  <c r="S72" s="1"/>
  <c r="T71"/>
  <c r="F71"/>
  <c r="G71" s="1"/>
  <c r="D71"/>
  <c r="S71" s="1"/>
  <c r="T70"/>
  <c r="S70"/>
  <c r="G70"/>
  <c r="T69"/>
  <c r="S69"/>
  <c r="G69"/>
  <c r="T68"/>
  <c r="S68"/>
  <c r="G68"/>
  <c r="D68"/>
  <c r="T67"/>
  <c r="S67"/>
  <c r="G67"/>
  <c r="T66"/>
  <c r="S66"/>
  <c r="G66"/>
  <c r="T65"/>
  <c r="F65"/>
  <c r="D65"/>
  <c r="S65" s="1"/>
  <c r="T64"/>
  <c r="S64"/>
  <c r="G64"/>
  <c r="T63"/>
  <c r="S63"/>
  <c r="G63"/>
  <c r="T62"/>
  <c r="F62"/>
  <c r="G62" s="1"/>
  <c r="D62"/>
  <c r="S62" s="1"/>
  <c r="T61"/>
  <c r="S61"/>
  <c r="G61"/>
  <c r="T60"/>
  <c r="S60"/>
  <c r="G60"/>
  <c r="T59"/>
  <c r="K59"/>
  <c r="F59"/>
  <c r="D59"/>
  <c r="S59" s="1"/>
  <c r="T58"/>
  <c r="S58"/>
  <c r="G58"/>
  <c r="T57"/>
  <c r="S57"/>
  <c r="G57"/>
  <c r="T56"/>
  <c r="F56"/>
  <c r="D56"/>
  <c r="S56" s="1"/>
  <c r="T55"/>
  <c r="S55"/>
  <c r="G55"/>
  <c r="T54"/>
  <c r="S54"/>
  <c r="G54"/>
  <c r="T53"/>
  <c r="T52"/>
  <c r="F52"/>
  <c r="G52" s="1"/>
  <c r="D52"/>
  <c r="S52" s="1"/>
  <c r="T51"/>
  <c r="F51"/>
  <c r="D51"/>
  <c r="T50"/>
  <c r="F50"/>
  <c r="D50"/>
  <c r="S50" s="1"/>
  <c r="T49"/>
  <c r="S49"/>
  <c r="G49"/>
  <c r="T48"/>
  <c r="S48"/>
  <c r="G48"/>
  <c r="T47"/>
  <c r="F47"/>
  <c r="D47"/>
  <c r="S47" s="1"/>
  <c r="T46"/>
  <c r="S46"/>
  <c r="G46"/>
  <c r="S45"/>
  <c r="G45"/>
  <c r="T44"/>
  <c r="S44"/>
  <c r="G44"/>
  <c r="D44"/>
  <c r="T43"/>
  <c r="S43"/>
  <c r="G43"/>
  <c r="T42"/>
  <c r="S42"/>
  <c r="G42"/>
  <c r="F41"/>
  <c r="G41" s="1"/>
  <c r="E41"/>
  <c r="D41"/>
  <c r="S41" s="1"/>
  <c r="T40"/>
  <c r="F40"/>
  <c r="D40"/>
  <c r="S40" s="1"/>
  <c r="T39"/>
  <c r="S39"/>
  <c r="G39"/>
  <c r="S38"/>
  <c r="G38"/>
  <c r="S36"/>
  <c r="G36"/>
  <c r="F35"/>
  <c r="G35" s="1"/>
  <c r="E35"/>
  <c r="D35"/>
  <c r="S35" s="1"/>
  <c r="T34"/>
  <c r="S34"/>
  <c r="G34"/>
  <c r="T33"/>
  <c r="S33"/>
  <c r="G33"/>
  <c r="T32"/>
  <c r="S32"/>
  <c r="G32"/>
  <c r="T31"/>
  <c r="S31"/>
  <c r="G31"/>
  <c r="F30"/>
  <c r="D30"/>
  <c r="S30" s="1"/>
  <c r="T29"/>
  <c r="F29"/>
  <c r="D29"/>
  <c r="S29" s="1"/>
  <c r="T28"/>
  <c r="S28"/>
  <c r="G28"/>
  <c r="T27"/>
  <c r="S27"/>
  <c r="G27"/>
  <c r="F26"/>
  <c r="E26"/>
  <c r="T26" s="1"/>
  <c r="D26"/>
  <c r="S26" s="1"/>
  <c r="T25"/>
  <c r="S25"/>
  <c r="G25"/>
  <c r="T24"/>
  <c r="S24"/>
  <c r="G24"/>
  <c r="K23"/>
  <c r="F23"/>
  <c r="U23" s="1"/>
  <c r="E23"/>
  <c r="D23"/>
  <c r="S23" s="1"/>
  <c r="T22"/>
  <c r="S22"/>
  <c r="G22"/>
  <c r="T21"/>
  <c r="S21"/>
  <c r="G21"/>
  <c r="T20"/>
  <c r="K20"/>
  <c r="F20"/>
  <c r="G20" s="1"/>
  <c r="D20"/>
  <c r="S20" s="1"/>
  <c r="T19"/>
  <c r="S19"/>
  <c r="G19"/>
  <c r="T18"/>
  <c r="S18"/>
  <c r="G18"/>
  <c r="T17"/>
  <c r="K17"/>
  <c r="F17"/>
  <c r="G17" s="1"/>
  <c r="D17"/>
  <c r="S17" s="1"/>
  <c r="T16"/>
  <c r="S16"/>
  <c r="G16"/>
  <c r="T15"/>
  <c r="S15"/>
  <c r="G15"/>
  <c r="T14"/>
  <c r="F14"/>
  <c r="D14"/>
  <c r="S14" s="1"/>
  <c r="T13"/>
  <c r="S13"/>
  <c r="G13"/>
  <c r="T12"/>
  <c r="S12"/>
  <c r="G12"/>
  <c r="F11"/>
  <c r="G11" s="1"/>
  <c r="D11"/>
  <c r="R8"/>
  <c r="T5"/>
  <c r="O122" i="35"/>
  <c r="P122" s="1"/>
  <c r="H175"/>
  <c r="H122"/>
  <c r="H114"/>
  <c r="H114" i="36" s="1"/>
  <c r="H114" i="37" s="1"/>
  <c r="H113" i="35"/>
  <c r="H113" i="36" s="1"/>
  <c r="H113" i="37" s="1"/>
  <c r="H112" i="35"/>
  <c r="F59"/>
  <c r="U59" s="1"/>
  <c r="F29"/>
  <c r="R186"/>
  <c r="F178"/>
  <c r="F109"/>
  <c r="F112"/>
  <c r="F95"/>
  <c r="G95" s="1"/>
  <c r="F125"/>
  <c r="F157"/>
  <c r="F175"/>
  <c r="T5"/>
  <c r="F11"/>
  <c r="F121"/>
  <c r="F120" s="1"/>
  <c r="F119"/>
  <c r="R8"/>
  <c r="I226"/>
  <c r="T222"/>
  <c r="D222"/>
  <c r="T221"/>
  <c r="D221"/>
  <c r="T220"/>
  <c r="U219"/>
  <c r="T219"/>
  <c r="S219"/>
  <c r="U218"/>
  <c r="T218"/>
  <c r="S218"/>
  <c r="K217"/>
  <c r="J217"/>
  <c r="I217"/>
  <c r="H217"/>
  <c r="G217"/>
  <c r="F217"/>
  <c r="E217"/>
  <c r="D217"/>
  <c r="S217" s="1"/>
  <c r="U216"/>
  <c r="T216"/>
  <c r="S216"/>
  <c r="F214"/>
  <c r="E214"/>
  <c r="D214"/>
  <c r="S214" s="1"/>
  <c r="E213"/>
  <c r="D213"/>
  <c r="S213" s="1"/>
  <c r="S212"/>
  <c r="G212"/>
  <c r="F211"/>
  <c r="S210"/>
  <c r="G210"/>
  <c r="S208"/>
  <c r="S206"/>
  <c r="G206"/>
  <c r="S205"/>
  <c r="G205"/>
  <c r="S204"/>
  <c r="G204"/>
  <c r="S203"/>
  <c r="G203"/>
  <c r="S202"/>
  <c r="G202"/>
  <c r="S201"/>
  <c r="G201"/>
  <c r="S200"/>
  <c r="G200"/>
  <c r="S199"/>
  <c r="G199"/>
  <c r="S198"/>
  <c r="G198"/>
  <c r="S197"/>
  <c r="G197"/>
  <c r="S196"/>
  <c r="G196"/>
  <c r="S195"/>
  <c r="G195"/>
  <c r="F194"/>
  <c r="F190" s="1"/>
  <c r="E194"/>
  <c r="D194"/>
  <c r="S194" s="1"/>
  <c r="S193"/>
  <c r="G193"/>
  <c r="S192"/>
  <c r="G192"/>
  <c r="S191"/>
  <c r="G191"/>
  <c r="S189"/>
  <c r="G189"/>
  <c r="S188"/>
  <c r="G188"/>
  <c r="S187"/>
  <c r="G187"/>
  <c r="F186"/>
  <c r="G186" s="1"/>
  <c r="D186"/>
  <c r="S186" s="1"/>
  <c r="S185"/>
  <c r="G185"/>
  <c r="S184"/>
  <c r="G184"/>
  <c r="S183"/>
  <c r="G183"/>
  <c r="S182"/>
  <c r="G182"/>
  <c r="S181"/>
  <c r="F181"/>
  <c r="E181"/>
  <c r="D181"/>
  <c r="T180"/>
  <c r="S180"/>
  <c r="G180"/>
  <c r="U179"/>
  <c r="T179"/>
  <c r="K179"/>
  <c r="G179"/>
  <c r="D179"/>
  <c r="S179" s="1"/>
  <c r="S178"/>
  <c r="G178"/>
  <c r="T177"/>
  <c r="S177"/>
  <c r="G177"/>
  <c r="T176"/>
  <c r="S176"/>
  <c r="G176"/>
  <c r="T175"/>
  <c r="S175"/>
  <c r="S174"/>
  <c r="T173"/>
  <c r="S173"/>
  <c r="F173"/>
  <c r="D173"/>
  <c r="T172"/>
  <c r="S172"/>
  <c r="G172"/>
  <c r="T171"/>
  <c r="S171"/>
  <c r="G171"/>
  <c r="T170"/>
  <c r="F170"/>
  <c r="G170" s="1"/>
  <c r="D170"/>
  <c r="S170" s="1"/>
  <c r="T169"/>
  <c r="S169"/>
  <c r="G169"/>
  <c r="T168"/>
  <c r="S168"/>
  <c r="G168"/>
  <c r="T167"/>
  <c r="F167"/>
  <c r="G167" s="1"/>
  <c r="D167"/>
  <c r="S167" s="1"/>
  <c r="T166"/>
  <c r="S166"/>
  <c r="G166"/>
  <c r="T165"/>
  <c r="S165"/>
  <c r="G165"/>
  <c r="U164"/>
  <c r="T164"/>
  <c r="K164"/>
  <c r="G164"/>
  <c r="D164"/>
  <c r="S164" s="1"/>
  <c r="T163"/>
  <c r="S163"/>
  <c r="G163"/>
  <c r="T162"/>
  <c r="S162"/>
  <c r="G162"/>
  <c r="T161"/>
  <c r="F161"/>
  <c r="D161"/>
  <c r="S161" s="1"/>
  <c r="T160"/>
  <c r="S160"/>
  <c r="G160"/>
  <c r="T159"/>
  <c r="S159"/>
  <c r="G159"/>
  <c r="F158"/>
  <c r="D158"/>
  <c r="S158" s="1"/>
  <c r="S157"/>
  <c r="S156"/>
  <c r="F156"/>
  <c r="E156"/>
  <c r="D156"/>
  <c r="T155"/>
  <c r="S155"/>
  <c r="G155"/>
  <c r="T154"/>
  <c r="S154"/>
  <c r="G154"/>
  <c r="F153"/>
  <c r="D153"/>
  <c r="S153" s="1"/>
  <c r="S152"/>
  <c r="G152"/>
  <c r="S151"/>
  <c r="G151"/>
  <c r="S150"/>
  <c r="G150"/>
  <c r="S149"/>
  <c r="G149"/>
  <c r="S148"/>
  <c r="G148"/>
  <c r="S147"/>
  <c r="G147"/>
  <c r="F146"/>
  <c r="G146" s="1"/>
  <c r="E146"/>
  <c r="D146"/>
  <c r="S146" s="1"/>
  <c r="T145"/>
  <c r="S145"/>
  <c r="G145"/>
  <c r="S144"/>
  <c r="G144"/>
  <c r="S143"/>
  <c r="G143"/>
  <c r="G142"/>
  <c r="F142"/>
  <c r="E142"/>
  <c r="D142"/>
  <c r="S142" s="1"/>
  <c r="S137"/>
  <c r="G137"/>
  <c r="S136"/>
  <c r="G136"/>
  <c r="S135"/>
  <c r="G135"/>
  <c r="S134"/>
  <c r="G134"/>
  <c r="S133"/>
  <c r="G133"/>
  <c r="S132"/>
  <c r="G132"/>
  <c r="S131"/>
  <c r="G131"/>
  <c r="S130"/>
  <c r="G130"/>
  <c r="S129"/>
  <c r="G129"/>
  <c r="S128"/>
  <c r="G128"/>
  <c r="S127"/>
  <c r="G127"/>
  <c r="S126"/>
  <c r="G126"/>
  <c r="S125"/>
  <c r="S124"/>
  <c r="G124"/>
  <c r="S123"/>
  <c r="G123"/>
  <c r="U122"/>
  <c r="T122"/>
  <c r="S122"/>
  <c r="K122"/>
  <c r="L122" s="1"/>
  <c r="G122"/>
  <c r="S121"/>
  <c r="E121"/>
  <c r="G121" s="1"/>
  <c r="S120"/>
  <c r="E120"/>
  <c r="D119"/>
  <c r="S119" s="1"/>
  <c r="T118"/>
  <c r="S118"/>
  <c r="G118"/>
  <c r="T117"/>
  <c r="S117"/>
  <c r="G117"/>
  <c r="T116"/>
  <c r="S116"/>
  <c r="G116"/>
  <c r="G115"/>
  <c r="D115"/>
  <c r="S115" s="1"/>
  <c r="T114"/>
  <c r="S114"/>
  <c r="G114"/>
  <c r="T113"/>
  <c r="S113"/>
  <c r="G113"/>
  <c r="T112"/>
  <c r="S112"/>
  <c r="S111"/>
  <c r="E110"/>
  <c r="D110"/>
  <c r="S110" s="1"/>
  <c r="S109"/>
  <c r="G109"/>
  <c r="S108"/>
  <c r="G108"/>
  <c r="S107"/>
  <c r="S106"/>
  <c r="G106"/>
  <c r="S105"/>
  <c r="E104"/>
  <c r="D104"/>
  <c r="S104" s="1"/>
  <c r="S103"/>
  <c r="G103"/>
  <c r="T102"/>
  <c r="S102"/>
  <c r="G102"/>
  <c r="T101"/>
  <c r="S101"/>
  <c r="G101"/>
  <c r="T100"/>
  <c r="S100"/>
  <c r="G100"/>
  <c r="F99"/>
  <c r="D99"/>
  <c r="S98"/>
  <c r="G98"/>
  <c r="S96"/>
  <c r="G96"/>
  <c r="E95"/>
  <c r="D95"/>
  <c r="S95" s="1"/>
  <c r="S94"/>
  <c r="G94"/>
  <c r="F93"/>
  <c r="E93"/>
  <c r="D93"/>
  <c r="S93" s="1"/>
  <c r="S92"/>
  <c r="S91"/>
  <c r="G91"/>
  <c r="S90"/>
  <c r="G90"/>
  <c r="S89"/>
  <c r="G89"/>
  <c r="S88"/>
  <c r="G88"/>
  <c r="F87"/>
  <c r="E87"/>
  <c r="D87"/>
  <c r="S87" s="1"/>
  <c r="T86"/>
  <c r="K86"/>
  <c r="F86"/>
  <c r="G86" s="1"/>
  <c r="D86"/>
  <c r="S86" s="1"/>
  <c r="T85"/>
  <c r="S85"/>
  <c r="G85"/>
  <c r="T84"/>
  <c r="S84"/>
  <c r="G84"/>
  <c r="T83"/>
  <c r="S83"/>
  <c r="K83"/>
  <c r="F83"/>
  <c r="U83" s="1"/>
  <c r="D83"/>
  <c r="T82"/>
  <c r="S82"/>
  <c r="T81"/>
  <c r="S81"/>
  <c r="G81"/>
  <c r="T80"/>
  <c r="K80"/>
  <c r="G80"/>
  <c r="F80"/>
  <c r="U80" s="1"/>
  <c r="D80"/>
  <c r="S80" s="1"/>
  <c r="T79"/>
  <c r="S79"/>
  <c r="G79"/>
  <c r="T78"/>
  <c r="S78"/>
  <c r="G78"/>
  <c r="T77"/>
  <c r="S77"/>
  <c r="K77"/>
  <c r="F77"/>
  <c r="D77"/>
  <c r="T76"/>
  <c r="S76"/>
  <c r="G76"/>
  <c r="T75"/>
  <c r="S75"/>
  <c r="G75"/>
  <c r="F74"/>
  <c r="G74" s="1"/>
  <c r="E74"/>
  <c r="T74" s="1"/>
  <c r="D74"/>
  <c r="S74" s="1"/>
  <c r="I73"/>
  <c r="F73"/>
  <c r="E73"/>
  <c r="D73"/>
  <c r="D72" s="1"/>
  <c r="S72" s="1"/>
  <c r="T71"/>
  <c r="F71"/>
  <c r="G71" s="1"/>
  <c r="D71"/>
  <c r="S71" s="1"/>
  <c r="T70"/>
  <c r="S70"/>
  <c r="G70"/>
  <c r="T69"/>
  <c r="S69"/>
  <c r="G69"/>
  <c r="T68"/>
  <c r="G68"/>
  <c r="D68"/>
  <c r="S68" s="1"/>
  <c r="T67"/>
  <c r="S67"/>
  <c r="G67"/>
  <c r="T66"/>
  <c r="S66"/>
  <c r="G66"/>
  <c r="T65"/>
  <c r="F65"/>
  <c r="D65"/>
  <c r="S65" s="1"/>
  <c r="T64"/>
  <c r="S64"/>
  <c r="G64"/>
  <c r="T63"/>
  <c r="S63"/>
  <c r="G63"/>
  <c r="T62"/>
  <c r="F62"/>
  <c r="G62" s="1"/>
  <c r="D62"/>
  <c r="S62" s="1"/>
  <c r="T61"/>
  <c r="S61"/>
  <c r="G61"/>
  <c r="T60"/>
  <c r="S60"/>
  <c r="G60"/>
  <c r="T59"/>
  <c r="K59"/>
  <c r="G59"/>
  <c r="D59"/>
  <c r="S59" s="1"/>
  <c r="T58"/>
  <c r="S58"/>
  <c r="G58"/>
  <c r="T57"/>
  <c r="S57"/>
  <c r="G57"/>
  <c r="T56"/>
  <c r="F56"/>
  <c r="G56" s="1"/>
  <c r="D56"/>
  <c r="S56" s="1"/>
  <c r="T55"/>
  <c r="S55"/>
  <c r="G55"/>
  <c r="T54"/>
  <c r="S54"/>
  <c r="G54"/>
  <c r="T53"/>
  <c r="T52"/>
  <c r="F52"/>
  <c r="G52" s="1"/>
  <c r="D52"/>
  <c r="S52" s="1"/>
  <c r="T51"/>
  <c r="F51"/>
  <c r="D51"/>
  <c r="D53" s="1"/>
  <c r="S53" s="1"/>
  <c r="T50"/>
  <c r="D50"/>
  <c r="S50" s="1"/>
  <c r="T49"/>
  <c r="S49"/>
  <c r="G49"/>
  <c r="T48"/>
  <c r="S48"/>
  <c r="G48"/>
  <c r="F50"/>
  <c r="T47"/>
  <c r="F47"/>
  <c r="D47"/>
  <c r="S47" s="1"/>
  <c r="T46"/>
  <c r="S46"/>
  <c r="G46"/>
  <c r="S45"/>
  <c r="G45"/>
  <c r="T44"/>
  <c r="S44"/>
  <c r="G44"/>
  <c r="D44"/>
  <c r="T43"/>
  <c r="S43"/>
  <c r="G43"/>
  <c r="T42"/>
  <c r="S42"/>
  <c r="G42"/>
  <c r="F41"/>
  <c r="E41"/>
  <c r="D41"/>
  <c r="S41" s="1"/>
  <c r="T40"/>
  <c r="F40"/>
  <c r="D40"/>
  <c r="S40" s="1"/>
  <c r="T39"/>
  <c r="S39"/>
  <c r="G39"/>
  <c r="S38"/>
  <c r="G38"/>
  <c r="S36"/>
  <c r="G36"/>
  <c r="F35"/>
  <c r="E35"/>
  <c r="D35"/>
  <c r="S35" s="1"/>
  <c r="T34"/>
  <c r="S34"/>
  <c r="G34"/>
  <c r="T33"/>
  <c r="S33"/>
  <c r="G33"/>
  <c r="T32"/>
  <c r="S32"/>
  <c r="G32"/>
  <c r="T31"/>
  <c r="S31"/>
  <c r="G31"/>
  <c r="F30"/>
  <c r="D30"/>
  <c r="S30" s="1"/>
  <c r="T29"/>
  <c r="S29"/>
  <c r="D29"/>
  <c r="T28"/>
  <c r="S28"/>
  <c r="G28"/>
  <c r="T27"/>
  <c r="S27"/>
  <c r="G27"/>
  <c r="F26"/>
  <c r="E26"/>
  <c r="T26" s="1"/>
  <c r="D26"/>
  <c r="S26" s="1"/>
  <c r="T25"/>
  <c r="S25"/>
  <c r="G25"/>
  <c r="T24"/>
  <c r="S24"/>
  <c r="G24"/>
  <c r="K23"/>
  <c r="F23"/>
  <c r="U23" s="1"/>
  <c r="E23"/>
  <c r="T23" s="1"/>
  <c r="D23"/>
  <c r="S23" s="1"/>
  <c r="T22"/>
  <c r="S22"/>
  <c r="G22"/>
  <c r="T21"/>
  <c r="S21"/>
  <c r="G21"/>
  <c r="T20"/>
  <c r="S20"/>
  <c r="K20"/>
  <c r="F20"/>
  <c r="U20" s="1"/>
  <c r="D20"/>
  <c r="T19"/>
  <c r="S19"/>
  <c r="G19"/>
  <c r="T18"/>
  <c r="S18"/>
  <c r="G18"/>
  <c r="T17"/>
  <c r="K17"/>
  <c r="F17"/>
  <c r="G17" s="1"/>
  <c r="D17"/>
  <c r="S17" s="1"/>
  <c r="T16"/>
  <c r="S16"/>
  <c r="G16"/>
  <c r="T15"/>
  <c r="S15"/>
  <c r="G15"/>
  <c r="T14"/>
  <c r="S14"/>
  <c r="F14"/>
  <c r="D14"/>
  <c r="T13"/>
  <c r="S13"/>
  <c r="G13"/>
  <c r="T12"/>
  <c r="S12"/>
  <c r="G12"/>
  <c r="S11"/>
  <c r="D11"/>
  <c r="E10"/>
  <c r="D10"/>
  <c r="S10" s="1"/>
  <c r="E9"/>
  <c r="Q5" i="34"/>
  <c r="F73"/>
  <c r="F72" s="1"/>
  <c r="P206"/>
  <c r="F209"/>
  <c r="F176"/>
  <c r="F125"/>
  <c r="F107"/>
  <c r="F105"/>
  <c r="F109"/>
  <c r="F48"/>
  <c r="F50" s="1"/>
  <c r="F88" i="31"/>
  <c r="R59" i="34"/>
  <c r="R122"/>
  <c r="R162"/>
  <c r="R177"/>
  <c r="R214"/>
  <c r="R216"/>
  <c r="R217"/>
  <c r="Q12"/>
  <c r="Q13"/>
  <c r="Q14"/>
  <c r="Q15"/>
  <c r="Q16"/>
  <c r="Q17"/>
  <c r="Q18"/>
  <c r="Q19"/>
  <c r="Q20"/>
  <c r="Q21"/>
  <c r="Q22"/>
  <c r="Q24"/>
  <c r="Q25"/>
  <c r="Q26"/>
  <c r="Q27"/>
  <c r="Q28"/>
  <c r="Q29"/>
  <c r="Q31"/>
  <c r="Q32"/>
  <c r="Q33"/>
  <c r="Q34"/>
  <c r="Q39"/>
  <c r="Q40"/>
  <c r="Q42"/>
  <c r="Q43"/>
  <c r="Q44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5"/>
  <c r="Q76"/>
  <c r="Q77"/>
  <c r="Q78"/>
  <c r="Q79"/>
  <c r="Q80"/>
  <c r="Q81"/>
  <c r="Q82"/>
  <c r="Q83"/>
  <c r="Q84"/>
  <c r="Q85"/>
  <c r="Q86"/>
  <c r="Q100"/>
  <c r="Q101"/>
  <c r="Q102"/>
  <c r="Q112"/>
  <c r="Q113"/>
  <c r="Q114"/>
  <c r="Q116"/>
  <c r="Q117"/>
  <c r="Q118"/>
  <c r="Q122"/>
  <c r="Q143"/>
  <c r="Q144"/>
  <c r="Q152"/>
  <c r="Q153"/>
  <c r="Q157"/>
  <c r="Q158"/>
  <c r="Q159"/>
  <c r="Q160"/>
  <c r="Q161"/>
  <c r="Q162"/>
  <c r="Q163"/>
  <c r="Q164"/>
  <c r="Q165"/>
  <c r="Q166"/>
  <c r="Q167"/>
  <c r="Q168"/>
  <c r="Q169"/>
  <c r="Q170"/>
  <c r="Q171"/>
  <c r="Q173"/>
  <c r="Q174"/>
  <c r="Q175"/>
  <c r="Q177"/>
  <c r="Q178"/>
  <c r="Q214"/>
  <c r="Q216"/>
  <c r="Q217"/>
  <c r="Q218"/>
  <c r="Q219"/>
  <c r="Q220"/>
  <c r="I144"/>
  <c r="I144" i="35" s="1"/>
  <c r="I145" i="36" s="1"/>
  <c r="I143" i="34"/>
  <c r="P11"/>
  <c r="P12"/>
  <c r="P13"/>
  <c r="P14"/>
  <c r="P15"/>
  <c r="P16"/>
  <c r="P18"/>
  <c r="P19"/>
  <c r="P21"/>
  <c r="P22"/>
  <c r="P23"/>
  <c r="P24"/>
  <c r="P25"/>
  <c r="P26"/>
  <c r="P27"/>
  <c r="P28"/>
  <c r="P30"/>
  <c r="P31"/>
  <c r="P32"/>
  <c r="P33"/>
  <c r="P34"/>
  <c r="P35"/>
  <c r="P36"/>
  <c r="P38"/>
  <c r="P39"/>
  <c r="P42"/>
  <c r="P43"/>
  <c r="P45"/>
  <c r="P46"/>
  <c r="P47"/>
  <c r="P48"/>
  <c r="P49"/>
  <c r="P50"/>
  <c r="P51"/>
  <c r="P54"/>
  <c r="P55"/>
  <c r="P57"/>
  <c r="P58"/>
  <c r="P60"/>
  <c r="P61"/>
  <c r="P63"/>
  <c r="P64"/>
  <c r="P66"/>
  <c r="P67"/>
  <c r="P69"/>
  <c r="P70"/>
  <c r="P71"/>
  <c r="P75"/>
  <c r="P76"/>
  <c r="P78"/>
  <c r="P79"/>
  <c r="P81"/>
  <c r="P82"/>
  <c r="P83"/>
  <c r="P84"/>
  <c r="P85"/>
  <c r="P86"/>
  <c r="P87"/>
  <c r="P88"/>
  <c r="P89"/>
  <c r="P90"/>
  <c r="P91"/>
  <c r="P92"/>
  <c r="P94"/>
  <c r="P95"/>
  <c r="P96"/>
  <c r="P98"/>
  <c r="P100"/>
  <c r="P101"/>
  <c r="P102"/>
  <c r="P103"/>
  <c r="P105"/>
  <c r="P106"/>
  <c r="P107"/>
  <c r="P108"/>
  <c r="P109"/>
  <c r="P110"/>
  <c r="P111"/>
  <c r="P112"/>
  <c r="P113"/>
  <c r="P114"/>
  <c r="P115"/>
  <c r="P116"/>
  <c r="P117"/>
  <c r="P118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41"/>
  <c r="P142"/>
  <c r="P143"/>
  <c r="P145"/>
  <c r="P146"/>
  <c r="P147"/>
  <c r="P148"/>
  <c r="P149"/>
  <c r="P150"/>
  <c r="P151"/>
  <c r="P152"/>
  <c r="P153"/>
  <c r="P154"/>
  <c r="P155"/>
  <c r="P157"/>
  <c r="P158"/>
  <c r="P159"/>
  <c r="P160"/>
  <c r="P161"/>
  <c r="P163"/>
  <c r="P164"/>
  <c r="P166"/>
  <c r="P167"/>
  <c r="P169"/>
  <c r="P170"/>
  <c r="P171"/>
  <c r="P172"/>
  <c r="P173"/>
  <c r="P174"/>
  <c r="P175"/>
  <c r="P176"/>
  <c r="P178"/>
  <c r="P180"/>
  <c r="P181"/>
  <c r="P182"/>
  <c r="P183"/>
  <c r="P185"/>
  <c r="P186"/>
  <c r="P187"/>
  <c r="P189"/>
  <c r="P190"/>
  <c r="P191"/>
  <c r="P193"/>
  <c r="P194"/>
  <c r="P195"/>
  <c r="P196"/>
  <c r="P197"/>
  <c r="P198"/>
  <c r="P199"/>
  <c r="P200"/>
  <c r="P201"/>
  <c r="P202"/>
  <c r="P203"/>
  <c r="P204"/>
  <c r="P208"/>
  <c r="P210"/>
  <c r="P212"/>
  <c r="P214"/>
  <c r="P215"/>
  <c r="P216"/>
  <c r="P217"/>
  <c r="I224"/>
  <c r="D220"/>
  <c r="D219"/>
  <c r="K215"/>
  <c r="J215"/>
  <c r="I215"/>
  <c r="H215"/>
  <c r="G215"/>
  <c r="F215"/>
  <c r="E215"/>
  <c r="D215"/>
  <c r="D218" s="1"/>
  <c r="P218" s="1"/>
  <c r="F212"/>
  <c r="E212"/>
  <c r="D212"/>
  <c r="D211"/>
  <c r="P211" s="1"/>
  <c r="G210"/>
  <c r="G208"/>
  <c r="G204"/>
  <c r="G203"/>
  <c r="G202"/>
  <c r="G201"/>
  <c r="G200"/>
  <c r="G199"/>
  <c r="G198"/>
  <c r="G197"/>
  <c r="G196"/>
  <c r="G195"/>
  <c r="G194"/>
  <c r="G193"/>
  <c r="F192"/>
  <c r="E192"/>
  <c r="E188" s="1"/>
  <c r="D192"/>
  <c r="G191"/>
  <c r="G190"/>
  <c r="G189"/>
  <c r="G187"/>
  <c r="G186"/>
  <c r="G185"/>
  <c r="O184"/>
  <c r="G184"/>
  <c r="F184"/>
  <c r="D184"/>
  <c r="P184" s="1"/>
  <c r="G183"/>
  <c r="G182"/>
  <c r="G181"/>
  <c r="G180"/>
  <c r="F179"/>
  <c r="G179" s="1"/>
  <c r="E179"/>
  <c r="D179"/>
  <c r="P179" s="1"/>
  <c r="G178"/>
  <c r="K177"/>
  <c r="G177"/>
  <c r="D177"/>
  <c r="P177" s="1"/>
  <c r="G175"/>
  <c r="G174"/>
  <c r="G173"/>
  <c r="F172"/>
  <c r="F171"/>
  <c r="D171"/>
  <c r="G170"/>
  <c r="G169"/>
  <c r="F168"/>
  <c r="G168" s="1"/>
  <c r="D168"/>
  <c r="P168" s="1"/>
  <c r="G167"/>
  <c r="G166"/>
  <c r="F165"/>
  <c r="D165"/>
  <c r="P165" s="1"/>
  <c r="G164"/>
  <c r="G163"/>
  <c r="K162"/>
  <c r="G162"/>
  <c r="D162"/>
  <c r="P162" s="1"/>
  <c r="G161"/>
  <c r="G160"/>
  <c r="F159"/>
  <c r="D159"/>
  <c r="G158"/>
  <c r="G157"/>
  <c r="F156"/>
  <c r="D156"/>
  <c r="P156" s="1"/>
  <c r="G155"/>
  <c r="F154"/>
  <c r="E154"/>
  <c r="D154"/>
  <c r="G153"/>
  <c r="G152"/>
  <c r="F151"/>
  <c r="G151" s="1"/>
  <c r="D151"/>
  <c r="G150"/>
  <c r="G149"/>
  <c r="G148"/>
  <c r="G147"/>
  <c r="G146"/>
  <c r="F144"/>
  <c r="E144"/>
  <c r="D144"/>
  <c r="P144" s="1"/>
  <c r="G143"/>
  <c r="G142"/>
  <c r="E140"/>
  <c r="D140"/>
  <c r="G137"/>
  <c r="G136"/>
  <c r="G135"/>
  <c r="G134"/>
  <c r="G133"/>
  <c r="G132"/>
  <c r="G131"/>
  <c r="G130"/>
  <c r="G129"/>
  <c r="G128"/>
  <c r="G127"/>
  <c r="G126"/>
  <c r="G124"/>
  <c r="G123"/>
  <c r="K122"/>
  <c r="L122" s="1"/>
  <c r="G122"/>
  <c r="F121"/>
  <c r="E121"/>
  <c r="E120" s="1"/>
  <c r="D119"/>
  <c r="D110" s="1"/>
  <c r="G118"/>
  <c r="G117"/>
  <c r="G116"/>
  <c r="D115"/>
  <c r="G114"/>
  <c r="G113"/>
  <c r="G112"/>
  <c r="F111"/>
  <c r="E110"/>
  <c r="G108"/>
  <c r="G106"/>
  <c r="E104"/>
  <c r="D104"/>
  <c r="P104" s="1"/>
  <c r="G103"/>
  <c r="G102"/>
  <c r="G101"/>
  <c r="G100"/>
  <c r="F99"/>
  <c r="D99"/>
  <c r="D97" s="1"/>
  <c r="P97" s="1"/>
  <c r="G98"/>
  <c r="G96"/>
  <c r="F95"/>
  <c r="E95"/>
  <c r="D95"/>
  <c r="G94"/>
  <c r="F93"/>
  <c r="E93"/>
  <c r="D93"/>
  <c r="P93" s="1"/>
  <c r="G91"/>
  <c r="G90"/>
  <c r="G89"/>
  <c r="E87"/>
  <c r="D87"/>
  <c r="K86"/>
  <c r="F86"/>
  <c r="R86" s="1"/>
  <c r="D86"/>
  <c r="G85"/>
  <c r="G84"/>
  <c r="K83"/>
  <c r="F83"/>
  <c r="R83" s="1"/>
  <c r="D83"/>
  <c r="G81"/>
  <c r="K80"/>
  <c r="F80"/>
  <c r="G80" s="1"/>
  <c r="D80"/>
  <c r="P80" s="1"/>
  <c r="G79"/>
  <c r="G78"/>
  <c r="K77"/>
  <c r="F77"/>
  <c r="G77" s="1"/>
  <c r="D77"/>
  <c r="P77" s="1"/>
  <c r="G76"/>
  <c r="G75"/>
  <c r="F74"/>
  <c r="E74"/>
  <c r="Q74" s="1"/>
  <c r="D74"/>
  <c r="P74" s="1"/>
  <c r="I73"/>
  <c r="E73"/>
  <c r="D73"/>
  <c r="P73" s="1"/>
  <c r="F71"/>
  <c r="G71" s="1"/>
  <c r="D71"/>
  <c r="G70"/>
  <c r="G69"/>
  <c r="G68"/>
  <c r="D68"/>
  <c r="P68" s="1"/>
  <c r="G67"/>
  <c r="G66"/>
  <c r="F65"/>
  <c r="D65"/>
  <c r="P65" s="1"/>
  <c r="G64"/>
  <c r="G63"/>
  <c r="F62"/>
  <c r="G62" s="1"/>
  <c r="D62"/>
  <c r="P62" s="1"/>
  <c r="G61"/>
  <c r="G60"/>
  <c r="K59"/>
  <c r="G59"/>
  <c r="D59"/>
  <c r="P59" s="1"/>
  <c r="G58"/>
  <c r="G57"/>
  <c r="F56"/>
  <c r="G56" s="1"/>
  <c r="D56"/>
  <c r="P56" s="1"/>
  <c r="G55"/>
  <c r="G54"/>
  <c r="F52"/>
  <c r="G52" s="1"/>
  <c r="D52"/>
  <c r="P52" s="1"/>
  <c r="F51"/>
  <c r="D51"/>
  <c r="D50"/>
  <c r="G49"/>
  <c r="G48"/>
  <c r="F47"/>
  <c r="D47"/>
  <c r="G46"/>
  <c r="G45"/>
  <c r="G44"/>
  <c r="D44"/>
  <c r="P44" s="1"/>
  <c r="G43"/>
  <c r="G42"/>
  <c r="F41"/>
  <c r="G41" s="1"/>
  <c r="E41"/>
  <c r="D41"/>
  <c r="F40"/>
  <c r="G40" s="1"/>
  <c r="D40"/>
  <c r="P40" s="1"/>
  <c r="G39"/>
  <c r="G38"/>
  <c r="G36"/>
  <c r="F35"/>
  <c r="E35"/>
  <c r="D35"/>
  <c r="G34"/>
  <c r="G33"/>
  <c r="G32"/>
  <c r="G31"/>
  <c r="F30"/>
  <c r="D30"/>
  <c r="G29"/>
  <c r="D29"/>
  <c r="P29" s="1"/>
  <c r="G28"/>
  <c r="G27"/>
  <c r="F26"/>
  <c r="E26"/>
  <c r="D26"/>
  <c r="G25"/>
  <c r="G24"/>
  <c r="K23"/>
  <c r="F23"/>
  <c r="R23" s="1"/>
  <c r="E23"/>
  <c r="Q23" s="1"/>
  <c r="D23"/>
  <c r="G22"/>
  <c r="G21"/>
  <c r="K20"/>
  <c r="F20"/>
  <c r="G20" s="1"/>
  <c r="D20"/>
  <c r="P20" s="1"/>
  <c r="G19"/>
  <c r="G18"/>
  <c r="K17"/>
  <c r="F17"/>
  <c r="R17" s="1"/>
  <c r="D17"/>
  <c r="P17" s="1"/>
  <c r="G16"/>
  <c r="G15"/>
  <c r="F14"/>
  <c r="G14" s="1"/>
  <c r="D14"/>
  <c r="G13"/>
  <c r="G12"/>
  <c r="F11"/>
  <c r="G11" s="1"/>
  <c r="D11"/>
  <c r="E10"/>
  <c r="O8"/>
  <c r="F52" i="33"/>
  <c r="F65"/>
  <c r="F71"/>
  <c r="F62"/>
  <c r="F56"/>
  <c r="O8"/>
  <c r="O184"/>
  <c r="F155"/>
  <c r="F193"/>
  <c r="F176"/>
  <c r="F141"/>
  <c r="F193" i="32"/>
  <c r="F145"/>
  <c r="F88"/>
  <c r="F193" i="31"/>
  <c r="F110" i="42" l="1"/>
  <c r="H113" i="38"/>
  <c r="H113" i="40" s="1"/>
  <c r="H113" i="39"/>
  <c r="O113" s="1"/>
  <c r="P113" s="1"/>
  <c r="F191" i="36"/>
  <c r="H179" i="38"/>
  <c r="H180" i="39"/>
  <c r="O180" s="1"/>
  <c r="P180" s="1"/>
  <c r="G53" i="38"/>
  <c r="E120" i="36"/>
  <c r="G161" i="39"/>
  <c r="P41" i="34"/>
  <c r="D37"/>
  <c r="P37" s="1"/>
  <c r="E190" i="35"/>
  <c r="G157"/>
  <c r="E10" i="36"/>
  <c r="S51"/>
  <c r="D53"/>
  <c r="S53" s="1"/>
  <c r="D37"/>
  <c r="S37" s="1"/>
  <c r="H112" i="39"/>
  <c r="O112" s="1"/>
  <c r="P112" s="1"/>
  <c r="H112" i="38"/>
  <c r="H112" i="40" s="1"/>
  <c r="O122" i="37"/>
  <c r="P122" s="1"/>
  <c r="H122" i="38"/>
  <c r="H122" i="39"/>
  <c r="O122" s="1"/>
  <c r="P122" s="1"/>
  <c r="D222" i="36"/>
  <c r="S222" s="1"/>
  <c r="P99" i="34"/>
  <c r="D190" i="35"/>
  <c r="G26" i="36"/>
  <c r="E139" i="34"/>
  <c r="G159"/>
  <c r="F211"/>
  <c r="E97" i="36"/>
  <c r="E212" i="42"/>
  <c r="E214" s="1"/>
  <c r="I147" i="37"/>
  <c r="E8" i="35"/>
  <c r="G111" i="34"/>
  <c r="G121"/>
  <c r="F120"/>
  <c r="P192"/>
  <c r="D188"/>
  <c r="P188" s="1"/>
  <c r="E97" i="35"/>
  <c r="G175"/>
  <c r="F174"/>
  <c r="G174" s="1"/>
  <c r="H114" i="39"/>
  <c r="H114" i="38"/>
  <c r="H114" i="40" s="1"/>
  <c r="H142" i="41"/>
  <c r="O142" s="1"/>
  <c r="P142" s="1"/>
  <c r="O142" i="40"/>
  <c r="P142" s="1"/>
  <c r="P119" i="34"/>
  <c r="E211"/>
  <c r="G40" i="35"/>
  <c r="S73"/>
  <c r="G161"/>
  <c r="H140" i="41"/>
  <c r="O140" s="1"/>
  <c r="P140" s="1"/>
  <c r="O140" i="40"/>
  <c r="P140" s="1"/>
  <c r="D53" i="34"/>
  <c r="P53" s="1"/>
  <c r="P140"/>
  <c r="E141" i="35"/>
  <c r="D110" i="36"/>
  <c r="S110" s="1"/>
  <c r="G121"/>
  <c r="H141" i="41"/>
  <c r="O141" s="1"/>
  <c r="P141" s="1"/>
  <c r="O141" i="40"/>
  <c r="P141" s="1"/>
  <c r="G9"/>
  <c r="G104" i="36"/>
  <c r="S9" i="42"/>
  <c r="D8"/>
  <c r="F97"/>
  <c r="G110"/>
  <c r="R137"/>
  <c r="G144"/>
  <c r="D8" i="41"/>
  <c r="S9"/>
  <c r="F145"/>
  <c r="G146"/>
  <c r="G97"/>
  <c r="F8"/>
  <c r="G9"/>
  <c r="E213"/>
  <c r="G119" i="40"/>
  <c r="E8"/>
  <c r="R137"/>
  <c r="E144"/>
  <c r="S9"/>
  <c r="D8"/>
  <c r="G110"/>
  <c r="F97"/>
  <c r="G145"/>
  <c r="O199" i="39"/>
  <c r="P199" s="1"/>
  <c r="E8"/>
  <c r="G87"/>
  <c r="F9"/>
  <c r="F8" s="1"/>
  <c r="G110"/>
  <c r="F97"/>
  <c r="J161"/>
  <c r="S10"/>
  <c r="D9"/>
  <c r="D145"/>
  <c r="S145" s="1"/>
  <c r="S146"/>
  <c r="K50"/>
  <c r="G53"/>
  <c r="E145"/>
  <c r="G195"/>
  <c r="K73"/>
  <c r="G72"/>
  <c r="F146"/>
  <c r="F145" i="38"/>
  <c r="F144" s="1"/>
  <c r="G194"/>
  <c r="G72"/>
  <c r="F9"/>
  <c r="G10"/>
  <c r="G218"/>
  <c r="D9"/>
  <c r="S10"/>
  <c r="F119"/>
  <c r="G120"/>
  <c r="G37"/>
  <c r="E212"/>
  <c r="G217" i="37"/>
  <c r="G193"/>
  <c r="F144"/>
  <c r="E211"/>
  <c r="G72"/>
  <c r="F119"/>
  <c r="F110" s="1"/>
  <c r="G120"/>
  <c r="S144"/>
  <c r="D143"/>
  <c r="S143" s="1"/>
  <c r="S10"/>
  <c r="D9"/>
  <c r="F9"/>
  <c r="G72" i="36"/>
  <c r="G29"/>
  <c r="G112"/>
  <c r="F111"/>
  <c r="G93"/>
  <c r="G56"/>
  <c r="F37"/>
  <c r="G37" s="1"/>
  <c r="F119"/>
  <c r="G120"/>
  <c r="G143"/>
  <c r="G74"/>
  <c r="G86"/>
  <c r="G83"/>
  <c r="U80"/>
  <c r="G73"/>
  <c r="U77"/>
  <c r="G47"/>
  <c r="G30"/>
  <c r="G23"/>
  <c r="G14"/>
  <c r="F53"/>
  <c r="S99"/>
  <c r="D97"/>
  <c r="S97" s="1"/>
  <c r="G147"/>
  <c r="G158"/>
  <c r="F157"/>
  <c r="S11"/>
  <c r="D10"/>
  <c r="G50"/>
  <c r="G176"/>
  <c r="F175"/>
  <c r="G187"/>
  <c r="E215"/>
  <c r="G216"/>
  <c r="G59"/>
  <c r="U59"/>
  <c r="G195"/>
  <c r="G125"/>
  <c r="E141"/>
  <c r="U17"/>
  <c r="U20"/>
  <c r="T147"/>
  <c r="S73"/>
  <c r="F10"/>
  <c r="T23"/>
  <c r="G51"/>
  <c r="G171"/>
  <c r="G40"/>
  <c r="G65"/>
  <c r="S115"/>
  <c r="D142"/>
  <c r="G20" i="35"/>
  <c r="G29"/>
  <c r="G107"/>
  <c r="G112"/>
  <c r="F111"/>
  <c r="U86"/>
  <c r="G35"/>
  <c r="G14"/>
  <c r="G194"/>
  <c r="G47"/>
  <c r="F213"/>
  <c r="G173"/>
  <c r="G153"/>
  <c r="G93"/>
  <c r="G87"/>
  <c r="G83"/>
  <c r="F72"/>
  <c r="G73"/>
  <c r="G30"/>
  <c r="G23"/>
  <c r="U17"/>
  <c r="F10"/>
  <c r="G10" s="1"/>
  <c r="G41"/>
  <c r="F37"/>
  <c r="G65"/>
  <c r="G51"/>
  <c r="F53"/>
  <c r="G99"/>
  <c r="G190"/>
  <c r="G26"/>
  <c r="G50"/>
  <c r="G105"/>
  <c r="F104"/>
  <c r="G77"/>
  <c r="U77"/>
  <c r="E140"/>
  <c r="D97"/>
  <c r="S97" s="1"/>
  <c r="S99"/>
  <c r="T146"/>
  <c r="G11"/>
  <c r="D37"/>
  <c r="F141"/>
  <c r="G181"/>
  <c r="G214"/>
  <c r="D220"/>
  <c r="S220" s="1"/>
  <c r="S51"/>
  <c r="G125"/>
  <c r="G156"/>
  <c r="G158"/>
  <c r="G83" i="34"/>
  <c r="R80"/>
  <c r="G165"/>
  <c r="G95"/>
  <c r="G107"/>
  <c r="F104"/>
  <c r="G104" s="1"/>
  <c r="G105"/>
  <c r="G93"/>
  <c r="R77"/>
  <c r="G50"/>
  <c r="G212"/>
  <c r="G120"/>
  <c r="G72"/>
  <c r="G47"/>
  <c r="G30"/>
  <c r="R20"/>
  <c r="G51"/>
  <c r="F53"/>
  <c r="G172"/>
  <c r="G23"/>
  <c r="G74"/>
  <c r="E97"/>
  <c r="G141"/>
  <c r="F140"/>
  <c r="G145"/>
  <c r="G154"/>
  <c r="G176"/>
  <c r="E9"/>
  <c r="G17"/>
  <c r="F37"/>
  <c r="G35"/>
  <c r="G171"/>
  <c r="G65"/>
  <c r="G86"/>
  <c r="G88"/>
  <c r="G115"/>
  <c r="G144"/>
  <c r="G192"/>
  <c r="F188"/>
  <c r="G99"/>
  <c r="G125"/>
  <c r="E138"/>
  <c r="F10"/>
  <c r="G26"/>
  <c r="D10"/>
  <c r="P10" s="1"/>
  <c r="G73"/>
  <c r="G109"/>
  <c r="G156"/>
  <c r="D72"/>
  <c r="P72" s="1"/>
  <c r="J128" i="30"/>
  <c r="F150" i="31"/>
  <c r="F145"/>
  <c r="J171" i="30"/>
  <c r="F171"/>
  <c r="F165"/>
  <c r="J204"/>
  <c r="J203"/>
  <c r="J202"/>
  <c r="J201"/>
  <c r="J200"/>
  <c r="J199"/>
  <c r="J198"/>
  <c r="J197"/>
  <c r="J196"/>
  <c r="J195"/>
  <c r="J194"/>
  <c r="J193"/>
  <c r="J191"/>
  <c r="J190"/>
  <c r="J189"/>
  <c r="J187"/>
  <c r="J186"/>
  <c r="J185"/>
  <c r="J183"/>
  <c r="J182"/>
  <c r="J181"/>
  <c r="J180"/>
  <c r="J175"/>
  <c r="J174"/>
  <c r="J173"/>
  <c r="J170"/>
  <c r="J169"/>
  <c r="J167"/>
  <c r="J166"/>
  <c r="J164"/>
  <c r="J165" s="1"/>
  <c r="J163"/>
  <c r="J161"/>
  <c r="J160"/>
  <c r="J158"/>
  <c r="J157"/>
  <c r="J153"/>
  <c r="J152"/>
  <c r="J142"/>
  <c r="J141"/>
  <c r="J146"/>
  <c r="J147"/>
  <c r="J148"/>
  <c r="J149"/>
  <c r="J150"/>
  <c r="J145"/>
  <c r="F145"/>
  <c r="J89"/>
  <c r="J90"/>
  <c r="J91"/>
  <c r="J92"/>
  <c r="F94"/>
  <c r="F88"/>
  <c r="J88" s="1"/>
  <c r="F49" i="33"/>
  <c r="F48"/>
  <c r="F125"/>
  <c r="F107"/>
  <c r="S190" i="35" l="1"/>
  <c r="D141"/>
  <c r="E9" i="36"/>
  <c r="F110" i="35"/>
  <c r="F119" i="34"/>
  <c r="O122" i="38"/>
  <c r="P122" s="1"/>
  <c r="H122" i="40"/>
  <c r="H113" i="41"/>
  <c r="O113" s="1"/>
  <c r="P113" s="1"/>
  <c r="H113" i="42"/>
  <c r="O113" s="1"/>
  <c r="P113" s="1"/>
  <c r="O113" i="40"/>
  <c r="P113" s="1"/>
  <c r="D139" i="34"/>
  <c r="F110" i="36"/>
  <c r="G110" s="1"/>
  <c r="H114" i="41"/>
  <c r="H114" i="42"/>
  <c r="H112" i="41"/>
  <c r="O112" s="1"/>
  <c r="P112" s="1"/>
  <c r="H112" i="42"/>
  <c r="O112" s="1"/>
  <c r="P112" s="1"/>
  <c r="O112" i="40"/>
  <c r="P112" s="1"/>
  <c r="H179" i="42"/>
  <c r="O179" s="1"/>
  <c r="P179" s="1"/>
  <c r="H179" i="40"/>
  <c r="I149" i="39"/>
  <c r="I148" i="38"/>
  <c r="G211" i="34"/>
  <c r="G111" i="36"/>
  <c r="E216" i="42"/>
  <c r="G97"/>
  <c r="F8"/>
  <c r="D212"/>
  <c r="S8"/>
  <c r="D213" i="41"/>
  <c r="S8"/>
  <c r="F213"/>
  <c r="G8"/>
  <c r="G145"/>
  <c r="R137"/>
  <c r="E215"/>
  <c r="D212" i="40"/>
  <c r="S8"/>
  <c r="E212"/>
  <c r="E214" s="1"/>
  <c r="E216" s="1"/>
  <c r="G144"/>
  <c r="G97"/>
  <c r="F8"/>
  <c r="G9" i="39"/>
  <c r="D8"/>
  <c r="S9"/>
  <c r="F145"/>
  <c r="G146"/>
  <c r="G8"/>
  <c r="G97"/>
  <c r="E213"/>
  <c r="G145" i="38"/>
  <c r="G119"/>
  <c r="F110"/>
  <c r="R137"/>
  <c r="G144"/>
  <c r="G9"/>
  <c r="S9"/>
  <c r="D8"/>
  <c r="E214"/>
  <c r="G144" i="37"/>
  <c r="F143"/>
  <c r="G9"/>
  <c r="D8"/>
  <c r="S9"/>
  <c r="G119"/>
  <c r="E213"/>
  <c r="G119" i="36"/>
  <c r="F142"/>
  <c r="G157"/>
  <c r="F9"/>
  <c r="G10"/>
  <c r="G215"/>
  <c r="G53"/>
  <c r="G191"/>
  <c r="D141"/>
  <c r="S141" s="1"/>
  <c r="S142"/>
  <c r="G175"/>
  <c r="D9"/>
  <c r="S10"/>
  <c r="G111" i="35"/>
  <c r="G120"/>
  <c r="G213"/>
  <c r="G72"/>
  <c r="F9"/>
  <c r="E207"/>
  <c r="G104"/>
  <c r="F140"/>
  <c r="G141"/>
  <c r="S37"/>
  <c r="D9"/>
  <c r="G53"/>
  <c r="G37"/>
  <c r="F110" i="34"/>
  <c r="F97" s="1"/>
  <c r="G188"/>
  <c r="G87"/>
  <c r="E8"/>
  <c r="G140"/>
  <c r="F139"/>
  <c r="G37"/>
  <c r="D9"/>
  <c r="P9" s="1"/>
  <c r="G10"/>
  <c r="F9"/>
  <c r="G53"/>
  <c r="F109" i="33"/>
  <c r="P139" i="34" l="1"/>
  <c r="D138"/>
  <c r="P138" s="1"/>
  <c r="E8" i="36"/>
  <c r="I148" i="42"/>
  <c r="I149" i="41"/>
  <c r="I148" i="40"/>
  <c r="F97" i="36"/>
  <c r="G119" i="34"/>
  <c r="H180" i="41"/>
  <c r="O180" s="1"/>
  <c r="P180" s="1"/>
  <c r="O179" i="40"/>
  <c r="P179" s="1"/>
  <c r="K149" i="39"/>
  <c r="L149" s="1"/>
  <c r="O122" i="40"/>
  <c r="P122" s="1"/>
  <c r="H122" i="42"/>
  <c r="O122" s="1"/>
  <c r="P122" s="1"/>
  <c r="H122" i="41"/>
  <c r="O122" s="1"/>
  <c r="P122" s="1"/>
  <c r="S141" i="35"/>
  <c r="D140"/>
  <c r="S140" s="1"/>
  <c r="S212" i="42"/>
  <c r="D214"/>
  <c r="G8"/>
  <c r="F212"/>
  <c r="G216"/>
  <c r="E220"/>
  <c r="D215" i="41"/>
  <c r="S213"/>
  <c r="E217"/>
  <c r="F214"/>
  <c r="F215" s="1"/>
  <c r="G213"/>
  <c r="F212" i="40"/>
  <c r="F213" s="1"/>
  <c r="F214" s="1"/>
  <c r="G8"/>
  <c r="S212"/>
  <c r="D214"/>
  <c r="D216" s="1"/>
  <c r="E215" i="39"/>
  <c r="G145"/>
  <c r="R137"/>
  <c r="D213"/>
  <c r="S8"/>
  <c r="F213"/>
  <c r="G110" i="38"/>
  <c r="F97"/>
  <c r="E216"/>
  <c r="S8"/>
  <c r="D212"/>
  <c r="G110" i="37"/>
  <c r="F97"/>
  <c r="G143"/>
  <c r="R137"/>
  <c r="D211"/>
  <c r="S8"/>
  <c r="E215"/>
  <c r="S9" i="36"/>
  <c r="D8"/>
  <c r="F8"/>
  <c r="G9"/>
  <c r="F141"/>
  <c r="G142"/>
  <c r="G119" i="35"/>
  <c r="G9"/>
  <c r="S9"/>
  <c r="D8"/>
  <c r="G140"/>
  <c r="R137"/>
  <c r="E209"/>
  <c r="G110" i="34"/>
  <c r="G97"/>
  <c r="G9"/>
  <c r="F8"/>
  <c r="F138"/>
  <c r="G139"/>
  <c r="E205"/>
  <c r="D8"/>
  <c r="P8" s="1"/>
  <c r="I17" i="32"/>
  <c r="Q17" i="33" s="1"/>
  <c r="Q12"/>
  <c r="Q13"/>
  <c r="Q14"/>
  <c r="Q15"/>
  <c r="Q16"/>
  <c r="Q18"/>
  <c r="Q19"/>
  <c r="Q20"/>
  <c r="Q21"/>
  <c r="Q22"/>
  <c r="Q24"/>
  <c r="Q25"/>
  <c r="Q27"/>
  <c r="Q28"/>
  <c r="Q29"/>
  <c r="Q31"/>
  <c r="Q32"/>
  <c r="Q33"/>
  <c r="Q34"/>
  <c r="Q39"/>
  <c r="Q40"/>
  <c r="Q42"/>
  <c r="Q43"/>
  <c r="Q44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5"/>
  <c r="Q76"/>
  <c r="Q77"/>
  <c r="Q78"/>
  <c r="Q79"/>
  <c r="Q80"/>
  <c r="Q81"/>
  <c r="Q82"/>
  <c r="Q83"/>
  <c r="Q84"/>
  <c r="Q85"/>
  <c r="Q86"/>
  <c r="Q100"/>
  <c r="Q101"/>
  <c r="Q102"/>
  <c r="Q112"/>
  <c r="Q113"/>
  <c r="Q114"/>
  <c r="Q116"/>
  <c r="Q117"/>
  <c r="Q118"/>
  <c r="Q122"/>
  <c r="Q143"/>
  <c r="Q152"/>
  <c r="Q153"/>
  <c r="Q157"/>
  <c r="Q158"/>
  <c r="Q159"/>
  <c r="Q160"/>
  <c r="Q161"/>
  <c r="Q162"/>
  <c r="Q163"/>
  <c r="Q164"/>
  <c r="Q165"/>
  <c r="Q166"/>
  <c r="Q167"/>
  <c r="Q168"/>
  <c r="Q169"/>
  <c r="Q170"/>
  <c r="Q171"/>
  <c r="Q173"/>
  <c r="Q174"/>
  <c r="Q175"/>
  <c r="Q177"/>
  <c r="Q178"/>
  <c r="Q185"/>
  <c r="Q186"/>
  <c r="Q187"/>
  <c r="Q214"/>
  <c r="Q216"/>
  <c r="Q217"/>
  <c r="Q218"/>
  <c r="Q219"/>
  <c r="Q220"/>
  <c r="P11"/>
  <c r="P12"/>
  <c r="P13"/>
  <c r="P15"/>
  <c r="P16"/>
  <c r="P18"/>
  <c r="P19"/>
  <c r="P21"/>
  <c r="P22"/>
  <c r="P24"/>
  <c r="P25"/>
  <c r="P27"/>
  <c r="P28"/>
  <c r="P30"/>
  <c r="P31"/>
  <c r="P32"/>
  <c r="P33"/>
  <c r="P34"/>
  <c r="P36"/>
  <c r="P38"/>
  <c r="P39"/>
  <c r="P42"/>
  <c r="P43"/>
  <c r="P45"/>
  <c r="P46"/>
  <c r="P47"/>
  <c r="P48"/>
  <c r="P49"/>
  <c r="P50"/>
  <c r="P54"/>
  <c r="P55"/>
  <c r="P57"/>
  <c r="P58"/>
  <c r="P60"/>
  <c r="P61"/>
  <c r="P62"/>
  <c r="P63"/>
  <c r="P64"/>
  <c r="P66"/>
  <c r="P67"/>
  <c r="P69"/>
  <c r="P70"/>
  <c r="P74"/>
  <c r="P75"/>
  <c r="P76"/>
  <c r="P78"/>
  <c r="P79"/>
  <c r="P81"/>
  <c r="P82"/>
  <c r="P84"/>
  <c r="P85"/>
  <c r="P88"/>
  <c r="P89"/>
  <c r="P90"/>
  <c r="P91"/>
  <c r="P92"/>
  <c r="P94"/>
  <c r="P95"/>
  <c r="P96"/>
  <c r="P98"/>
  <c r="P100"/>
  <c r="P101"/>
  <c r="P102"/>
  <c r="P103"/>
  <c r="P105"/>
  <c r="P106"/>
  <c r="P107"/>
  <c r="P108"/>
  <c r="P109"/>
  <c r="P111"/>
  <c r="P112"/>
  <c r="P113"/>
  <c r="P114"/>
  <c r="P116"/>
  <c r="P117"/>
  <c r="P118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41"/>
  <c r="P142"/>
  <c r="P143"/>
  <c r="P145"/>
  <c r="P146"/>
  <c r="P147"/>
  <c r="P148"/>
  <c r="P149"/>
  <c r="P150"/>
  <c r="P151"/>
  <c r="P152"/>
  <c r="P153"/>
  <c r="P154"/>
  <c r="P155"/>
  <c r="P157"/>
  <c r="P158"/>
  <c r="P159"/>
  <c r="P160"/>
  <c r="P161"/>
  <c r="P162"/>
  <c r="P163"/>
  <c r="P164"/>
  <c r="P166"/>
  <c r="P167"/>
  <c r="P169"/>
  <c r="P170"/>
  <c r="P171"/>
  <c r="P172"/>
  <c r="P173"/>
  <c r="P174"/>
  <c r="P175"/>
  <c r="P176"/>
  <c r="P178"/>
  <c r="P179"/>
  <c r="P180"/>
  <c r="P181"/>
  <c r="P182"/>
  <c r="P183"/>
  <c r="P185"/>
  <c r="P186"/>
  <c r="P187"/>
  <c r="P189"/>
  <c r="P190"/>
  <c r="P191"/>
  <c r="P193"/>
  <c r="P194"/>
  <c r="P195"/>
  <c r="P196"/>
  <c r="P197"/>
  <c r="P198"/>
  <c r="P199"/>
  <c r="P200"/>
  <c r="P201"/>
  <c r="P202"/>
  <c r="P203"/>
  <c r="P204"/>
  <c r="P206"/>
  <c r="P208"/>
  <c r="P210"/>
  <c r="P214"/>
  <c r="P215"/>
  <c r="P216"/>
  <c r="P217"/>
  <c r="P218"/>
  <c r="I187"/>
  <c r="I186"/>
  <c r="I185"/>
  <c r="J215"/>
  <c r="J96"/>
  <c r="E26"/>
  <c r="Q26" s="1"/>
  <c r="F26"/>
  <c r="R26" s="1"/>
  <c r="F20"/>
  <c r="R20" s="1"/>
  <c r="P193" i="32"/>
  <c r="P176"/>
  <c r="P155"/>
  <c r="P125"/>
  <c r="F155" i="30"/>
  <c r="J155" s="1"/>
  <c r="J96"/>
  <c r="J34"/>
  <c r="J31"/>
  <c r="P31" i="32"/>
  <c r="P48"/>
  <c r="J94" i="30"/>
  <c r="P109" i="32"/>
  <c r="E47" i="30"/>
  <c r="F47"/>
  <c r="F26" i="32"/>
  <c r="F36"/>
  <c r="J215"/>
  <c r="F220"/>
  <c r="F219"/>
  <c r="I224" i="33"/>
  <c r="R220"/>
  <c r="D220"/>
  <c r="R219"/>
  <c r="D219"/>
  <c r="R218"/>
  <c r="R217"/>
  <c r="R216"/>
  <c r="K215"/>
  <c r="I215"/>
  <c r="H215"/>
  <c r="G215"/>
  <c r="F215"/>
  <c r="E215"/>
  <c r="D215"/>
  <c r="D218" s="1"/>
  <c r="R214"/>
  <c r="R213"/>
  <c r="F212"/>
  <c r="E212"/>
  <c r="E211" s="1"/>
  <c r="D212"/>
  <c r="P212" s="1"/>
  <c r="G210"/>
  <c r="F209"/>
  <c r="G208"/>
  <c r="G204"/>
  <c r="G203"/>
  <c r="G202"/>
  <c r="G201"/>
  <c r="G200"/>
  <c r="G199"/>
  <c r="G198"/>
  <c r="G197"/>
  <c r="G196"/>
  <c r="G195"/>
  <c r="G194"/>
  <c r="G193"/>
  <c r="F192"/>
  <c r="F188" s="1"/>
  <c r="E192"/>
  <c r="D192"/>
  <c r="P192" s="1"/>
  <c r="G191"/>
  <c r="G190"/>
  <c r="G189"/>
  <c r="G187"/>
  <c r="G186"/>
  <c r="G185"/>
  <c r="F184"/>
  <c r="D184"/>
  <c r="P184" s="1"/>
  <c r="G183"/>
  <c r="G182"/>
  <c r="G181"/>
  <c r="G180"/>
  <c r="F179"/>
  <c r="E179"/>
  <c r="D179"/>
  <c r="G178"/>
  <c r="R177"/>
  <c r="K177"/>
  <c r="G177"/>
  <c r="D177"/>
  <c r="P177" s="1"/>
  <c r="G176"/>
  <c r="G175"/>
  <c r="G174"/>
  <c r="G173"/>
  <c r="F172"/>
  <c r="G172" s="1"/>
  <c r="G171"/>
  <c r="F171"/>
  <c r="R171" s="1"/>
  <c r="D171"/>
  <c r="G170"/>
  <c r="G169"/>
  <c r="F168"/>
  <c r="G168" s="1"/>
  <c r="D168"/>
  <c r="P168" s="1"/>
  <c r="G167"/>
  <c r="G166"/>
  <c r="G165"/>
  <c r="F165"/>
  <c r="R165" s="1"/>
  <c r="D165"/>
  <c r="P165" s="1"/>
  <c r="G164"/>
  <c r="G163"/>
  <c r="R162"/>
  <c r="K162"/>
  <c r="G162"/>
  <c r="D162"/>
  <c r="G161"/>
  <c r="G160"/>
  <c r="F159"/>
  <c r="G159" s="1"/>
  <c r="D159"/>
  <c r="G158"/>
  <c r="G157"/>
  <c r="F156"/>
  <c r="D156"/>
  <c r="G155"/>
  <c r="F154"/>
  <c r="E154"/>
  <c r="D154"/>
  <c r="G153"/>
  <c r="G152"/>
  <c r="F151"/>
  <c r="G151" s="1"/>
  <c r="D151"/>
  <c r="G150"/>
  <c r="G149"/>
  <c r="G148"/>
  <c r="G147"/>
  <c r="G146"/>
  <c r="F144"/>
  <c r="G144" s="1"/>
  <c r="E144"/>
  <c r="Q144" s="1"/>
  <c r="D144"/>
  <c r="P144" s="1"/>
  <c r="G143"/>
  <c r="G142"/>
  <c r="G141"/>
  <c r="F140"/>
  <c r="E140"/>
  <c r="D140"/>
  <c r="P140" s="1"/>
  <c r="G137"/>
  <c r="G136"/>
  <c r="G135"/>
  <c r="G134"/>
  <c r="G133"/>
  <c r="G132"/>
  <c r="G131"/>
  <c r="G130"/>
  <c r="G129"/>
  <c r="G128"/>
  <c r="G127"/>
  <c r="G126"/>
  <c r="G125"/>
  <c r="G124"/>
  <c r="G123"/>
  <c r="R122"/>
  <c r="K122"/>
  <c r="L122" s="1"/>
  <c r="G122"/>
  <c r="F121"/>
  <c r="E121"/>
  <c r="D119"/>
  <c r="P119" s="1"/>
  <c r="G118"/>
  <c r="G117"/>
  <c r="G116"/>
  <c r="G115"/>
  <c r="F115"/>
  <c r="D115"/>
  <c r="D110" s="1"/>
  <c r="P110" s="1"/>
  <c r="G114"/>
  <c r="G113"/>
  <c r="G112"/>
  <c r="F111"/>
  <c r="E110"/>
  <c r="G108"/>
  <c r="G107"/>
  <c r="G106"/>
  <c r="G105"/>
  <c r="F104"/>
  <c r="G104" s="1"/>
  <c r="E104"/>
  <c r="D104"/>
  <c r="P104" s="1"/>
  <c r="G103"/>
  <c r="G102"/>
  <c r="G101"/>
  <c r="G100"/>
  <c r="F99"/>
  <c r="D99"/>
  <c r="P99" s="1"/>
  <c r="G98"/>
  <c r="E97"/>
  <c r="G96"/>
  <c r="F95"/>
  <c r="G95" s="1"/>
  <c r="E95"/>
  <c r="D95"/>
  <c r="G94"/>
  <c r="F93"/>
  <c r="G93" s="1"/>
  <c r="E93"/>
  <c r="D93"/>
  <c r="P93" s="1"/>
  <c r="G91"/>
  <c r="G90"/>
  <c r="G89"/>
  <c r="E87"/>
  <c r="D87"/>
  <c r="P87" s="1"/>
  <c r="K86"/>
  <c r="F86"/>
  <c r="R86" s="1"/>
  <c r="D86"/>
  <c r="P86" s="1"/>
  <c r="G85"/>
  <c r="G84"/>
  <c r="K83"/>
  <c r="F83"/>
  <c r="G83" s="1"/>
  <c r="D83"/>
  <c r="P83" s="1"/>
  <c r="G81"/>
  <c r="K80"/>
  <c r="F80"/>
  <c r="R80" s="1"/>
  <c r="D80"/>
  <c r="P80" s="1"/>
  <c r="G79"/>
  <c r="G78"/>
  <c r="K77"/>
  <c r="D77"/>
  <c r="P77" s="1"/>
  <c r="G76"/>
  <c r="F77"/>
  <c r="E74"/>
  <c r="Q74" s="1"/>
  <c r="D74"/>
  <c r="I73"/>
  <c r="E73"/>
  <c r="D73"/>
  <c r="D72" s="1"/>
  <c r="P72" s="1"/>
  <c r="R71"/>
  <c r="G71"/>
  <c r="D71"/>
  <c r="P71" s="1"/>
  <c r="G70"/>
  <c r="G69"/>
  <c r="R68"/>
  <c r="G68"/>
  <c r="D68"/>
  <c r="P68" s="1"/>
  <c r="G67"/>
  <c r="G66"/>
  <c r="R65"/>
  <c r="G65"/>
  <c r="D65"/>
  <c r="P65" s="1"/>
  <c r="G64"/>
  <c r="G63"/>
  <c r="R62"/>
  <c r="G62"/>
  <c r="D62"/>
  <c r="G61"/>
  <c r="G60"/>
  <c r="R59"/>
  <c r="K59"/>
  <c r="G59"/>
  <c r="D59"/>
  <c r="P59" s="1"/>
  <c r="G58"/>
  <c r="G57"/>
  <c r="R56"/>
  <c r="G56"/>
  <c r="D56"/>
  <c r="P56" s="1"/>
  <c r="G55"/>
  <c r="G54"/>
  <c r="R52"/>
  <c r="G52"/>
  <c r="D52"/>
  <c r="P52" s="1"/>
  <c r="F51"/>
  <c r="D51"/>
  <c r="D53" s="1"/>
  <c r="P53" s="1"/>
  <c r="D50"/>
  <c r="G49"/>
  <c r="F50"/>
  <c r="F47"/>
  <c r="R47" s="1"/>
  <c r="D47"/>
  <c r="G46"/>
  <c r="G45"/>
  <c r="R44"/>
  <c r="G44"/>
  <c r="D44"/>
  <c r="P44" s="1"/>
  <c r="G43"/>
  <c r="G42"/>
  <c r="F41"/>
  <c r="G41" s="1"/>
  <c r="E41"/>
  <c r="D41"/>
  <c r="P41" s="1"/>
  <c r="F40"/>
  <c r="D40"/>
  <c r="P40" s="1"/>
  <c r="G39"/>
  <c r="G38"/>
  <c r="G36"/>
  <c r="F35"/>
  <c r="E35"/>
  <c r="D35"/>
  <c r="D10" s="1"/>
  <c r="P10" s="1"/>
  <c r="G34"/>
  <c r="G33"/>
  <c r="G32"/>
  <c r="G31"/>
  <c r="F30"/>
  <c r="G30" s="1"/>
  <c r="D30"/>
  <c r="R29"/>
  <c r="G29"/>
  <c r="D29"/>
  <c r="P29" s="1"/>
  <c r="G28"/>
  <c r="G27"/>
  <c r="D26"/>
  <c r="P26" s="1"/>
  <c r="G25"/>
  <c r="G24"/>
  <c r="K23"/>
  <c r="F23"/>
  <c r="R23" s="1"/>
  <c r="E23"/>
  <c r="Q23" s="1"/>
  <c r="D23"/>
  <c r="P23" s="1"/>
  <c r="G22"/>
  <c r="G21"/>
  <c r="K20"/>
  <c r="D20"/>
  <c r="P20" s="1"/>
  <c r="G19"/>
  <c r="G18"/>
  <c r="K17"/>
  <c r="F17"/>
  <c r="R17" s="1"/>
  <c r="D17"/>
  <c r="P17" s="1"/>
  <c r="G16"/>
  <c r="G15"/>
  <c r="F14"/>
  <c r="D14"/>
  <c r="P14" s="1"/>
  <c r="G13"/>
  <c r="G12"/>
  <c r="F11"/>
  <c r="D11"/>
  <c r="E10"/>
  <c r="E9" s="1"/>
  <c r="F171" i="32"/>
  <c r="F168"/>
  <c r="D159"/>
  <c r="F159"/>
  <c r="F176"/>
  <c r="F30"/>
  <c r="F75"/>
  <c r="F76"/>
  <c r="G79"/>
  <c r="G78"/>
  <c r="T192" i="42" l="1"/>
  <c r="T193" i="41"/>
  <c r="T192" i="40"/>
  <c r="T192" i="38"/>
  <c r="T191" i="37"/>
  <c r="T193" i="39"/>
  <c r="T188" i="35"/>
  <c r="Q186" i="34"/>
  <c r="I186"/>
  <c r="T189" i="36"/>
  <c r="I188" i="35"/>
  <c r="I189" i="36" s="1"/>
  <c r="I191" i="37" s="1"/>
  <c r="K148" i="40"/>
  <c r="L148" s="1"/>
  <c r="G51" i="33"/>
  <c r="F53"/>
  <c r="T73" i="40"/>
  <c r="T73" i="42"/>
  <c r="T73" i="41"/>
  <c r="T73" i="38"/>
  <c r="T73" i="39"/>
  <c r="T73" i="37"/>
  <c r="Q73" i="34"/>
  <c r="T73" i="35"/>
  <c r="T73" i="36"/>
  <c r="T193" i="42"/>
  <c r="T194" i="41"/>
  <c r="T193" i="40"/>
  <c r="T194" i="39"/>
  <c r="T193" i="38"/>
  <c r="T192" i="37"/>
  <c r="T189" i="35"/>
  <c r="I187" i="34"/>
  <c r="Q187"/>
  <c r="I189" i="35"/>
  <c r="I190" i="36" s="1"/>
  <c r="I192" i="37" s="1"/>
  <c r="T190" i="36"/>
  <c r="K148" i="42"/>
  <c r="L148" s="1"/>
  <c r="E8" i="33"/>
  <c r="E188"/>
  <c r="D211"/>
  <c r="P211" s="1"/>
  <c r="P115"/>
  <c r="P51"/>
  <c r="P35"/>
  <c r="G80"/>
  <c r="G87"/>
  <c r="F120"/>
  <c r="D139"/>
  <c r="P139" s="1"/>
  <c r="P73"/>
  <c r="U96" i="42"/>
  <c r="U96" i="41"/>
  <c r="U96" i="40"/>
  <c r="U96" i="39"/>
  <c r="U96" i="38"/>
  <c r="U96" i="37"/>
  <c r="U96" i="36"/>
  <c r="R96" i="34"/>
  <c r="J96"/>
  <c r="U96" i="35"/>
  <c r="U222" i="42"/>
  <c r="U223" i="41"/>
  <c r="U222" i="40"/>
  <c r="U223" i="39"/>
  <c r="U221" i="37"/>
  <c r="U222" i="38"/>
  <c r="R215" i="34"/>
  <c r="U219" i="36"/>
  <c r="U217" i="35"/>
  <c r="K149" i="41"/>
  <c r="L149" s="1"/>
  <c r="T191" i="42"/>
  <c r="T192" i="41"/>
  <c r="T191" i="40"/>
  <c r="T191" i="38"/>
  <c r="T190" i="37"/>
  <c r="T192" i="39"/>
  <c r="I185" i="34"/>
  <c r="T188" i="36"/>
  <c r="I187" i="35"/>
  <c r="Q185" i="34"/>
  <c r="T187" i="35"/>
  <c r="G97" i="36"/>
  <c r="E209"/>
  <c r="E211" s="1"/>
  <c r="E213" s="1"/>
  <c r="T222" i="40"/>
  <c r="T222" i="42"/>
  <c r="T223" i="41"/>
  <c r="T221" i="37"/>
  <c r="T223" i="39"/>
  <c r="T222" i="38"/>
  <c r="T219" i="36"/>
  <c r="Q215" i="34"/>
  <c r="T217" i="35"/>
  <c r="G35" i="33"/>
  <c r="D188"/>
  <c r="P188" s="1"/>
  <c r="P156"/>
  <c r="G220" i="42"/>
  <c r="G212"/>
  <c r="F213"/>
  <c r="F214" s="1"/>
  <c r="D220"/>
  <c r="S220" s="1"/>
  <c r="D216"/>
  <c r="S214"/>
  <c r="S215" i="41"/>
  <c r="D221"/>
  <c r="S221" s="1"/>
  <c r="D217"/>
  <c r="G215"/>
  <c r="G217"/>
  <c r="E221"/>
  <c r="G214"/>
  <c r="D220" i="40"/>
  <c r="S220" s="1"/>
  <c r="S214"/>
  <c r="G212"/>
  <c r="S213" i="39"/>
  <c r="D215"/>
  <c r="E217"/>
  <c r="G213"/>
  <c r="F214"/>
  <c r="F215" s="1"/>
  <c r="D214" i="38"/>
  <c r="S212"/>
  <c r="E220"/>
  <c r="G216"/>
  <c r="G97"/>
  <c r="F8"/>
  <c r="G8" i="34"/>
  <c r="D213" i="37"/>
  <c r="S211"/>
  <c r="E219"/>
  <c r="G215"/>
  <c r="G97"/>
  <c r="F8"/>
  <c r="D209" i="36"/>
  <c r="S8"/>
  <c r="R137"/>
  <c r="G141"/>
  <c r="E217"/>
  <c r="G213"/>
  <c r="G8"/>
  <c r="F209"/>
  <c r="F210" s="1"/>
  <c r="G110" i="35"/>
  <c r="F97"/>
  <c r="D207"/>
  <c r="S8"/>
  <c r="E211"/>
  <c r="E207" i="34"/>
  <c r="D205"/>
  <c r="P205" s="1"/>
  <c r="G138"/>
  <c r="O137"/>
  <c r="F205"/>
  <c r="F206" s="1"/>
  <c r="R144" i="33"/>
  <c r="R159"/>
  <c r="G192"/>
  <c r="G40"/>
  <c r="G111"/>
  <c r="G17"/>
  <c r="G47"/>
  <c r="F211"/>
  <c r="G211" s="1"/>
  <c r="G86"/>
  <c r="F10"/>
  <c r="G10" s="1"/>
  <c r="G26"/>
  <c r="G23"/>
  <c r="G20"/>
  <c r="G11"/>
  <c r="G14"/>
  <c r="D138"/>
  <c r="P138" s="1"/>
  <c r="G50"/>
  <c r="R50"/>
  <c r="R77"/>
  <c r="G77"/>
  <c r="G188"/>
  <c r="F139"/>
  <c r="D37"/>
  <c r="P37" s="1"/>
  <c r="G48"/>
  <c r="F73"/>
  <c r="R83"/>
  <c r="G88"/>
  <c r="D97"/>
  <c r="P97" s="1"/>
  <c r="G121"/>
  <c r="G179"/>
  <c r="G212"/>
  <c r="F37"/>
  <c r="E139"/>
  <c r="R168"/>
  <c r="F74"/>
  <c r="G75"/>
  <c r="G99"/>
  <c r="G109"/>
  <c r="E120"/>
  <c r="G140"/>
  <c r="G145"/>
  <c r="G154"/>
  <c r="G156"/>
  <c r="G184"/>
  <c r="F125" i="32"/>
  <c r="F48"/>
  <c r="F109"/>
  <c r="S20"/>
  <c r="S26"/>
  <c r="S29"/>
  <c r="S44"/>
  <c r="S52"/>
  <c r="S53"/>
  <c r="S56"/>
  <c r="S59"/>
  <c r="S62"/>
  <c r="S65"/>
  <c r="S68"/>
  <c r="S71"/>
  <c r="S122"/>
  <c r="S159"/>
  <c r="S162"/>
  <c r="S168"/>
  <c r="S171"/>
  <c r="S177"/>
  <c r="S213"/>
  <c r="S214"/>
  <c r="S216"/>
  <c r="S217"/>
  <c r="S219"/>
  <c r="S220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1"/>
  <c r="R32"/>
  <c r="R33"/>
  <c r="R34"/>
  <c r="R39"/>
  <c r="R40"/>
  <c r="R42"/>
  <c r="R43"/>
  <c r="R44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5"/>
  <c r="R76"/>
  <c r="R77"/>
  <c r="R78"/>
  <c r="R79"/>
  <c r="R80"/>
  <c r="R81"/>
  <c r="R82"/>
  <c r="R83"/>
  <c r="R84"/>
  <c r="R85"/>
  <c r="R86"/>
  <c r="R100"/>
  <c r="R101"/>
  <c r="R102"/>
  <c r="R112"/>
  <c r="R113"/>
  <c r="R114"/>
  <c r="R116"/>
  <c r="R117"/>
  <c r="R118"/>
  <c r="R122"/>
  <c r="R143"/>
  <c r="R152"/>
  <c r="R153"/>
  <c r="R157"/>
  <c r="R158"/>
  <c r="R159"/>
  <c r="R160"/>
  <c r="R161"/>
  <c r="R162"/>
  <c r="R163"/>
  <c r="R164"/>
  <c r="R165"/>
  <c r="R166"/>
  <c r="R167"/>
  <c r="R168"/>
  <c r="R169"/>
  <c r="R170"/>
  <c r="R171"/>
  <c r="R173"/>
  <c r="R174"/>
  <c r="R175"/>
  <c r="R177"/>
  <c r="R178"/>
  <c r="R185"/>
  <c r="R186"/>
  <c r="R187"/>
  <c r="R189"/>
  <c r="R201"/>
  <c r="R202"/>
  <c r="R203"/>
  <c r="R204"/>
  <c r="R214"/>
  <c r="R216"/>
  <c r="R217"/>
  <c r="R218"/>
  <c r="R219"/>
  <c r="R220"/>
  <c r="I193" i="38" l="1"/>
  <c r="I194" i="39"/>
  <c r="K194" s="1"/>
  <c r="I188" i="36"/>
  <c r="J96" i="35"/>
  <c r="J95" i="34"/>
  <c r="G53" i="33"/>
  <c r="R53"/>
  <c r="I193" i="39"/>
  <c r="K193" s="1"/>
  <c r="I192" i="38"/>
  <c r="F119" i="33"/>
  <c r="G119" s="1"/>
  <c r="G214" i="42"/>
  <c r="G213"/>
  <c r="S216"/>
  <c r="S217" i="41"/>
  <c r="G221"/>
  <c r="S216" i="40"/>
  <c r="E220"/>
  <c r="D217" i="39"/>
  <c r="D221"/>
  <c r="S221" s="1"/>
  <c r="S215"/>
  <c r="G214"/>
  <c r="E221"/>
  <c r="G217"/>
  <c r="G215"/>
  <c r="S214" i="38"/>
  <c r="D220"/>
  <c r="S220" s="1"/>
  <c r="D216"/>
  <c r="F212"/>
  <c r="F213" s="1"/>
  <c r="G8"/>
  <c r="G220"/>
  <c r="G8" i="37"/>
  <c r="F211"/>
  <c r="D219"/>
  <c r="S219" s="1"/>
  <c r="S213"/>
  <c r="D215"/>
  <c r="G219"/>
  <c r="G217" i="36"/>
  <c r="G209"/>
  <c r="F211"/>
  <c r="S209"/>
  <c r="D211"/>
  <c r="F8" i="35"/>
  <c r="G8" s="1"/>
  <c r="G97"/>
  <c r="E215"/>
  <c r="G211"/>
  <c r="D209"/>
  <c r="S207"/>
  <c r="F207" i="34"/>
  <c r="E209"/>
  <c r="G205"/>
  <c r="D207"/>
  <c r="P207" s="1"/>
  <c r="F110" i="33"/>
  <c r="G74"/>
  <c r="R74"/>
  <c r="G37"/>
  <c r="G73"/>
  <c r="G139"/>
  <c r="F138"/>
  <c r="O137" s="1"/>
  <c r="E138"/>
  <c r="D9"/>
  <c r="P9" s="1"/>
  <c r="G120"/>
  <c r="H195" i="31"/>
  <c r="H195" i="32" s="1"/>
  <c r="H195" i="33" s="1"/>
  <c r="Q16" i="32"/>
  <c r="Q17"/>
  <c r="Q18"/>
  <c r="Q19"/>
  <c r="Q20"/>
  <c r="Q21"/>
  <c r="Q22"/>
  <c r="Q24"/>
  <c r="Q25"/>
  <c r="Q27"/>
  <c r="Q28"/>
  <c r="Q29"/>
  <c r="Q31"/>
  <c r="Q32"/>
  <c r="Q33"/>
  <c r="Q34"/>
  <c r="Q36"/>
  <c r="Q38"/>
  <c r="Q39"/>
  <c r="Q40"/>
  <c r="Q42"/>
  <c r="Q43"/>
  <c r="Q44"/>
  <c r="Q45"/>
  <c r="Q46"/>
  <c r="Q48"/>
  <c r="Q49"/>
  <c r="Q54"/>
  <c r="Q55"/>
  <c r="Q56"/>
  <c r="Q57"/>
  <c r="Q58"/>
  <c r="Q60"/>
  <c r="Q61"/>
  <c r="Q63"/>
  <c r="Q64"/>
  <c r="Q65"/>
  <c r="Q66"/>
  <c r="Q67"/>
  <c r="Q69"/>
  <c r="Q70"/>
  <c r="Q72"/>
  <c r="Q73"/>
  <c r="Q75"/>
  <c r="Q76"/>
  <c r="Q78"/>
  <c r="Q79"/>
  <c r="Q80"/>
  <c r="Q81"/>
  <c r="Q82"/>
  <c r="Q84"/>
  <c r="Q85"/>
  <c r="Q88"/>
  <c r="Q89"/>
  <c r="Q90"/>
  <c r="Q91"/>
  <c r="Q92"/>
  <c r="Q93"/>
  <c r="Q94"/>
  <c r="Q96"/>
  <c r="Q98"/>
  <c r="Q100"/>
  <c r="Q101"/>
  <c r="Q102"/>
  <c r="Q103"/>
  <c r="Q104"/>
  <c r="Q105"/>
  <c r="Q106"/>
  <c r="Q107"/>
  <c r="Q108"/>
  <c r="Q109"/>
  <c r="Q111"/>
  <c r="Q112"/>
  <c r="Q113"/>
  <c r="Q114"/>
  <c r="Q116"/>
  <c r="Q117"/>
  <c r="Q118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41"/>
  <c r="Q142"/>
  <c r="Q143"/>
  <c r="Q145"/>
  <c r="Q146"/>
  <c r="Q147"/>
  <c r="Q148"/>
  <c r="Q149"/>
  <c r="Q150"/>
  <c r="Q152"/>
  <c r="Q153"/>
  <c r="Q154"/>
  <c r="Q155"/>
  <c r="Q157"/>
  <c r="Q158"/>
  <c r="Q159"/>
  <c r="Q160"/>
  <c r="Q161"/>
  <c r="Q162"/>
  <c r="Q163"/>
  <c r="Q164"/>
  <c r="Q166"/>
  <c r="Q167"/>
  <c r="Q169"/>
  <c r="Q170"/>
  <c r="Q172"/>
  <c r="Q173"/>
  <c r="Q174"/>
  <c r="Q175"/>
  <c r="Q176"/>
  <c r="Q178"/>
  <c r="Q180"/>
  <c r="Q181"/>
  <c r="Q182"/>
  <c r="Q183"/>
  <c r="Q185"/>
  <c r="Q186"/>
  <c r="Q187"/>
  <c r="Q189"/>
  <c r="Q190"/>
  <c r="Q191"/>
  <c r="Q193"/>
  <c r="Q194"/>
  <c r="Q195"/>
  <c r="Q196"/>
  <c r="Q197"/>
  <c r="Q198"/>
  <c r="Q199"/>
  <c r="Q200"/>
  <c r="Q201"/>
  <c r="Q202"/>
  <c r="Q203"/>
  <c r="Q204"/>
  <c r="Q206"/>
  <c r="Q208"/>
  <c r="Q210"/>
  <c r="Q211"/>
  <c r="Q212"/>
  <c r="Q214"/>
  <c r="Q216"/>
  <c r="Q217"/>
  <c r="Q12"/>
  <c r="Q13"/>
  <c r="Q14"/>
  <c r="Q15"/>
  <c r="I204"/>
  <c r="I203"/>
  <c r="I202"/>
  <c r="I201"/>
  <c r="I189"/>
  <c r="D220"/>
  <c r="D219"/>
  <c r="K215"/>
  <c r="I215"/>
  <c r="Q215" i="33" s="1"/>
  <c r="H215" i="32"/>
  <c r="G215"/>
  <c r="F215"/>
  <c r="E215"/>
  <c r="D215"/>
  <c r="D218" s="1"/>
  <c r="Q218" s="1"/>
  <c r="F212"/>
  <c r="E212"/>
  <c r="D212"/>
  <c r="D211"/>
  <c r="G210"/>
  <c r="F209"/>
  <c r="G208"/>
  <c r="G204"/>
  <c r="G203"/>
  <c r="G202"/>
  <c r="G201"/>
  <c r="G200"/>
  <c r="G199"/>
  <c r="G198"/>
  <c r="G197"/>
  <c r="G196"/>
  <c r="G195"/>
  <c r="G194"/>
  <c r="G193"/>
  <c r="F192"/>
  <c r="E192"/>
  <c r="D192"/>
  <c r="D188" s="1"/>
  <c r="Q188" s="1"/>
  <c r="G191"/>
  <c r="G190"/>
  <c r="G189"/>
  <c r="G187"/>
  <c r="G186"/>
  <c r="G185"/>
  <c r="F184"/>
  <c r="G184" s="1"/>
  <c r="D184"/>
  <c r="Q184" s="1"/>
  <c r="G183"/>
  <c r="G182"/>
  <c r="G181"/>
  <c r="G180"/>
  <c r="F179"/>
  <c r="E179"/>
  <c r="D179"/>
  <c r="Q179" s="1"/>
  <c r="G178"/>
  <c r="K177"/>
  <c r="G177"/>
  <c r="D177"/>
  <c r="Q177" s="1"/>
  <c r="G176"/>
  <c r="G175"/>
  <c r="G174"/>
  <c r="G173"/>
  <c r="F172"/>
  <c r="G172" s="1"/>
  <c r="G171"/>
  <c r="D171"/>
  <c r="Q171" s="1"/>
  <c r="G170"/>
  <c r="G169"/>
  <c r="G168"/>
  <c r="D168"/>
  <c r="Q168" s="1"/>
  <c r="G167"/>
  <c r="G166"/>
  <c r="F165"/>
  <c r="S165" s="1"/>
  <c r="D165"/>
  <c r="Q165" s="1"/>
  <c r="G164"/>
  <c r="G163"/>
  <c r="K162"/>
  <c r="G162"/>
  <c r="D162"/>
  <c r="G161"/>
  <c r="G160"/>
  <c r="G159"/>
  <c r="G158"/>
  <c r="G157"/>
  <c r="F156"/>
  <c r="D156"/>
  <c r="Q156" s="1"/>
  <c r="E154"/>
  <c r="D154"/>
  <c r="G153"/>
  <c r="G152"/>
  <c r="F151"/>
  <c r="D151"/>
  <c r="Q151" s="1"/>
  <c r="G150"/>
  <c r="G149"/>
  <c r="G148"/>
  <c r="G147"/>
  <c r="G146"/>
  <c r="G145"/>
  <c r="K144"/>
  <c r="F144"/>
  <c r="S144" s="1"/>
  <c r="E144"/>
  <c r="D144"/>
  <c r="Q144" s="1"/>
  <c r="G143"/>
  <c r="G142"/>
  <c r="G141"/>
  <c r="F140"/>
  <c r="G140" s="1"/>
  <c r="E140"/>
  <c r="D140"/>
  <c r="G137"/>
  <c r="G136"/>
  <c r="G135"/>
  <c r="G134"/>
  <c r="G133"/>
  <c r="G132"/>
  <c r="G131"/>
  <c r="G130"/>
  <c r="G129"/>
  <c r="G128"/>
  <c r="G127"/>
  <c r="G126"/>
  <c r="G125"/>
  <c r="G124"/>
  <c r="G123"/>
  <c r="K122"/>
  <c r="L122" s="1"/>
  <c r="G122"/>
  <c r="F121"/>
  <c r="E121"/>
  <c r="E120"/>
  <c r="D119"/>
  <c r="Q119" s="1"/>
  <c r="G118"/>
  <c r="G117"/>
  <c r="G116"/>
  <c r="G115"/>
  <c r="F115"/>
  <c r="D115"/>
  <c r="Q115" s="1"/>
  <c r="G114"/>
  <c r="G113"/>
  <c r="G112"/>
  <c r="G111"/>
  <c r="F111"/>
  <c r="E110"/>
  <c r="D110"/>
  <c r="Q110" s="1"/>
  <c r="H108"/>
  <c r="H108" i="33" s="1"/>
  <c r="G108" i="32"/>
  <c r="G107"/>
  <c r="G106"/>
  <c r="G105"/>
  <c r="F104"/>
  <c r="E104"/>
  <c r="D104"/>
  <c r="G103"/>
  <c r="G102"/>
  <c r="G101"/>
  <c r="G100"/>
  <c r="F99"/>
  <c r="D99"/>
  <c r="Q99" s="1"/>
  <c r="G98"/>
  <c r="G96"/>
  <c r="G95"/>
  <c r="F95"/>
  <c r="E95"/>
  <c r="D95"/>
  <c r="Q95" s="1"/>
  <c r="G94"/>
  <c r="F93"/>
  <c r="G93" s="1"/>
  <c r="E93"/>
  <c r="D93"/>
  <c r="G91"/>
  <c r="G90"/>
  <c r="G89"/>
  <c r="F87"/>
  <c r="E87"/>
  <c r="D87"/>
  <c r="Q87" s="1"/>
  <c r="K86"/>
  <c r="F86"/>
  <c r="D86"/>
  <c r="Q86" s="1"/>
  <c r="G85"/>
  <c r="G84"/>
  <c r="K83"/>
  <c r="F83"/>
  <c r="S83" s="1"/>
  <c r="D83"/>
  <c r="Q83" s="1"/>
  <c r="G81"/>
  <c r="K80"/>
  <c r="F80"/>
  <c r="S80" s="1"/>
  <c r="D80"/>
  <c r="K77"/>
  <c r="D77"/>
  <c r="Q77" s="1"/>
  <c r="G76"/>
  <c r="G75"/>
  <c r="F77"/>
  <c r="E74"/>
  <c r="R74" s="1"/>
  <c r="D74"/>
  <c r="Q74" s="1"/>
  <c r="I73"/>
  <c r="Q73" i="33" s="1"/>
  <c r="F73" i="32"/>
  <c r="E73"/>
  <c r="D73"/>
  <c r="D72"/>
  <c r="K71"/>
  <c r="G71"/>
  <c r="D71"/>
  <c r="Q71" s="1"/>
  <c r="G70"/>
  <c r="G69"/>
  <c r="K68"/>
  <c r="G68"/>
  <c r="D68"/>
  <c r="Q68" s="1"/>
  <c r="G67"/>
  <c r="G66"/>
  <c r="K65"/>
  <c r="G65"/>
  <c r="D65"/>
  <c r="G64"/>
  <c r="G63"/>
  <c r="K62"/>
  <c r="G62"/>
  <c r="D62"/>
  <c r="Q62" s="1"/>
  <c r="G61"/>
  <c r="G60"/>
  <c r="K59"/>
  <c r="G59"/>
  <c r="D59"/>
  <c r="Q59" s="1"/>
  <c r="G58"/>
  <c r="G57"/>
  <c r="K56"/>
  <c r="G56"/>
  <c r="D56"/>
  <c r="G55"/>
  <c r="G54"/>
  <c r="K53"/>
  <c r="G53"/>
  <c r="K52"/>
  <c r="G52"/>
  <c r="D52"/>
  <c r="D53" s="1"/>
  <c r="Q53" s="1"/>
  <c r="F51"/>
  <c r="D51"/>
  <c r="Q51" s="1"/>
  <c r="D50"/>
  <c r="Q50" s="1"/>
  <c r="G49"/>
  <c r="G48"/>
  <c r="F47"/>
  <c r="D47"/>
  <c r="Q47" s="1"/>
  <c r="G46"/>
  <c r="G45"/>
  <c r="K44"/>
  <c r="G44"/>
  <c r="D44"/>
  <c r="G43"/>
  <c r="G42"/>
  <c r="F41"/>
  <c r="E41"/>
  <c r="D41"/>
  <c r="Q41" s="1"/>
  <c r="F40"/>
  <c r="D40"/>
  <c r="G39"/>
  <c r="G38"/>
  <c r="G36"/>
  <c r="F35"/>
  <c r="E35"/>
  <c r="D35"/>
  <c r="Q35" s="1"/>
  <c r="G34"/>
  <c r="G33"/>
  <c r="G32"/>
  <c r="G31"/>
  <c r="D30"/>
  <c r="Q30" s="1"/>
  <c r="K29"/>
  <c r="G29"/>
  <c r="D29"/>
  <c r="G28"/>
  <c r="G27"/>
  <c r="G26"/>
  <c r="D26"/>
  <c r="Q26" s="1"/>
  <c r="G25"/>
  <c r="G24"/>
  <c r="F23"/>
  <c r="S23" s="1"/>
  <c r="D23"/>
  <c r="Q23" s="1"/>
  <c r="G22"/>
  <c r="G21"/>
  <c r="G20"/>
  <c r="D20"/>
  <c r="G19"/>
  <c r="G18"/>
  <c r="F17"/>
  <c r="D17"/>
  <c r="G16"/>
  <c r="G15"/>
  <c r="G14"/>
  <c r="F14"/>
  <c r="D14"/>
  <c r="G13"/>
  <c r="G12"/>
  <c r="F11"/>
  <c r="D11"/>
  <c r="D10" s="1"/>
  <c r="J108" i="31"/>
  <c r="E10" i="32" l="1"/>
  <c r="Q204" i="33"/>
  <c r="I204"/>
  <c r="J108"/>
  <c r="R108"/>
  <c r="S108" i="32"/>
  <c r="E139"/>
  <c r="E138" s="1"/>
  <c r="G144"/>
  <c r="R144"/>
  <c r="I203" i="33"/>
  <c r="Q203"/>
  <c r="Q202"/>
  <c r="I202"/>
  <c r="J96" i="36"/>
  <c r="J95" i="35"/>
  <c r="I190" i="37"/>
  <c r="I187" i="36"/>
  <c r="D37" i="32"/>
  <c r="Q37" s="1"/>
  <c r="D97"/>
  <c r="Q97" s="1"/>
  <c r="J108"/>
  <c r="D139"/>
  <c r="D138" s="1"/>
  <c r="Q138" s="1"/>
  <c r="Q11"/>
  <c r="Q140"/>
  <c r="I193" i="41"/>
  <c r="I192" i="42"/>
  <c r="I192" i="40"/>
  <c r="H108" i="39"/>
  <c r="H108" i="37"/>
  <c r="H108" i="38"/>
  <c r="H108" i="40" s="1"/>
  <c r="H108" i="35"/>
  <c r="H108" i="34"/>
  <c r="H108" i="36"/>
  <c r="F218" i="32"/>
  <c r="S218" s="1"/>
  <c r="Q189" i="33"/>
  <c r="I189"/>
  <c r="Q201"/>
  <c r="I201"/>
  <c r="H195" i="34"/>
  <c r="I193" i="42"/>
  <c r="I193" i="40"/>
  <c r="I194" i="41"/>
  <c r="Q52" i="32"/>
  <c r="E188"/>
  <c r="Q10"/>
  <c r="E97"/>
  <c r="G99"/>
  <c r="G179"/>
  <c r="Q215"/>
  <c r="G221" i="39"/>
  <c r="S217"/>
  <c r="S216" i="38"/>
  <c r="G212"/>
  <c r="S215" i="37"/>
  <c r="F212"/>
  <c r="G211"/>
  <c r="G211" i="36"/>
  <c r="G210"/>
  <c r="D217"/>
  <c r="S217" s="1"/>
  <c r="D213"/>
  <c r="S211"/>
  <c r="F207" i="35"/>
  <c r="F208" s="1"/>
  <c r="D211"/>
  <c r="S209"/>
  <c r="D215"/>
  <c r="S215" s="1"/>
  <c r="G215"/>
  <c r="D213" i="34"/>
  <c r="P213" s="1"/>
  <c r="D209"/>
  <c r="P209" s="1"/>
  <c r="G207"/>
  <c r="E213"/>
  <c r="G209"/>
  <c r="G206"/>
  <c r="G110" i="33"/>
  <c r="F97"/>
  <c r="G23" i="32"/>
  <c r="G51"/>
  <c r="E205" i="33"/>
  <c r="G138"/>
  <c r="G72"/>
  <c r="D8"/>
  <c r="P8" s="1"/>
  <c r="F9"/>
  <c r="G165" i="32"/>
  <c r="F188"/>
  <c r="G188" s="1"/>
  <c r="G192"/>
  <c r="G151"/>
  <c r="G156"/>
  <c r="G77"/>
  <c r="S77"/>
  <c r="G80"/>
  <c r="G83"/>
  <c r="F72"/>
  <c r="G73"/>
  <c r="G86"/>
  <c r="S86"/>
  <c r="G212"/>
  <c r="F120"/>
  <c r="G121"/>
  <c r="G40"/>
  <c r="G104"/>
  <c r="G30"/>
  <c r="G87"/>
  <c r="G17"/>
  <c r="S17"/>
  <c r="G11"/>
  <c r="G47"/>
  <c r="S47"/>
  <c r="G41"/>
  <c r="G35"/>
  <c r="F10"/>
  <c r="E211"/>
  <c r="Q192"/>
  <c r="E9"/>
  <c r="F37"/>
  <c r="F211"/>
  <c r="F50"/>
  <c r="F74"/>
  <c r="G88"/>
  <c r="G109"/>
  <c r="F154"/>
  <c r="G155"/>
  <c r="F14" i="31"/>
  <c r="J159" i="30"/>
  <c r="J86"/>
  <c r="J83"/>
  <c r="J79"/>
  <c r="J80" s="1"/>
  <c r="J76"/>
  <c r="J74" s="1"/>
  <c r="J75"/>
  <c r="J77" s="1"/>
  <c r="J56"/>
  <c r="F56"/>
  <c r="T56" s="1"/>
  <c r="J52"/>
  <c r="J47"/>
  <c r="T47" s="1"/>
  <c r="J23"/>
  <c r="J20"/>
  <c r="T20" s="1"/>
  <c r="J17"/>
  <c r="F17"/>
  <c r="J14"/>
  <c r="F14"/>
  <c r="T88"/>
  <c r="F87"/>
  <c r="T12"/>
  <c r="T13"/>
  <c r="T15"/>
  <c r="T16"/>
  <c r="T18"/>
  <c r="T19"/>
  <c r="T21"/>
  <c r="T22"/>
  <c r="T23"/>
  <c r="T24"/>
  <c r="T25"/>
  <c r="T26"/>
  <c r="T27"/>
  <c r="T28"/>
  <c r="T29"/>
  <c r="T31"/>
  <c r="T32"/>
  <c r="T33"/>
  <c r="T34"/>
  <c r="T36"/>
  <c r="T38"/>
  <c r="T39"/>
  <c r="T42"/>
  <c r="T43"/>
  <c r="T44"/>
  <c r="T45"/>
  <c r="T46"/>
  <c r="T49"/>
  <c r="T52"/>
  <c r="T53"/>
  <c r="T54"/>
  <c r="T55"/>
  <c r="T57"/>
  <c r="T58"/>
  <c r="T59"/>
  <c r="T60"/>
  <c r="T61"/>
  <c r="T62"/>
  <c r="T63"/>
  <c r="T64"/>
  <c r="T65"/>
  <c r="T66"/>
  <c r="T67"/>
  <c r="T68"/>
  <c r="T69"/>
  <c r="T70"/>
  <c r="T71"/>
  <c r="T72"/>
  <c r="T78"/>
  <c r="T81"/>
  <c r="T82"/>
  <c r="T84"/>
  <c r="T85"/>
  <c r="T89"/>
  <c r="T90"/>
  <c r="T91"/>
  <c r="T92"/>
  <c r="T94"/>
  <c r="T96"/>
  <c r="T99"/>
  <c r="T100"/>
  <c r="T101"/>
  <c r="T102"/>
  <c r="T103"/>
  <c r="T105"/>
  <c r="T106"/>
  <c r="T107"/>
  <c r="T108"/>
  <c r="T112"/>
  <c r="T113"/>
  <c r="T114"/>
  <c r="T116"/>
  <c r="T117"/>
  <c r="T118"/>
  <c r="T120"/>
  <c r="T121"/>
  <c r="T122"/>
  <c r="T123"/>
  <c r="T124"/>
  <c r="T126"/>
  <c r="T127"/>
  <c r="T128"/>
  <c r="T129"/>
  <c r="T130"/>
  <c r="T131"/>
  <c r="T132"/>
  <c r="T133"/>
  <c r="T134"/>
  <c r="T135"/>
  <c r="T136"/>
  <c r="T137"/>
  <c r="T141"/>
  <c r="T142"/>
  <c r="T143"/>
  <c r="T145"/>
  <c r="T146"/>
  <c r="T147"/>
  <c r="T148"/>
  <c r="T149"/>
  <c r="T150"/>
  <c r="T152"/>
  <c r="T153"/>
  <c r="T155"/>
  <c r="T157"/>
  <c r="T158"/>
  <c r="T160"/>
  <c r="T161"/>
  <c r="T162"/>
  <c r="T163"/>
  <c r="T164"/>
  <c r="T165"/>
  <c r="T166"/>
  <c r="T167"/>
  <c r="T168"/>
  <c r="T169"/>
  <c r="T170"/>
  <c r="T171"/>
  <c r="T173"/>
  <c r="T174"/>
  <c r="T175"/>
  <c r="T177"/>
  <c r="T178"/>
  <c r="T180"/>
  <c r="T181"/>
  <c r="T182"/>
  <c r="T183"/>
  <c r="T185"/>
  <c r="T186"/>
  <c r="T187"/>
  <c r="T189"/>
  <c r="T190"/>
  <c r="T191"/>
  <c r="T193"/>
  <c r="T194"/>
  <c r="T195"/>
  <c r="T196"/>
  <c r="T197"/>
  <c r="T198"/>
  <c r="T199"/>
  <c r="T200"/>
  <c r="T201"/>
  <c r="T202"/>
  <c r="T203"/>
  <c r="T204"/>
  <c r="T208"/>
  <c r="T210"/>
  <c r="T213"/>
  <c r="T214"/>
  <c r="F31" i="31"/>
  <c r="F125"/>
  <c r="F50"/>
  <c r="F48"/>
  <c r="F23"/>
  <c r="E23"/>
  <c r="F17"/>
  <c r="F47"/>
  <c r="F109"/>
  <c r="F155"/>
  <c r="F165"/>
  <c r="F176"/>
  <c r="F86"/>
  <c r="F83"/>
  <c r="F80"/>
  <c r="F76"/>
  <c r="F74" s="1"/>
  <c r="E74"/>
  <c r="F75"/>
  <c r="F77" s="1"/>
  <c r="F144"/>
  <c r="E144"/>
  <c r="H108" i="42" l="1"/>
  <c r="H108" i="41"/>
  <c r="U108"/>
  <c r="U108" i="42"/>
  <c r="U108" i="40"/>
  <c r="U108" i="39"/>
  <c r="U108" i="38"/>
  <c r="U108" i="37"/>
  <c r="J108"/>
  <c r="U108" i="36"/>
  <c r="J108"/>
  <c r="J108" i="34"/>
  <c r="U108" i="35"/>
  <c r="J108"/>
  <c r="R108" i="34"/>
  <c r="T207" i="42"/>
  <c r="T208" i="41"/>
  <c r="T207" i="40"/>
  <c r="T208" i="39"/>
  <c r="T207" i="38"/>
  <c r="T206" i="37"/>
  <c r="T204" i="36"/>
  <c r="I203" i="35"/>
  <c r="I201" i="34"/>
  <c r="I204" i="36"/>
  <c r="I206" i="37" s="1"/>
  <c r="Q201" i="34"/>
  <c r="T203" i="35"/>
  <c r="T208" i="42"/>
  <c r="T208" i="40"/>
  <c r="T209" i="41"/>
  <c r="T209" i="39"/>
  <c r="T207" i="37"/>
  <c r="T208" i="38"/>
  <c r="T205" i="36"/>
  <c r="I204" i="35"/>
  <c r="T204"/>
  <c r="I202" i="34"/>
  <c r="I205" i="36"/>
  <c r="I207" i="37" s="1"/>
  <c r="Q202" i="34"/>
  <c r="T17" i="30"/>
  <c r="E8" i="32"/>
  <c r="H197" i="35"/>
  <c r="H198" i="36" s="1"/>
  <c r="H200" i="37" s="1"/>
  <c r="T196" i="41"/>
  <c r="T195" i="40"/>
  <c r="T195" i="42"/>
  <c r="T195" i="38"/>
  <c r="T196" i="39"/>
  <c r="T194" i="37"/>
  <c r="T192" i="36"/>
  <c r="T191" i="35"/>
  <c r="Q189" i="34"/>
  <c r="I189"/>
  <c r="I191" i="35" s="1"/>
  <c r="I192" i="36" s="1"/>
  <c r="I194" i="37" s="1"/>
  <c r="I191" i="38"/>
  <c r="I192" i="39"/>
  <c r="I189" i="37"/>
  <c r="J96"/>
  <c r="J95" i="36"/>
  <c r="T210" i="41"/>
  <c r="T209" i="42"/>
  <c r="T209" i="40"/>
  <c r="T208" i="37"/>
  <c r="T209" i="38"/>
  <c r="T210" i="39"/>
  <c r="T206" i="36"/>
  <c r="I205" i="35"/>
  <c r="Q203" i="34"/>
  <c r="T205" i="35"/>
  <c r="I206" i="36"/>
  <c r="I208" i="37" s="1"/>
  <c r="I203" i="34"/>
  <c r="T211" i="41"/>
  <c r="T210" i="40"/>
  <c r="T210" i="42"/>
  <c r="T211" i="39"/>
  <c r="T210" i="38"/>
  <c r="T209" i="37"/>
  <c r="T207" i="36"/>
  <c r="Q204" i="34"/>
  <c r="I204"/>
  <c r="I206" i="35" s="1"/>
  <c r="I207" i="36" s="1"/>
  <c r="I209" i="37" s="1"/>
  <c r="T206" i="35"/>
  <c r="Q139" i="32"/>
  <c r="D9"/>
  <c r="F214" i="38"/>
  <c r="G214" s="1"/>
  <c r="G213"/>
  <c r="F213" i="37"/>
  <c r="G212"/>
  <c r="S213" i="36"/>
  <c r="G207" i="35"/>
  <c r="S211"/>
  <c r="G213" i="34"/>
  <c r="G97" i="33"/>
  <c r="D205"/>
  <c r="P205" s="1"/>
  <c r="F8"/>
  <c r="G8" s="1"/>
  <c r="G9"/>
  <c r="E207"/>
  <c r="G154" i="32"/>
  <c r="G72"/>
  <c r="G74"/>
  <c r="S74"/>
  <c r="G211"/>
  <c r="F119"/>
  <c r="G120"/>
  <c r="G50"/>
  <c r="S50"/>
  <c r="G37"/>
  <c r="G10"/>
  <c r="N221"/>
  <c r="F139"/>
  <c r="P139" s="1"/>
  <c r="F9"/>
  <c r="N225"/>
  <c r="T14" i="30"/>
  <c r="F159"/>
  <c r="T159" s="1"/>
  <c r="F75"/>
  <c r="T75" s="1"/>
  <c r="E74"/>
  <c r="F80"/>
  <c r="T80" s="1"/>
  <c r="F79"/>
  <c r="T79" s="1"/>
  <c r="G82"/>
  <c r="F83"/>
  <c r="T83" s="1"/>
  <c r="F86"/>
  <c r="T86" s="1"/>
  <c r="F76"/>
  <c r="T76" s="1"/>
  <c r="E144"/>
  <c r="F144"/>
  <c r="T144" s="1"/>
  <c r="J210" i="31"/>
  <c r="J208"/>
  <c r="J204"/>
  <c r="J203"/>
  <c r="J202"/>
  <c r="J201"/>
  <c r="J200"/>
  <c r="J199"/>
  <c r="J198"/>
  <c r="J197"/>
  <c r="J196"/>
  <c r="J195"/>
  <c r="J194"/>
  <c r="J193"/>
  <c r="J191"/>
  <c r="J190"/>
  <c r="J189"/>
  <c r="J187"/>
  <c r="J186"/>
  <c r="J185"/>
  <c r="J183"/>
  <c r="J182"/>
  <c r="J181"/>
  <c r="J180"/>
  <c r="J178"/>
  <c r="J175"/>
  <c r="J174"/>
  <c r="J173"/>
  <c r="J170"/>
  <c r="J169"/>
  <c r="J167"/>
  <c r="J166"/>
  <c r="J164"/>
  <c r="J163"/>
  <c r="J161"/>
  <c r="J160"/>
  <c r="J158"/>
  <c r="J157"/>
  <c r="J155"/>
  <c r="J153"/>
  <c r="J152"/>
  <c r="J150"/>
  <c r="J149"/>
  <c r="J148"/>
  <c r="J147"/>
  <c r="J146"/>
  <c r="J145"/>
  <c r="J143"/>
  <c r="J142"/>
  <c r="J141"/>
  <c r="I210"/>
  <c r="I208"/>
  <c r="I206"/>
  <c r="J137"/>
  <c r="J136"/>
  <c r="J135"/>
  <c r="J134"/>
  <c r="J133"/>
  <c r="J132"/>
  <c r="J131"/>
  <c r="J130"/>
  <c r="J129"/>
  <c r="J128"/>
  <c r="J127"/>
  <c r="J126"/>
  <c r="J124"/>
  <c r="J123"/>
  <c r="J118"/>
  <c r="J117"/>
  <c r="J116"/>
  <c r="J114"/>
  <c r="J113"/>
  <c r="J112"/>
  <c r="J107"/>
  <c r="J106"/>
  <c r="J105"/>
  <c r="J103"/>
  <c r="J102"/>
  <c r="J101"/>
  <c r="J100"/>
  <c r="J96"/>
  <c r="J94"/>
  <c r="J92"/>
  <c r="J91"/>
  <c r="J90"/>
  <c r="J89"/>
  <c r="J85"/>
  <c r="J84"/>
  <c r="J82"/>
  <c r="J81"/>
  <c r="J79"/>
  <c r="J78"/>
  <c r="J76"/>
  <c r="J75"/>
  <c r="J70"/>
  <c r="J69"/>
  <c r="J67"/>
  <c r="J66"/>
  <c r="J64"/>
  <c r="J63"/>
  <c r="J61"/>
  <c r="J60"/>
  <c r="J58"/>
  <c r="J57"/>
  <c r="J55"/>
  <c r="J54"/>
  <c r="J49"/>
  <c r="J46"/>
  <c r="J45"/>
  <c r="J43"/>
  <c r="J42"/>
  <c r="J39"/>
  <c r="J38"/>
  <c r="J36"/>
  <c r="J34"/>
  <c r="J33"/>
  <c r="J32"/>
  <c r="J31"/>
  <c r="J28"/>
  <c r="J27"/>
  <c r="J25"/>
  <c r="J24"/>
  <c r="J22"/>
  <c r="J21"/>
  <c r="J19"/>
  <c r="J18"/>
  <c r="J16"/>
  <c r="J15"/>
  <c r="J13"/>
  <c r="J12"/>
  <c r="I200"/>
  <c r="I199"/>
  <c r="I198"/>
  <c r="I197"/>
  <c r="I196"/>
  <c r="I195"/>
  <c r="I194"/>
  <c r="I193"/>
  <c r="I191"/>
  <c r="I190"/>
  <c r="I184"/>
  <c r="I183"/>
  <c r="I182"/>
  <c r="I181"/>
  <c r="I180"/>
  <c r="I176"/>
  <c r="I172"/>
  <c r="I156"/>
  <c r="I155"/>
  <c r="I151"/>
  <c r="I150"/>
  <c r="I149"/>
  <c r="I148"/>
  <c r="I147"/>
  <c r="I146"/>
  <c r="I145"/>
  <c r="I142"/>
  <c r="I141"/>
  <c r="I137"/>
  <c r="I136"/>
  <c r="I135"/>
  <c r="I134"/>
  <c r="I133"/>
  <c r="I132"/>
  <c r="I131"/>
  <c r="I130"/>
  <c r="I129"/>
  <c r="I128"/>
  <c r="I127"/>
  <c r="I126"/>
  <c r="I125"/>
  <c r="I124"/>
  <c r="I123"/>
  <c r="I119"/>
  <c r="I115"/>
  <c r="I111"/>
  <c r="I109"/>
  <c r="I108"/>
  <c r="I107"/>
  <c r="I106"/>
  <c r="I105"/>
  <c r="I103"/>
  <c r="I99"/>
  <c r="I98"/>
  <c r="I96"/>
  <c r="I94"/>
  <c r="I92"/>
  <c r="I91"/>
  <c r="I90"/>
  <c r="I89"/>
  <c r="I88"/>
  <c r="I72"/>
  <c r="I45"/>
  <c r="I38"/>
  <c r="I36"/>
  <c r="I30"/>
  <c r="I11"/>
  <c r="R89" i="32" l="1"/>
  <c r="I89"/>
  <c r="R103"/>
  <c r="I103"/>
  <c r="R119"/>
  <c r="I119"/>
  <c r="R130"/>
  <c r="I130"/>
  <c r="R141"/>
  <c r="I141"/>
  <c r="R151"/>
  <c r="I151"/>
  <c r="R183"/>
  <c r="I183"/>
  <c r="R197"/>
  <c r="I197"/>
  <c r="R18" i="33"/>
  <c r="S18" i="32"/>
  <c r="J18"/>
  <c r="R43" i="33"/>
  <c r="S43" i="32"/>
  <c r="J43"/>
  <c r="R60" i="33"/>
  <c r="S60" i="32"/>
  <c r="J60"/>
  <c r="R85" i="33"/>
  <c r="S85" i="32"/>
  <c r="J85"/>
  <c r="R100" i="33"/>
  <c r="S100" i="32"/>
  <c r="J100"/>
  <c r="R105" i="33"/>
  <c r="S105" i="32"/>
  <c r="J105"/>
  <c r="R118" i="33"/>
  <c r="S118" i="32"/>
  <c r="J118"/>
  <c r="R127" i="33"/>
  <c r="S127" i="32"/>
  <c r="J127"/>
  <c r="R135" i="33"/>
  <c r="S135" i="32"/>
  <c r="J135"/>
  <c r="R143" i="33"/>
  <c r="S143" i="32"/>
  <c r="J143"/>
  <c r="I191" i="42"/>
  <c r="I192" i="41"/>
  <c r="I191" i="40"/>
  <c r="I190" i="38"/>
  <c r="O108" i="35"/>
  <c r="P108" s="1"/>
  <c r="R88" i="32"/>
  <c r="I88"/>
  <c r="R107"/>
  <c r="I107"/>
  <c r="R129"/>
  <c r="I129"/>
  <c r="R137"/>
  <c r="I137"/>
  <c r="R150"/>
  <c r="I150"/>
  <c r="R182"/>
  <c r="I182"/>
  <c r="R196"/>
  <c r="I196"/>
  <c r="R16" i="33"/>
  <c r="S16" i="32"/>
  <c r="J16"/>
  <c r="R28" i="33"/>
  <c r="S28" i="32"/>
  <c r="J28"/>
  <c r="R58" i="33"/>
  <c r="S58" i="32"/>
  <c r="J58"/>
  <c r="R64" i="33"/>
  <c r="S64" i="32"/>
  <c r="J64"/>
  <c r="R70" i="33"/>
  <c r="S70" i="32"/>
  <c r="J70"/>
  <c r="R78" i="33"/>
  <c r="S78" i="32"/>
  <c r="J78"/>
  <c r="R84" i="33"/>
  <c r="S84" i="32"/>
  <c r="J84"/>
  <c r="R103" i="33"/>
  <c r="S103" i="32"/>
  <c r="J103"/>
  <c r="R112" i="33"/>
  <c r="S112" i="32"/>
  <c r="J112"/>
  <c r="R117" i="33"/>
  <c r="S117" i="32"/>
  <c r="J117"/>
  <c r="R126" i="33"/>
  <c r="S126" i="32"/>
  <c r="J126"/>
  <c r="R130" i="33"/>
  <c r="S130" i="32"/>
  <c r="J130"/>
  <c r="R134" i="33"/>
  <c r="S134" i="32"/>
  <c r="J134"/>
  <c r="R206"/>
  <c r="I206"/>
  <c r="R208" i="33"/>
  <c r="S208" i="32"/>
  <c r="J208"/>
  <c r="I210" i="39"/>
  <c r="I209" i="38"/>
  <c r="K192" i="39"/>
  <c r="I191"/>
  <c r="K191" s="1"/>
  <c r="L191" s="1"/>
  <c r="H202"/>
  <c r="O202" s="1"/>
  <c r="P202" s="1"/>
  <c r="H201" i="38"/>
  <c r="O108" i="36"/>
  <c r="P108" s="1"/>
  <c r="R30" i="32"/>
  <c r="I30"/>
  <c r="R72"/>
  <c r="I72"/>
  <c r="R91"/>
  <c r="I91"/>
  <c r="R98"/>
  <c r="I98"/>
  <c r="R106"/>
  <c r="I106"/>
  <c r="R111"/>
  <c r="I111"/>
  <c r="R124"/>
  <c r="I124"/>
  <c r="R128"/>
  <c r="I128"/>
  <c r="R132"/>
  <c r="I132"/>
  <c r="R136"/>
  <c r="I136"/>
  <c r="R145"/>
  <c r="I145"/>
  <c r="R149"/>
  <c r="I149"/>
  <c r="R156"/>
  <c r="I156"/>
  <c r="R181"/>
  <c r="I181"/>
  <c r="R190"/>
  <c r="I190"/>
  <c r="R195"/>
  <c r="I195"/>
  <c r="R199"/>
  <c r="I199"/>
  <c r="R15" i="33"/>
  <c r="S15" i="32"/>
  <c r="J15"/>
  <c r="R21" i="33"/>
  <c r="S21" i="32"/>
  <c r="J21"/>
  <c r="R27" i="33"/>
  <c r="S27" i="32"/>
  <c r="J27"/>
  <c r="J33"/>
  <c r="R33" i="33"/>
  <c r="S33" i="32"/>
  <c r="R39" i="33"/>
  <c r="S39" i="32"/>
  <c r="J39"/>
  <c r="R57" i="33"/>
  <c r="S57" i="32"/>
  <c r="J57"/>
  <c r="R63" i="33"/>
  <c r="S63" i="32"/>
  <c r="J63"/>
  <c r="R69" i="33"/>
  <c r="S69" i="32"/>
  <c r="J69"/>
  <c r="S76"/>
  <c r="R76" i="33"/>
  <c r="J76" i="32"/>
  <c r="R82" i="33"/>
  <c r="S82" i="32"/>
  <c r="J82"/>
  <c r="R102" i="33"/>
  <c r="S102" i="32"/>
  <c r="J102"/>
  <c r="R107" i="33"/>
  <c r="S107" i="32"/>
  <c r="J107"/>
  <c r="R116" i="33"/>
  <c r="S116" i="32"/>
  <c r="J116"/>
  <c r="R124" i="33"/>
  <c r="S124" i="32"/>
  <c r="J124"/>
  <c r="R129" i="33"/>
  <c r="S129" i="32"/>
  <c r="J129"/>
  <c r="R133" i="33"/>
  <c r="S133" i="32"/>
  <c r="J133"/>
  <c r="R137" i="33"/>
  <c r="S137" i="32"/>
  <c r="J137"/>
  <c r="E205"/>
  <c r="E207" s="1"/>
  <c r="E209" s="1"/>
  <c r="I209" i="39"/>
  <c r="I208" i="38"/>
  <c r="F74" i="30"/>
  <c r="T74" s="1"/>
  <c r="R38" i="32"/>
  <c r="I38"/>
  <c r="R94"/>
  <c r="I94"/>
  <c r="R108"/>
  <c r="I108"/>
  <c r="R126"/>
  <c r="I126"/>
  <c r="R134"/>
  <c r="I134"/>
  <c r="R147"/>
  <c r="I147"/>
  <c r="R176"/>
  <c r="I176"/>
  <c r="R193"/>
  <c r="I193"/>
  <c r="R12" i="33"/>
  <c r="S12" i="32"/>
  <c r="J12"/>
  <c r="J14" i="31"/>
  <c r="R24" i="33"/>
  <c r="S24" i="32"/>
  <c r="J24"/>
  <c r="R54" i="33"/>
  <c r="S54" i="32"/>
  <c r="J54"/>
  <c r="R66" i="33"/>
  <c r="S66" i="32"/>
  <c r="J66"/>
  <c r="R79" i="33"/>
  <c r="S79" i="32"/>
  <c r="J79"/>
  <c r="R113" i="33"/>
  <c r="S113" i="32"/>
  <c r="J113"/>
  <c r="R131" i="33"/>
  <c r="S131" i="32"/>
  <c r="J131"/>
  <c r="R208"/>
  <c r="I208"/>
  <c r="R178" i="33"/>
  <c r="S178" i="32"/>
  <c r="J178"/>
  <c r="R210" i="33"/>
  <c r="S210" i="32"/>
  <c r="J210"/>
  <c r="Q9"/>
  <c r="D8"/>
  <c r="R36"/>
  <c r="I36"/>
  <c r="R92"/>
  <c r="I92"/>
  <c r="R99"/>
  <c r="I99"/>
  <c r="R115"/>
  <c r="I115"/>
  <c r="R125"/>
  <c r="I125"/>
  <c r="R133"/>
  <c r="I133"/>
  <c r="R146"/>
  <c r="I146"/>
  <c r="R172"/>
  <c r="I172"/>
  <c r="R191"/>
  <c r="I191"/>
  <c r="R22" i="33"/>
  <c r="S22" i="32"/>
  <c r="J22"/>
  <c r="R42" i="33"/>
  <c r="S42" i="32"/>
  <c r="J42"/>
  <c r="R11"/>
  <c r="I11"/>
  <c r="R45"/>
  <c r="I45"/>
  <c r="R90"/>
  <c r="I90"/>
  <c r="R96"/>
  <c r="I96"/>
  <c r="R105"/>
  <c r="I105"/>
  <c r="R109"/>
  <c r="I109"/>
  <c r="R123"/>
  <c r="I123"/>
  <c r="R127"/>
  <c r="I127"/>
  <c r="R131"/>
  <c r="I131"/>
  <c r="R135"/>
  <c r="I135"/>
  <c r="R142"/>
  <c r="I142"/>
  <c r="R148"/>
  <c r="I148"/>
  <c r="R155"/>
  <c r="I155"/>
  <c r="R180"/>
  <c r="I180"/>
  <c r="R184"/>
  <c r="I184"/>
  <c r="R194"/>
  <c r="I194"/>
  <c r="R198"/>
  <c r="I198"/>
  <c r="R13" i="33"/>
  <c r="S13" i="32"/>
  <c r="J13"/>
  <c r="R25" i="33"/>
  <c r="S25" i="32"/>
  <c r="J25"/>
  <c r="R32" i="33"/>
  <c r="S32" i="32"/>
  <c r="J32"/>
  <c r="R38" i="33"/>
  <c r="S38" i="32"/>
  <c r="J38"/>
  <c r="R45" i="33"/>
  <c r="S45" i="32"/>
  <c r="J45"/>
  <c r="R55" i="33"/>
  <c r="S55" i="32"/>
  <c r="J55"/>
  <c r="R61" i="33"/>
  <c r="S61" i="32"/>
  <c r="J61"/>
  <c r="R67" i="33"/>
  <c r="S67" i="32"/>
  <c r="J67"/>
  <c r="R81" i="33"/>
  <c r="S81" i="32"/>
  <c r="J81"/>
  <c r="R101" i="33"/>
  <c r="S101" i="32"/>
  <c r="J101"/>
  <c r="R106" i="33"/>
  <c r="S106" i="32"/>
  <c r="J106"/>
  <c r="R114" i="33"/>
  <c r="S114" i="32"/>
  <c r="J114"/>
  <c r="R123" i="33"/>
  <c r="S123" i="32"/>
  <c r="J123"/>
  <c r="R132" i="33"/>
  <c r="S132" i="32"/>
  <c r="J132"/>
  <c r="R136" i="33"/>
  <c r="S136" i="32"/>
  <c r="J136"/>
  <c r="R210"/>
  <c r="I210"/>
  <c r="I211" i="39"/>
  <c r="I210" i="38"/>
  <c r="J96"/>
  <c r="J95" i="37"/>
  <c r="I196" i="39"/>
  <c r="I195" i="38"/>
  <c r="I207"/>
  <c r="I208" i="39"/>
  <c r="K208" s="1"/>
  <c r="L208" s="1"/>
  <c r="J108" i="38"/>
  <c r="J108" i="39"/>
  <c r="O108" i="37"/>
  <c r="P108" s="1"/>
  <c r="R200" i="32"/>
  <c r="I200"/>
  <c r="G213" i="37"/>
  <c r="F209" i="35"/>
  <c r="G208"/>
  <c r="R128" i="33"/>
  <c r="S128" i="32"/>
  <c r="J128"/>
  <c r="R197" i="33"/>
  <c r="S197" i="32"/>
  <c r="J197"/>
  <c r="R201" i="33"/>
  <c r="S201" i="32"/>
  <c r="J201"/>
  <c r="R196" i="33"/>
  <c r="S196" i="32"/>
  <c r="J196"/>
  <c r="R204" i="33"/>
  <c r="S204" i="32"/>
  <c r="J204"/>
  <c r="R199" i="33"/>
  <c r="S199" i="32"/>
  <c r="J199"/>
  <c r="R203" i="33"/>
  <c r="S203" i="32"/>
  <c r="J203"/>
  <c r="R198" i="33"/>
  <c r="S198" i="32"/>
  <c r="J198"/>
  <c r="R202" i="33"/>
  <c r="S202" i="32"/>
  <c r="J202"/>
  <c r="R189" i="33"/>
  <c r="S189" i="32"/>
  <c r="J189"/>
  <c r="R187" i="33"/>
  <c r="S187" i="32"/>
  <c r="J187"/>
  <c r="R186" i="33"/>
  <c r="S186" i="32"/>
  <c r="J186"/>
  <c r="R185" i="33"/>
  <c r="S185" i="32"/>
  <c r="J185"/>
  <c r="R182" i="33"/>
  <c r="S182" i="32"/>
  <c r="J182"/>
  <c r="R181" i="33"/>
  <c r="S181" i="32"/>
  <c r="J181"/>
  <c r="R180" i="33"/>
  <c r="S180" i="32"/>
  <c r="J180"/>
  <c r="R175" i="33"/>
  <c r="S175" i="32"/>
  <c r="J175"/>
  <c r="R174" i="33"/>
  <c r="S174" i="32"/>
  <c r="J174"/>
  <c r="R173" i="33"/>
  <c r="S173" i="32"/>
  <c r="J173"/>
  <c r="R169" i="33"/>
  <c r="S169" i="32"/>
  <c r="J169"/>
  <c r="R170" i="33"/>
  <c r="S170" i="32"/>
  <c r="J170"/>
  <c r="R167" i="33"/>
  <c r="S167" i="32"/>
  <c r="J167"/>
  <c r="R166" i="33"/>
  <c r="S166" i="32"/>
  <c r="J166"/>
  <c r="R163" i="33"/>
  <c r="J163" i="32"/>
  <c r="S163"/>
  <c r="R164" i="33"/>
  <c r="S164" i="32"/>
  <c r="J164"/>
  <c r="R161" i="33"/>
  <c r="S161" i="32"/>
  <c r="J161"/>
  <c r="R160" i="33"/>
  <c r="S160" i="32"/>
  <c r="J160"/>
  <c r="R157" i="33"/>
  <c r="S157" i="32"/>
  <c r="J157"/>
  <c r="R158" i="33"/>
  <c r="S158" i="32"/>
  <c r="J158"/>
  <c r="R152" i="33"/>
  <c r="S152" i="32"/>
  <c r="J152"/>
  <c r="R153" i="33"/>
  <c r="S153" i="32"/>
  <c r="J153"/>
  <c r="R141" i="33"/>
  <c r="S141" i="32"/>
  <c r="J141"/>
  <c r="R75" i="33"/>
  <c r="S75" i="32"/>
  <c r="J75"/>
  <c r="R142" i="33"/>
  <c r="S142" i="32"/>
  <c r="J142"/>
  <c r="R149" i="33"/>
  <c r="S149" i="32"/>
  <c r="J149"/>
  <c r="J149" i="33" s="1"/>
  <c r="R146"/>
  <c r="S146" i="32"/>
  <c r="J146"/>
  <c r="R36" i="33"/>
  <c r="S36" i="32"/>
  <c r="J36"/>
  <c r="R92" i="33"/>
  <c r="S92" i="32"/>
  <c r="J92"/>
  <c r="R148" i="33"/>
  <c r="S148" i="32"/>
  <c r="J148"/>
  <c r="J148" i="33" s="1"/>
  <c r="R183"/>
  <c r="S183" i="32"/>
  <c r="J183"/>
  <c r="J183" i="33" s="1"/>
  <c r="R190"/>
  <c r="S190" i="32"/>
  <c r="J190"/>
  <c r="J190" i="33" s="1"/>
  <c r="R191"/>
  <c r="S191" i="32"/>
  <c r="J191"/>
  <c r="J191" i="33" s="1"/>
  <c r="R145"/>
  <c r="J145" i="32"/>
  <c r="J145" i="33" s="1"/>
  <c r="S145" i="32"/>
  <c r="R147" i="33"/>
  <c r="S147" i="32"/>
  <c r="J147"/>
  <c r="J147" i="33" s="1"/>
  <c r="R193"/>
  <c r="S193" i="32"/>
  <c r="J193"/>
  <c r="J193" i="33" s="1"/>
  <c r="R195"/>
  <c r="S195" i="32"/>
  <c r="J195"/>
  <c r="R194" i="33"/>
  <c r="S194" i="32"/>
  <c r="J194"/>
  <c r="J194" i="33" s="1"/>
  <c r="R150"/>
  <c r="S150" i="32"/>
  <c r="J150"/>
  <c r="J150" i="33" s="1"/>
  <c r="R200"/>
  <c r="S200" i="32"/>
  <c r="J200"/>
  <c r="J200" i="33" s="1"/>
  <c r="R90"/>
  <c r="S90" i="32"/>
  <c r="J90"/>
  <c r="J90" i="33" s="1"/>
  <c r="R89"/>
  <c r="S89" i="32"/>
  <c r="J89"/>
  <c r="J89" i="33" s="1"/>
  <c r="R91"/>
  <c r="S91" i="32"/>
  <c r="J91"/>
  <c r="J91" i="33" s="1"/>
  <c r="R155"/>
  <c r="S155" i="32"/>
  <c r="J155"/>
  <c r="J155" i="33" s="1"/>
  <c r="R96"/>
  <c r="S96" i="32"/>
  <c r="R34" i="33"/>
  <c r="S34" i="32"/>
  <c r="J34"/>
  <c r="R31" i="33"/>
  <c r="S31" i="32"/>
  <c r="J31"/>
  <c r="J31" i="33" s="1"/>
  <c r="R94"/>
  <c r="S94" i="32"/>
  <c r="J94"/>
  <c r="J94" i="33" s="1"/>
  <c r="R49"/>
  <c r="S49" i="32"/>
  <c r="J49"/>
  <c r="R46" i="33"/>
  <c r="S46" i="32"/>
  <c r="J46"/>
  <c r="R19" i="33"/>
  <c r="S19" i="32"/>
  <c r="J19"/>
  <c r="E209" i="33"/>
  <c r="F205"/>
  <c r="D207"/>
  <c r="P207" s="1"/>
  <c r="G119" i="32"/>
  <c r="F110"/>
  <c r="G139"/>
  <c r="F138"/>
  <c r="G9"/>
  <c r="F77" i="30"/>
  <c r="T77" s="1"/>
  <c r="I104" i="31"/>
  <c r="R104" i="32" s="1"/>
  <c r="H210" i="31"/>
  <c r="H210" i="32" s="1"/>
  <c r="H208" i="31"/>
  <c r="H208" i="32" s="1"/>
  <c r="H208" i="33" s="1"/>
  <c r="H208" i="34" s="1"/>
  <c r="H210" i="35" s="1"/>
  <c r="H212" i="36" s="1"/>
  <c r="H214" i="37" s="1"/>
  <c r="H206" i="31"/>
  <c r="H206" i="32" s="1"/>
  <c r="H206" i="33" s="1"/>
  <c r="H206" i="34" s="1"/>
  <c r="H204" i="31"/>
  <c r="H204" i="32" s="1"/>
  <c r="H204" i="33" s="1"/>
  <c r="H204" i="34" s="1"/>
  <c r="H203" i="31"/>
  <c r="H203" i="32" s="1"/>
  <c r="H203" i="33" s="1"/>
  <c r="H202" i="31"/>
  <c r="H202" i="32" s="1"/>
  <c r="H202" i="33" s="1"/>
  <c r="H201" i="31"/>
  <c r="H201" i="32" s="1"/>
  <c r="H201" i="33" s="1"/>
  <c r="H200" i="31"/>
  <c r="H200" i="32" s="1"/>
  <c r="H199" i="31"/>
  <c r="H199" i="32" s="1"/>
  <c r="H199" i="33" s="1"/>
  <c r="H199" i="34" s="1"/>
  <c r="H198" i="31"/>
  <c r="H198" i="32" s="1"/>
  <c r="H198" i="33" s="1"/>
  <c r="H198" i="34" s="1"/>
  <c r="H197" i="31"/>
  <c r="H197" i="32" s="1"/>
  <c r="H197" i="33" s="1"/>
  <c r="H197" i="34" s="1"/>
  <c r="H196" i="31"/>
  <c r="H196" i="32" s="1"/>
  <c r="H196" i="33" s="1"/>
  <c r="H196" i="34" s="1"/>
  <c r="H198" i="35" s="1"/>
  <c r="H199" i="36" s="1"/>
  <c r="H201" i="37" s="1"/>
  <c r="H194" i="31"/>
  <c r="H194" i="32" s="1"/>
  <c r="H194" i="33" s="1"/>
  <c r="H194" i="34" s="1"/>
  <c r="H196" i="35" s="1"/>
  <c r="H197" i="36" s="1"/>
  <c r="H199" i="37" s="1"/>
  <c r="H193" i="31"/>
  <c r="H193" i="32" s="1"/>
  <c r="H191" i="31"/>
  <c r="H191" i="32" s="1"/>
  <c r="H191" i="33" s="1"/>
  <c r="H191" i="34" s="1"/>
  <c r="H190" i="31"/>
  <c r="H190" i="32" s="1"/>
  <c r="H190" i="33" s="1"/>
  <c r="H190" i="34" s="1"/>
  <c r="H192" i="35" s="1"/>
  <c r="H193" i="36" s="1"/>
  <c r="H195" i="37" s="1"/>
  <c r="H196" i="38" s="1"/>
  <c r="H189" i="31"/>
  <c r="H189" i="32" s="1"/>
  <c r="H189" i="33" s="1"/>
  <c r="H189" i="34" s="1"/>
  <c r="H187" i="31"/>
  <c r="H187" i="32" s="1"/>
  <c r="H187" i="33" s="1"/>
  <c r="H187" i="34" s="1"/>
  <c r="H186" i="31"/>
  <c r="H186" i="32" s="1"/>
  <c r="H186" i="33" s="1"/>
  <c r="H185" i="31"/>
  <c r="H185" i="32" s="1"/>
  <c r="H183" i="31"/>
  <c r="H183" i="32" s="1"/>
  <c r="H183" i="33" s="1"/>
  <c r="H183" i="34" s="1"/>
  <c r="H183" i="35" s="1"/>
  <c r="H184" i="36" s="1"/>
  <c r="H186" i="37" s="1"/>
  <c r="H182" i="31"/>
  <c r="H182" i="32" s="1"/>
  <c r="H181" i="31"/>
  <c r="H181" i="32" s="1"/>
  <c r="H181" i="33" s="1"/>
  <c r="H181" i="34" s="1"/>
  <c r="H180" i="31"/>
  <c r="H180" i="32" s="1"/>
  <c r="H180" i="33" s="1"/>
  <c r="H180" i="34" s="1"/>
  <c r="H178" i="31"/>
  <c r="H178" i="32" s="1"/>
  <c r="H176" i="31"/>
  <c r="H176" i="32" s="1"/>
  <c r="H176" i="33" s="1"/>
  <c r="H176" i="34" s="1"/>
  <c r="H176" i="35" s="1"/>
  <c r="H177" i="36" s="1"/>
  <c r="H179" i="37" s="1"/>
  <c r="H172" i="31"/>
  <c r="H172" i="32" s="1"/>
  <c r="H172" i="33" s="1"/>
  <c r="H172" i="34" s="1"/>
  <c r="H174" i="35" s="1"/>
  <c r="H175" i="36" s="1"/>
  <c r="H177" i="37" s="1"/>
  <c r="H170" i="31"/>
  <c r="H170" i="32" s="1"/>
  <c r="H170" i="33" s="1"/>
  <c r="H170" i="34" s="1"/>
  <c r="H172" i="35" s="1"/>
  <c r="H173" i="36" s="1"/>
  <c r="H175" i="37" s="1"/>
  <c r="H169" i="31"/>
  <c r="H169" i="32" s="1"/>
  <c r="H167" i="31"/>
  <c r="H167" i="32" s="1"/>
  <c r="H167" i="33" s="1"/>
  <c r="H167" i="34" s="1"/>
  <c r="H166" i="31"/>
  <c r="H166" i="32" s="1"/>
  <c r="H164" i="31"/>
  <c r="H164" i="32" s="1"/>
  <c r="H164" i="33" s="1"/>
  <c r="H164" i="34" s="1"/>
  <c r="H163" i="31"/>
  <c r="H163" i="32" s="1"/>
  <c r="H161" i="31"/>
  <c r="H161" i="32" s="1"/>
  <c r="H160" i="31"/>
  <c r="H160" i="32" s="1"/>
  <c r="H160" i="33" s="1"/>
  <c r="H158" i="31"/>
  <c r="H158" i="32" s="1"/>
  <c r="H158" i="33" s="1"/>
  <c r="H158" i="34" s="1"/>
  <c r="H157" i="31"/>
  <c r="H157" i="32" s="1"/>
  <c r="H155" i="31"/>
  <c r="H155" i="32" s="1"/>
  <c r="H153" i="31"/>
  <c r="H153" i="32" s="1"/>
  <c r="H153" i="33" s="1"/>
  <c r="H153" i="34" s="1"/>
  <c r="H152" i="31"/>
  <c r="H152" i="32" s="1"/>
  <c r="H150" i="31"/>
  <c r="H150" i="32" s="1"/>
  <c r="H150" i="33" s="1"/>
  <c r="H150" i="34" s="1"/>
  <c r="H150" i="35" s="1"/>
  <c r="H151" i="36" s="1"/>
  <c r="H153" i="37" s="1"/>
  <c r="H149" i="31"/>
  <c r="H149" i="32" s="1"/>
  <c r="H149" i="33" s="1"/>
  <c r="H149" i="34" s="1"/>
  <c r="H149" i="35" s="1"/>
  <c r="H150" i="36" s="1"/>
  <c r="H152" i="37" s="1"/>
  <c r="H148" i="31"/>
  <c r="H148" i="32" s="1"/>
  <c r="H148" i="33" s="1"/>
  <c r="H148" i="34" s="1"/>
  <c r="H148" i="35" s="1"/>
  <c r="H149" i="36" s="1"/>
  <c r="H151" i="37" s="1"/>
  <c r="H147" i="31"/>
  <c r="H147" i="32" s="1"/>
  <c r="H147" i="33" s="1"/>
  <c r="H147" i="34" s="1"/>
  <c r="H146" i="31"/>
  <c r="H146" i="32" s="1"/>
  <c r="H146" i="33" s="1"/>
  <c r="H146" i="34" s="1"/>
  <c r="H145" i="31"/>
  <c r="H145" i="32" s="1"/>
  <c r="H143" i="31"/>
  <c r="H143" i="32" s="1"/>
  <c r="H143" i="33" s="1"/>
  <c r="H143" i="34" s="1"/>
  <c r="H142" i="31"/>
  <c r="H142" i="32" s="1"/>
  <c r="H141" i="31"/>
  <c r="H141" i="32" s="1"/>
  <c r="H137" i="31"/>
  <c r="H137" i="32" s="1"/>
  <c r="H137" i="33" s="1"/>
  <c r="H137" i="34" s="1"/>
  <c r="H137" i="35" s="1"/>
  <c r="H137" i="36" s="1"/>
  <c r="H137" i="37" s="1"/>
  <c r="H136" i="31"/>
  <c r="H136" i="32" s="1"/>
  <c r="H136" i="33" s="1"/>
  <c r="H136" i="34" s="1"/>
  <c r="H136" i="35" s="1"/>
  <c r="H136" i="36" s="1"/>
  <c r="H136" i="37" s="1"/>
  <c r="H135" i="31"/>
  <c r="H135" i="32" s="1"/>
  <c r="H135" i="33" s="1"/>
  <c r="H135" i="34" s="1"/>
  <c r="H135" i="35" s="1"/>
  <c r="H135" i="36" s="1"/>
  <c r="H135" i="37" s="1"/>
  <c r="H134" i="31"/>
  <c r="H134" i="32" s="1"/>
  <c r="H134" i="33" s="1"/>
  <c r="H134" i="34" s="1"/>
  <c r="H134" i="35" s="1"/>
  <c r="H134" i="36" s="1"/>
  <c r="H134" i="37" s="1"/>
  <c r="H133" i="31"/>
  <c r="H133" i="32" s="1"/>
  <c r="H133" i="33" s="1"/>
  <c r="H133" i="34" s="1"/>
  <c r="H133" i="35" s="1"/>
  <c r="H133" i="36" s="1"/>
  <c r="H133" i="37" s="1"/>
  <c r="H132" i="31"/>
  <c r="H132" i="32" s="1"/>
  <c r="H132" i="33" s="1"/>
  <c r="H132" i="34" s="1"/>
  <c r="H132" i="35" s="1"/>
  <c r="H132" i="36" s="1"/>
  <c r="H131" i="31"/>
  <c r="H131" i="32" s="1"/>
  <c r="H131" i="33" s="1"/>
  <c r="H131" i="34" s="1"/>
  <c r="H131" i="35" s="1"/>
  <c r="H131" i="36" s="1"/>
  <c r="H131" i="37" s="1"/>
  <c r="H130" i="31"/>
  <c r="H130" i="32" s="1"/>
  <c r="H130" i="33" s="1"/>
  <c r="H130" i="34" s="1"/>
  <c r="H130" i="35" s="1"/>
  <c r="H130" i="36" s="1"/>
  <c r="H130" i="37" s="1"/>
  <c r="H129" i="31"/>
  <c r="H129" i="32" s="1"/>
  <c r="H129" i="33" s="1"/>
  <c r="H128" i="31"/>
  <c r="H128" i="32" s="1"/>
  <c r="H128" i="33" s="1"/>
  <c r="H128" i="34" s="1"/>
  <c r="H128" i="35" s="1"/>
  <c r="H128" i="36" s="1"/>
  <c r="H128" i="37" s="1"/>
  <c r="H127" i="31"/>
  <c r="H127" i="32" s="1"/>
  <c r="H127" i="33" s="1"/>
  <c r="H127" i="34" s="1"/>
  <c r="H127" i="35" s="1"/>
  <c r="H127" i="36" s="1"/>
  <c r="H127" i="37" s="1"/>
  <c r="H126" i="31"/>
  <c r="H126" i="32" s="1"/>
  <c r="H126" i="33" s="1"/>
  <c r="H126" i="34" s="1"/>
  <c r="H126" i="35" s="1"/>
  <c r="H126" i="36" s="1"/>
  <c r="H126" i="37" s="1"/>
  <c r="H125" i="31"/>
  <c r="H125" i="32" s="1"/>
  <c r="H125" i="33" s="1"/>
  <c r="H125" i="34" s="1"/>
  <c r="H125" i="35" s="1"/>
  <c r="H125" i="36" s="1"/>
  <c r="H125" i="37" s="1"/>
  <c r="H124" i="31"/>
  <c r="H124" i="32" s="1"/>
  <c r="H124" i="33" s="1"/>
  <c r="H124" i="34" s="1"/>
  <c r="H124" i="35" s="1"/>
  <c r="H124" i="36" s="1"/>
  <c r="H124" i="37" s="1"/>
  <c r="H123" i="31"/>
  <c r="H123" i="32" s="1"/>
  <c r="H123" i="33" s="1"/>
  <c r="H123" i="34" s="1"/>
  <c r="H123" i="35" s="1"/>
  <c r="H123" i="36" s="1"/>
  <c r="H123" i="37" s="1"/>
  <c r="H121" i="31"/>
  <c r="H121" i="32" s="1"/>
  <c r="H121" i="33" s="1"/>
  <c r="H121" i="34" s="1"/>
  <c r="H121" i="35" s="1"/>
  <c r="H121" i="36" s="1"/>
  <c r="H121" i="37" s="1"/>
  <c r="H120" i="31"/>
  <c r="H120" i="32" s="1"/>
  <c r="H118" i="31"/>
  <c r="H118" i="32" s="1"/>
  <c r="H118" i="33" s="1"/>
  <c r="H117" i="31"/>
  <c r="H117" i="32" s="1"/>
  <c r="H117" i="33" s="1"/>
  <c r="H117" i="34" s="1"/>
  <c r="H117" i="35" s="1"/>
  <c r="H117" i="36" s="1"/>
  <c r="H117" i="37" s="1"/>
  <c r="H116" i="31"/>
  <c r="H116" i="32" s="1"/>
  <c r="H111" i="31"/>
  <c r="H111" i="32" s="1"/>
  <c r="H109" i="31"/>
  <c r="H109" i="32" s="1"/>
  <c r="H109" i="33" s="1"/>
  <c r="H109" i="34" s="1"/>
  <c r="H109" i="35" s="1"/>
  <c r="H109" i="36" s="1"/>
  <c r="H109" i="37" s="1"/>
  <c r="H108" i="31"/>
  <c r="H107"/>
  <c r="H107" i="32" s="1"/>
  <c r="H107" i="33" s="1"/>
  <c r="H107" i="34" s="1"/>
  <c r="H107" i="35" s="1"/>
  <c r="H107" i="36" s="1"/>
  <c r="H107" i="37" s="1"/>
  <c r="H106" i="31"/>
  <c r="H106" i="32" s="1"/>
  <c r="H105" i="31"/>
  <c r="H105" i="32" s="1"/>
  <c r="H105" i="33" s="1"/>
  <c r="H103" i="31"/>
  <c r="H103" i="32" s="1"/>
  <c r="H103" i="33" s="1"/>
  <c r="H103" i="34" s="1"/>
  <c r="H103" i="35" s="1"/>
  <c r="H103" i="36" s="1"/>
  <c r="H103" i="37" s="1"/>
  <c r="H102" i="31"/>
  <c r="H102" i="32" s="1"/>
  <c r="H102" i="33" s="1"/>
  <c r="H102" i="34" s="1"/>
  <c r="H102" i="35" s="1"/>
  <c r="H102" i="36" s="1"/>
  <c r="H102" i="37" s="1"/>
  <c r="H101" i="31"/>
  <c r="H101" i="32" s="1"/>
  <c r="H101" i="33" s="1"/>
  <c r="H100" i="31"/>
  <c r="H100" i="32" s="1"/>
  <c r="H98" i="31"/>
  <c r="H98" i="32" s="1"/>
  <c r="H96" i="31"/>
  <c r="H96" i="32" s="1"/>
  <c r="H94" i="31"/>
  <c r="H94" i="32" s="1"/>
  <c r="H92" i="31"/>
  <c r="H92" i="32" s="1"/>
  <c r="H92" i="33" s="1"/>
  <c r="H92" i="34" s="1"/>
  <c r="H92" i="35" s="1"/>
  <c r="H92" i="36" s="1"/>
  <c r="H92" i="37" s="1"/>
  <c r="H91" i="31"/>
  <c r="H91" i="32" s="1"/>
  <c r="H91" i="33" s="1"/>
  <c r="H91" i="34" s="1"/>
  <c r="H91" i="35" s="1"/>
  <c r="H91" i="36" s="1"/>
  <c r="H91" i="37" s="1"/>
  <c r="H90" i="31"/>
  <c r="H90" i="32" s="1"/>
  <c r="H90" i="33" s="1"/>
  <c r="H90" i="34" s="1"/>
  <c r="H90" i="35" s="1"/>
  <c r="H90" i="36" s="1"/>
  <c r="H90" i="37" s="1"/>
  <c r="H89" i="31"/>
  <c r="H89" i="32" s="1"/>
  <c r="H89" i="33" s="1"/>
  <c r="H89" i="34" s="1"/>
  <c r="H89" i="35" s="1"/>
  <c r="H89" i="36" s="1"/>
  <c r="H89" i="37" s="1"/>
  <c r="H88" i="31"/>
  <c r="H88" i="32" s="1"/>
  <c r="H85" i="31"/>
  <c r="H85" i="32" s="1"/>
  <c r="H85" i="33" s="1"/>
  <c r="H85" i="34" s="1"/>
  <c r="H85" i="35" s="1"/>
  <c r="H85" i="36" s="1"/>
  <c r="H85" i="37" s="1"/>
  <c r="H84" i="31"/>
  <c r="H84" i="32" s="1"/>
  <c r="H82" i="31"/>
  <c r="H82" i="32" s="1"/>
  <c r="H82" i="33" s="1"/>
  <c r="H82" i="34" s="1"/>
  <c r="H82" i="35" s="1"/>
  <c r="H82" i="36" s="1"/>
  <c r="H82" i="37" s="1"/>
  <c r="H81" i="31"/>
  <c r="H81" i="32" s="1"/>
  <c r="H79" i="31"/>
  <c r="H79" i="32" s="1"/>
  <c r="H79" i="33" s="1"/>
  <c r="H79" i="34" s="1"/>
  <c r="H79" i="35" s="1"/>
  <c r="H79" i="36" s="1"/>
  <c r="H79" i="37" s="1"/>
  <c r="H78" i="31"/>
  <c r="H78" i="32" s="1"/>
  <c r="H76" i="31"/>
  <c r="H76" i="32" s="1"/>
  <c r="H75" i="31"/>
  <c r="H75" i="32" s="1"/>
  <c r="H70" i="31"/>
  <c r="H70" i="32" s="1"/>
  <c r="H70" i="33" s="1"/>
  <c r="H70" i="34" s="1"/>
  <c r="H70" i="35" s="1"/>
  <c r="H70" i="36" s="1"/>
  <c r="H70" i="37" s="1"/>
  <c r="H69" i="31"/>
  <c r="H69" i="32" s="1"/>
  <c r="H67" i="31"/>
  <c r="H67" i="32" s="1"/>
  <c r="H67" i="33" s="1"/>
  <c r="H67" i="34" s="1"/>
  <c r="H67" i="35" s="1"/>
  <c r="H67" i="36" s="1"/>
  <c r="H67" i="37" s="1"/>
  <c r="H66" i="31"/>
  <c r="H66" i="32" s="1"/>
  <c r="H64" i="31"/>
  <c r="H64" i="32" s="1"/>
  <c r="H64" i="33" s="1"/>
  <c r="H64" i="34" s="1"/>
  <c r="H64" i="35" s="1"/>
  <c r="H64" i="36" s="1"/>
  <c r="H64" i="37" s="1"/>
  <c r="H63" i="31"/>
  <c r="H63" i="32" s="1"/>
  <c r="H61" i="31"/>
  <c r="H61" i="32" s="1"/>
  <c r="H61" i="33" s="1"/>
  <c r="H61" i="34" s="1"/>
  <c r="H61" i="35" s="1"/>
  <c r="H61" i="36" s="1"/>
  <c r="H61" i="37" s="1"/>
  <c r="H60" i="31"/>
  <c r="H60" i="32" s="1"/>
  <c r="H58" i="31"/>
  <c r="H58" i="32" s="1"/>
  <c r="H58" i="33" s="1"/>
  <c r="H58" i="34" s="1"/>
  <c r="H58" i="35" s="1"/>
  <c r="H58" i="36" s="1"/>
  <c r="H58" i="37" s="1"/>
  <c r="H57" i="31"/>
  <c r="H57" i="32" s="1"/>
  <c r="H55" i="31"/>
  <c r="H55" i="32" s="1"/>
  <c r="H54" i="31"/>
  <c r="H54" i="32" s="1"/>
  <c r="H49" i="31"/>
  <c r="H49" i="32" s="1"/>
  <c r="H48" i="31"/>
  <c r="H48" i="32" s="1"/>
  <c r="H48" i="33" s="1"/>
  <c r="H46" i="31"/>
  <c r="H46" i="32" s="1"/>
  <c r="H46" i="33" s="1"/>
  <c r="H46" i="34" s="1"/>
  <c r="H46" i="35" s="1"/>
  <c r="H46" i="36" s="1"/>
  <c r="H46" i="37" s="1"/>
  <c r="H45" i="31"/>
  <c r="H45" i="32" s="1"/>
  <c r="H43" i="31"/>
  <c r="H43" i="32" s="1"/>
  <c r="H42" i="31"/>
  <c r="H42" i="32" s="1"/>
  <c r="H42" i="33" s="1"/>
  <c r="H39" i="31"/>
  <c r="H39" i="32" s="1"/>
  <c r="H39" i="33" s="1"/>
  <c r="H39" i="34" s="1"/>
  <c r="H39" i="35" s="1"/>
  <c r="H39" i="36" s="1"/>
  <c r="H39" i="37" s="1"/>
  <c r="H38" i="31"/>
  <c r="H38" i="32" s="1"/>
  <c r="H36" i="31"/>
  <c r="H36" i="32" s="1"/>
  <c r="H34" i="31"/>
  <c r="H34" i="32" s="1"/>
  <c r="H34" i="33" s="1"/>
  <c r="H34" i="34" s="1"/>
  <c r="H34" i="35" s="1"/>
  <c r="H34" i="36" s="1"/>
  <c r="H34" i="37" s="1"/>
  <c r="H33" i="31"/>
  <c r="H33" i="32" s="1"/>
  <c r="H33" i="33" s="1"/>
  <c r="H33" i="34" s="1"/>
  <c r="H33" i="35" s="1"/>
  <c r="H33" i="36" s="1"/>
  <c r="H33" i="37" s="1"/>
  <c r="H32" i="31"/>
  <c r="H32" i="32" s="1"/>
  <c r="H32" i="33" s="1"/>
  <c r="H32" i="34" s="1"/>
  <c r="H32" i="35" s="1"/>
  <c r="H32" i="36" s="1"/>
  <c r="H32" i="37" s="1"/>
  <c r="H31" i="31"/>
  <c r="H31" i="32" s="1"/>
  <c r="H28" i="31"/>
  <c r="H28" i="32" s="1"/>
  <c r="H27" i="31"/>
  <c r="H27" i="32" s="1"/>
  <c r="H27" i="33" s="1"/>
  <c r="H27" i="34" s="1"/>
  <c r="H25" i="31"/>
  <c r="H25" i="32" s="1"/>
  <c r="H24" i="31"/>
  <c r="H24" i="32" s="1"/>
  <c r="H24" i="33" s="1"/>
  <c r="H22" i="31"/>
  <c r="H22" i="32" s="1"/>
  <c r="H22" i="33" s="1"/>
  <c r="H21" i="31"/>
  <c r="H21" i="32" s="1"/>
  <c r="H19" i="31"/>
  <c r="H19" i="32" s="1"/>
  <c r="H19" i="33" s="1"/>
  <c r="H19" i="34" s="1"/>
  <c r="H19" i="35" s="1"/>
  <c r="H19" i="36" s="1"/>
  <c r="H18" i="31"/>
  <c r="H18" i="32" s="1"/>
  <c r="H16" i="31"/>
  <c r="H16" i="32" s="1"/>
  <c r="H16" i="33" s="1"/>
  <c r="H16" i="34" s="1"/>
  <c r="H16" i="35" s="1"/>
  <c r="H16" i="36" s="1"/>
  <c r="H15" i="31"/>
  <c r="H15" i="32" s="1"/>
  <c r="H13" i="31"/>
  <c r="H13" i="32" s="1"/>
  <c r="H13" i="33" s="1"/>
  <c r="H13" i="34" s="1"/>
  <c r="H13" i="35" s="1"/>
  <c r="H13" i="36" s="1"/>
  <c r="H13" i="37" s="1"/>
  <c r="H12" i="31"/>
  <c r="H12" i="32" s="1"/>
  <c r="F121" i="31"/>
  <c r="H15" i="33" l="1"/>
  <c r="H17" i="32"/>
  <c r="H33" i="39"/>
  <c r="O33" s="1"/>
  <c r="P33" s="1"/>
  <c r="H33" i="38"/>
  <c r="H33" i="40" s="1"/>
  <c r="H46" i="38"/>
  <c r="H46" i="40" s="1"/>
  <c r="H46" i="39"/>
  <c r="O46" s="1"/>
  <c r="P46" s="1"/>
  <c r="H61" i="38"/>
  <c r="H61" i="40" s="1"/>
  <c r="H61" i="39"/>
  <c r="O61" s="1"/>
  <c r="P61" s="1"/>
  <c r="H76" i="33"/>
  <c r="H74" i="32"/>
  <c r="H89" i="38"/>
  <c r="H89" i="40" s="1"/>
  <c r="H89" i="39"/>
  <c r="H99" i="33"/>
  <c r="H101" i="34"/>
  <c r="H101" i="35" s="1"/>
  <c r="H101" i="36" s="1"/>
  <c r="H101" i="37" s="1"/>
  <c r="H111" i="33"/>
  <c r="H119" i="32"/>
  <c r="H120" i="33"/>
  <c r="H129" i="42"/>
  <c r="H129" i="41"/>
  <c r="H129" i="40"/>
  <c r="H129" i="39"/>
  <c r="H129" i="37"/>
  <c r="H129" i="38"/>
  <c r="H129" i="35"/>
  <c r="H129" i="34"/>
  <c r="H129" i="36"/>
  <c r="H137" i="39"/>
  <c r="O137" s="1"/>
  <c r="P137" s="1"/>
  <c r="H137" i="38"/>
  <c r="H220" i="32"/>
  <c r="H145" i="33"/>
  <c r="H154" i="32"/>
  <c r="H155" i="33"/>
  <c r="H181" i="39"/>
  <c r="O181" s="1"/>
  <c r="P181" s="1"/>
  <c r="H180" i="38"/>
  <c r="H179" i="32"/>
  <c r="H182" i="33"/>
  <c r="H193"/>
  <c r="H192" i="32"/>
  <c r="H216" i="39"/>
  <c r="H215" i="38"/>
  <c r="U153" i="42"/>
  <c r="U154" i="41"/>
  <c r="U153" i="40"/>
  <c r="U154" i="39"/>
  <c r="U153" i="38"/>
  <c r="U152" i="37"/>
  <c r="U150" i="36"/>
  <c r="J147" i="34"/>
  <c r="R147"/>
  <c r="U149" i="35"/>
  <c r="I195" i="42"/>
  <c r="I195" i="40"/>
  <c r="I196" i="41"/>
  <c r="Q210" i="33"/>
  <c r="I210"/>
  <c r="I212" i="32"/>
  <c r="K123"/>
  <c r="L123" s="1"/>
  <c r="J123" i="33"/>
  <c r="K81" i="32"/>
  <c r="J81" i="33"/>
  <c r="K13" i="32"/>
  <c r="J13" i="33"/>
  <c r="K22" i="32"/>
  <c r="J22" i="33"/>
  <c r="J66"/>
  <c r="K66" i="32"/>
  <c r="J69" i="33"/>
  <c r="K69" i="32"/>
  <c r="Q190" i="33"/>
  <c r="I190"/>
  <c r="Q145"/>
  <c r="I145"/>
  <c r="I124"/>
  <c r="Q124"/>
  <c r="Q91"/>
  <c r="I91"/>
  <c r="Q30"/>
  <c r="I30"/>
  <c r="I209" i="40"/>
  <c r="I210" i="41"/>
  <c r="I209" i="42"/>
  <c r="K117" i="32"/>
  <c r="J117" i="33"/>
  <c r="K78" i="32"/>
  <c r="J78" i="33"/>
  <c r="K28" i="32"/>
  <c r="J28" i="33"/>
  <c r="I182"/>
  <c r="Q182"/>
  <c r="I137"/>
  <c r="Q137"/>
  <c r="I107"/>
  <c r="Q107"/>
  <c r="K192" i="41"/>
  <c r="I191"/>
  <c r="K118" i="32"/>
  <c r="J118" i="33"/>
  <c r="K60" i="32"/>
  <c r="J60" i="33"/>
  <c r="H13" i="39"/>
  <c r="O13" s="1"/>
  <c r="P13" s="1"/>
  <c r="H13" i="38"/>
  <c r="H13" i="40" s="1"/>
  <c r="H32" i="39"/>
  <c r="O32" s="1"/>
  <c r="P32" s="1"/>
  <c r="H32" i="38"/>
  <c r="H32" i="40" s="1"/>
  <c r="H41" i="32"/>
  <c r="H45" i="33"/>
  <c r="H47" i="32"/>
  <c r="H60" i="33"/>
  <c r="H62" i="32"/>
  <c r="H77"/>
  <c r="H75" i="33"/>
  <c r="H73" i="32"/>
  <c r="H72" s="1"/>
  <c r="H83"/>
  <c r="H81" i="33"/>
  <c r="H87" i="32"/>
  <c r="H88" i="33"/>
  <c r="H218" i="32"/>
  <c r="H219"/>
  <c r="H109" i="39"/>
  <c r="O109" s="1"/>
  <c r="P109" s="1"/>
  <c r="H109" i="38"/>
  <c r="H109" i="40" s="1"/>
  <c r="H124" i="39"/>
  <c r="H124" i="38"/>
  <c r="H124" i="40" s="1"/>
  <c r="H132" i="37"/>
  <c r="H153" i="39"/>
  <c r="O153" s="1"/>
  <c r="P153" s="1"/>
  <c r="H152" i="38"/>
  <c r="H178"/>
  <c r="H179" i="39"/>
  <c r="H193" i="35"/>
  <c r="H194" i="36" s="1"/>
  <c r="H196" i="37" s="1"/>
  <c r="H197" i="38" s="1"/>
  <c r="H191" i="35"/>
  <c r="H192" i="36" s="1"/>
  <c r="H194" i="37" s="1"/>
  <c r="K34" i="32"/>
  <c r="J34" i="33"/>
  <c r="U200" i="42"/>
  <c r="U200" i="40"/>
  <c r="U201" i="41"/>
  <c r="U201" i="39"/>
  <c r="U199" i="37"/>
  <c r="U200" i="38"/>
  <c r="J194" i="34"/>
  <c r="U196" i="35"/>
  <c r="U197" i="36"/>
  <c r="R194" i="34"/>
  <c r="O108" i="39"/>
  <c r="P108" s="1"/>
  <c r="K108"/>
  <c r="L108" s="1"/>
  <c r="J104"/>
  <c r="I208" i="41"/>
  <c r="K208" s="1"/>
  <c r="L208" s="1"/>
  <c r="I207" i="40"/>
  <c r="K207" s="1"/>
  <c r="L207" s="1"/>
  <c r="I207" i="42"/>
  <c r="K207" s="1"/>
  <c r="L207" s="1"/>
  <c r="J114" i="33"/>
  <c r="K114" i="32"/>
  <c r="K67"/>
  <c r="J67" i="33"/>
  <c r="J38"/>
  <c r="K38" i="32"/>
  <c r="L38" s="1"/>
  <c r="J40"/>
  <c r="K40" s="1"/>
  <c r="I198" i="33"/>
  <c r="Q198"/>
  <c r="Q184"/>
  <c r="I184"/>
  <c r="I154" i="32"/>
  <c r="Q154" i="33" s="1"/>
  <c r="I155"/>
  <c r="Q155"/>
  <c r="I142"/>
  <c r="Q142"/>
  <c r="I131"/>
  <c r="Q131"/>
  <c r="I123"/>
  <c r="Q123"/>
  <c r="Q90"/>
  <c r="I90"/>
  <c r="I11"/>
  <c r="Q11"/>
  <c r="Q191"/>
  <c r="I191"/>
  <c r="K191" s="1"/>
  <c r="L191" s="1"/>
  <c r="Q146"/>
  <c r="I146"/>
  <c r="Q125"/>
  <c r="I125"/>
  <c r="I99"/>
  <c r="Q99"/>
  <c r="I36"/>
  <c r="Q36"/>
  <c r="I35" i="32"/>
  <c r="J210" i="33"/>
  <c r="J212" i="32"/>
  <c r="K210"/>
  <c r="L210" s="1"/>
  <c r="K131"/>
  <c r="L131" s="1"/>
  <c r="J131" i="33"/>
  <c r="K54" i="32"/>
  <c r="J54" i="33"/>
  <c r="J51" i="32"/>
  <c r="K51" s="1"/>
  <c r="Q176" i="33"/>
  <c r="I176"/>
  <c r="Q134"/>
  <c r="I134"/>
  <c r="I108" i="38"/>
  <c r="I108" i="39"/>
  <c r="I108" i="37"/>
  <c r="K108" s="1"/>
  <c r="L108" s="1"/>
  <c r="I108" i="36"/>
  <c r="K108" s="1"/>
  <c r="L108" s="1"/>
  <c r="I108" i="34"/>
  <c r="K108" s="1"/>
  <c r="L108" s="1"/>
  <c r="I108" i="35"/>
  <c r="K108" s="1"/>
  <c r="L108" s="1"/>
  <c r="I108" i="33"/>
  <c r="Q108"/>
  <c r="K108" i="32"/>
  <c r="L108" s="1"/>
  <c r="Q38" i="33"/>
  <c r="I38"/>
  <c r="I208" i="42"/>
  <c r="I209" i="41"/>
  <c r="I208" i="40"/>
  <c r="J129" i="33"/>
  <c r="K129" i="32"/>
  <c r="L129" s="1"/>
  <c r="J102" i="33"/>
  <c r="K102" i="32"/>
  <c r="J63" i="33"/>
  <c r="K63" i="32"/>
  <c r="J27" i="33"/>
  <c r="K27" i="32"/>
  <c r="J134" i="33"/>
  <c r="K134" i="32"/>
  <c r="L134" s="1"/>
  <c r="J112" i="33"/>
  <c r="K112" i="32"/>
  <c r="J111"/>
  <c r="K111" s="1"/>
  <c r="L111" s="1"/>
  <c r="K70"/>
  <c r="J70" i="33"/>
  <c r="K16" i="32"/>
  <c r="J16" i="33"/>
  <c r="I190" i="40"/>
  <c r="K191"/>
  <c r="K143" i="32"/>
  <c r="J143" i="33"/>
  <c r="J105"/>
  <c r="K105" i="32"/>
  <c r="L105" s="1"/>
  <c r="J104"/>
  <c r="K43"/>
  <c r="J43" i="33"/>
  <c r="Q183"/>
  <c r="I183"/>
  <c r="Q141"/>
  <c r="I141"/>
  <c r="I140" i="32"/>
  <c r="Q140" i="33" s="1"/>
  <c r="Q119"/>
  <c r="I119"/>
  <c r="Q89"/>
  <c r="I89"/>
  <c r="H12"/>
  <c r="H14" i="32"/>
  <c r="H11"/>
  <c r="H18" i="33"/>
  <c r="H20" i="32"/>
  <c r="H26" i="33"/>
  <c r="H24" i="34"/>
  <c r="H31" i="33"/>
  <c r="H30" i="32"/>
  <c r="H35"/>
  <c r="H36" i="33"/>
  <c r="H44" i="32"/>
  <c r="H43" i="33"/>
  <c r="H43" i="34" s="1"/>
  <c r="H50" i="32"/>
  <c r="H49" i="33"/>
  <c r="H49" i="34" s="1"/>
  <c r="H49" i="35" s="1"/>
  <c r="H49" i="36" s="1"/>
  <c r="H49" i="37" s="1"/>
  <c r="H58" i="38"/>
  <c r="H58" i="40" s="1"/>
  <c r="H58" i="39"/>
  <c r="O58" s="1"/>
  <c r="P58" s="1"/>
  <c r="H64" i="38"/>
  <c r="H64" i="40" s="1"/>
  <c r="H64" i="39"/>
  <c r="H70" i="38"/>
  <c r="H70" i="40" s="1"/>
  <c r="H70" i="39"/>
  <c r="O70" s="1"/>
  <c r="P70" s="1"/>
  <c r="H79"/>
  <c r="O79" s="1"/>
  <c r="P79" s="1"/>
  <c r="H79" i="38"/>
  <c r="H85"/>
  <c r="H85" i="39"/>
  <c r="O85" s="1"/>
  <c r="P85" s="1"/>
  <c r="H91"/>
  <c r="H91" i="38"/>
  <c r="H91" i="40" s="1"/>
  <c r="H98" i="33"/>
  <c r="H98" i="34" s="1"/>
  <c r="H98" i="35" s="1"/>
  <c r="H103" i="39"/>
  <c r="H103" i="38"/>
  <c r="H103" i="40" s="1"/>
  <c r="H117" i="38"/>
  <c r="H117" i="40" s="1"/>
  <c r="H117" i="39"/>
  <c r="O117" s="1"/>
  <c r="P117" s="1"/>
  <c r="H123"/>
  <c r="H123" i="38"/>
  <c r="H123" i="40" s="1"/>
  <c r="H127" i="38"/>
  <c r="H127" i="39"/>
  <c r="H131"/>
  <c r="H131" i="38"/>
  <c r="H135"/>
  <c r="H135" i="39"/>
  <c r="H142" i="33"/>
  <c r="H144" i="32"/>
  <c r="H152" i="33"/>
  <c r="H151" i="32"/>
  <c r="H177" i="39"/>
  <c r="O177" s="1"/>
  <c r="P177" s="1"/>
  <c r="H176" i="38"/>
  <c r="H180" i="35"/>
  <c r="H185" i="33"/>
  <c r="H185" i="34" s="1"/>
  <c r="H185" i="35" s="1"/>
  <c r="H186" i="36" s="1"/>
  <c r="H188" i="37" s="1"/>
  <c r="H184" i="32"/>
  <c r="H196" i="40"/>
  <c r="H196" i="42"/>
  <c r="O196" s="1"/>
  <c r="P196" s="1"/>
  <c r="H202" i="38"/>
  <c r="H203" i="39"/>
  <c r="O203" s="1"/>
  <c r="P203" s="1"/>
  <c r="U90" i="42"/>
  <c r="U90" i="41"/>
  <c r="U90" i="40"/>
  <c r="U90" i="38"/>
  <c r="U90" i="39"/>
  <c r="U90" i="37"/>
  <c r="R90" i="34"/>
  <c r="U90" i="35"/>
  <c r="U90" i="36"/>
  <c r="J90" i="34"/>
  <c r="U197" i="42"/>
  <c r="U198" i="41"/>
  <c r="U197" i="40"/>
  <c r="U196" i="37"/>
  <c r="U198" i="39"/>
  <c r="U197" i="38"/>
  <c r="U193" i="35"/>
  <c r="U194" i="36"/>
  <c r="R191" i="34"/>
  <c r="J191"/>
  <c r="U155" i="42"/>
  <c r="U155" i="40"/>
  <c r="U156" i="41"/>
  <c r="U156" i="39"/>
  <c r="U155" i="38"/>
  <c r="U154" i="37"/>
  <c r="U152" i="36"/>
  <c r="U151" i="35"/>
  <c r="R149" i="34"/>
  <c r="J149"/>
  <c r="J151" i="35" s="1"/>
  <c r="I211" i="41"/>
  <c r="I210" i="42"/>
  <c r="I210" i="40"/>
  <c r="K136" i="32"/>
  <c r="L136" s="1"/>
  <c r="J136" i="33"/>
  <c r="J106"/>
  <c r="K106" i="32"/>
  <c r="L106" s="1"/>
  <c r="K61"/>
  <c r="J61" i="33"/>
  <c r="J32"/>
  <c r="K32" i="32"/>
  <c r="K178"/>
  <c r="J178" i="33"/>
  <c r="K113" i="32"/>
  <c r="J113" i="33"/>
  <c r="K24" i="32"/>
  <c r="J24" i="33"/>
  <c r="J12"/>
  <c r="K12" i="32"/>
  <c r="J11"/>
  <c r="K11" s="1"/>
  <c r="L11" s="1"/>
  <c r="J14"/>
  <c r="K14" s="1"/>
  <c r="E213"/>
  <c r="G213" s="1"/>
  <c r="G209"/>
  <c r="K124"/>
  <c r="L124" s="1"/>
  <c r="J124" i="33"/>
  <c r="K82" i="32"/>
  <c r="J82" i="33"/>
  <c r="J57"/>
  <c r="K57" i="32"/>
  <c r="J33" i="33"/>
  <c r="K33" i="32"/>
  <c r="J21" i="33"/>
  <c r="J23" i="32"/>
  <c r="K23" s="1"/>
  <c r="K21"/>
  <c r="I195" i="33"/>
  <c r="Q195"/>
  <c r="Q181"/>
  <c r="I181"/>
  <c r="Q149"/>
  <c r="I149"/>
  <c r="I136"/>
  <c r="Q136"/>
  <c r="I128"/>
  <c r="Q128"/>
  <c r="Q111"/>
  <c r="I111"/>
  <c r="I110" i="32"/>
  <c r="Q98" i="33"/>
  <c r="I98"/>
  <c r="I72"/>
  <c r="Q72"/>
  <c r="J209" i="32"/>
  <c r="J208" i="33"/>
  <c r="K208" i="32"/>
  <c r="L208" s="1"/>
  <c r="J130" i="33"/>
  <c r="K130" i="32"/>
  <c r="L130" s="1"/>
  <c r="J103" i="33"/>
  <c r="K103" i="32"/>
  <c r="L103" s="1"/>
  <c r="J64" i="33"/>
  <c r="K64" i="32"/>
  <c r="Q196" i="33"/>
  <c r="I196"/>
  <c r="I150"/>
  <c r="Q150"/>
  <c r="I129"/>
  <c r="Q129"/>
  <c r="I88"/>
  <c r="Q88"/>
  <c r="I87" i="32"/>
  <c r="Q87" i="33" s="1"/>
  <c r="J135"/>
  <c r="K135" i="32"/>
  <c r="K100"/>
  <c r="J100" i="33"/>
  <c r="J99" i="32"/>
  <c r="K99" s="1"/>
  <c r="L99" s="1"/>
  <c r="J20"/>
  <c r="K20" s="1"/>
  <c r="J18" i="33"/>
  <c r="K18" i="32"/>
  <c r="H21" i="33"/>
  <c r="H21" i="34" s="1"/>
  <c r="H23" i="32"/>
  <c r="H27" i="35"/>
  <c r="H39" i="39"/>
  <c r="H39" i="38"/>
  <c r="H39" i="40" s="1"/>
  <c r="H55" i="33"/>
  <c r="H52" i="32"/>
  <c r="H67" i="38"/>
  <c r="H67" i="40" s="1"/>
  <c r="H67" i="39"/>
  <c r="H82" i="38"/>
  <c r="H82" i="39"/>
  <c r="O82" s="1"/>
  <c r="P82" s="1"/>
  <c r="H94" i="33"/>
  <c r="H93" i="32"/>
  <c r="H104"/>
  <c r="H106" i="33"/>
  <c r="H106" i="34" s="1"/>
  <c r="H106" i="35" s="1"/>
  <c r="H106" i="36" s="1"/>
  <c r="H106" i="37" s="1"/>
  <c r="H125" i="39"/>
  <c r="H125" i="38"/>
  <c r="H125" i="40" s="1"/>
  <c r="H133" i="38"/>
  <c r="H133" i="39"/>
  <c r="H154"/>
  <c r="O154" s="1"/>
  <c r="P154" s="1"/>
  <c r="H153" i="38"/>
  <c r="H162" i="32"/>
  <c r="H161" i="33"/>
  <c r="H161" i="34" s="1"/>
  <c r="H189" i="35"/>
  <c r="H190" i="36" s="1"/>
  <c r="H192" i="37" s="1"/>
  <c r="H187" i="35"/>
  <c r="H188" i="36" s="1"/>
  <c r="H190" i="37" s="1"/>
  <c r="U31" i="41"/>
  <c r="U31" i="42"/>
  <c r="U31" i="40"/>
  <c r="U31" i="39"/>
  <c r="U31" i="38"/>
  <c r="U31" i="37"/>
  <c r="U31" i="36"/>
  <c r="J31" i="34"/>
  <c r="U31" i="35"/>
  <c r="R31" i="34"/>
  <c r="U91" i="42"/>
  <c r="U91" i="40"/>
  <c r="U91" i="41"/>
  <c r="U91" i="38"/>
  <c r="U91" i="39"/>
  <c r="U91" i="37"/>
  <c r="U91" i="35"/>
  <c r="J91" i="34"/>
  <c r="U91" i="36"/>
  <c r="R91" i="34"/>
  <c r="K150" i="33"/>
  <c r="L150" s="1"/>
  <c r="U157" i="41"/>
  <c r="U156" i="40"/>
  <c r="U156" i="42"/>
  <c r="U157" i="39"/>
  <c r="U156" i="38"/>
  <c r="U155" i="37"/>
  <c r="U152" i="35"/>
  <c r="U153" i="36"/>
  <c r="R150" i="34"/>
  <c r="J150"/>
  <c r="J220" i="33"/>
  <c r="U151" i="42"/>
  <c r="U152" i="41"/>
  <c r="U152" i="39"/>
  <c r="U151" i="38"/>
  <c r="U151" i="40"/>
  <c r="U150" i="37"/>
  <c r="U148" i="36"/>
  <c r="R145" i="34"/>
  <c r="U147" i="35"/>
  <c r="J145" i="34"/>
  <c r="U154" i="42"/>
  <c r="U155" i="41"/>
  <c r="U154" i="40"/>
  <c r="U155" i="39"/>
  <c r="U154" i="38"/>
  <c r="U153" i="37"/>
  <c r="U151" i="36"/>
  <c r="U150" i="35"/>
  <c r="R148" i="34"/>
  <c r="J148"/>
  <c r="O108" i="38"/>
  <c r="P108" s="1"/>
  <c r="J108" i="42"/>
  <c r="J108" i="41"/>
  <c r="J108" i="40"/>
  <c r="K108" i="38"/>
  <c r="L108" s="1"/>
  <c r="J47" i="32"/>
  <c r="K47" s="1"/>
  <c r="J45" i="33"/>
  <c r="K45" i="32"/>
  <c r="J133" i="33"/>
  <c r="K133" i="32"/>
  <c r="J107" i="33"/>
  <c r="K107" i="32"/>
  <c r="L107" s="1"/>
  <c r="I199" i="33"/>
  <c r="Q199"/>
  <c r="Q156"/>
  <c r="I156"/>
  <c r="I132"/>
  <c r="Q132"/>
  <c r="Q106"/>
  <c r="I106"/>
  <c r="H201" i="40"/>
  <c r="H201" i="42"/>
  <c r="O201" s="1"/>
  <c r="P201" s="1"/>
  <c r="H19" i="37"/>
  <c r="H26" i="32"/>
  <c r="H25" i="33"/>
  <c r="H25" i="34" s="1"/>
  <c r="H25" i="35" s="1"/>
  <c r="H25" i="36" s="1"/>
  <c r="H25" i="37" s="1"/>
  <c r="H38" i="33"/>
  <c r="H40" i="32"/>
  <c r="H54" i="33"/>
  <c r="H56" i="32"/>
  <c r="H51"/>
  <c r="H68"/>
  <c r="H66" i="33"/>
  <c r="H92" i="39"/>
  <c r="O92" s="1"/>
  <c r="P92" s="1"/>
  <c r="H92" i="38"/>
  <c r="H92" i="40" s="1"/>
  <c r="H100" i="33"/>
  <c r="H100" i="34" s="1"/>
  <c r="H99" i="32"/>
  <c r="H104" i="33"/>
  <c r="H105" i="34"/>
  <c r="H118"/>
  <c r="H118" i="35" s="1"/>
  <c r="H118" i="36" s="1"/>
  <c r="H128" i="38"/>
  <c r="H128" i="39"/>
  <c r="O128" s="1"/>
  <c r="P128" s="1"/>
  <c r="H136" i="38"/>
  <c r="H136" i="39"/>
  <c r="O136" s="1"/>
  <c r="P136" s="1"/>
  <c r="H160" i="34"/>
  <c r="H166" i="33"/>
  <c r="H168" i="32"/>
  <c r="H184" i="33"/>
  <c r="H186" i="34"/>
  <c r="H188" i="35" s="1"/>
  <c r="H199"/>
  <c r="H200" i="36" s="1"/>
  <c r="H202" i="37" s="1"/>
  <c r="I199" i="35"/>
  <c r="I200" i="36" s="1"/>
  <c r="I202" i="37" s="1"/>
  <c r="H208" i="35"/>
  <c r="H210" i="36" s="1"/>
  <c r="H212" i="37" s="1"/>
  <c r="H206" i="35"/>
  <c r="H207" i="36" s="1"/>
  <c r="H209" i="37" s="1"/>
  <c r="H210" i="38" s="1"/>
  <c r="K89" i="33"/>
  <c r="L89" s="1"/>
  <c r="U89" i="42"/>
  <c r="U89" i="40"/>
  <c r="U89" i="41"/>
  <c r="U89" i="38"/>
  <c r="U89" i="39"/>
  <c r="U89" i="37"/>
  <c r="U89" i="35"/>
  <c r="J89" i="34"/>
  <c r="R89"/>
  <c r="U89" i="36"/>
  <c r="I104" i="32"/>
  <c r="Q104" i="33" s="1"/>
  <c r="I105"/>
  <c r="Q105"/>
  <c r="H16" i="37"/>
  <c r="H22" i="34"/>
  <c r="H22" i="35" s="1"/>
  <c r="H22" i="36" s="1"/>
  <c r="H22" i="37" s="1"/>
  <c r="H29" i="32"/>
  <c r="H28" i="33"/>
  <c r="H34" i="38"/>
  <c r="H34" i="40" s="1"/>
  <c r="H34" i="39"/>
  <c r="H42" i="34"/>
  <c r="H44" i="33"/>
  <c r="H41"/>
  <c r="H48" i="34"/>
  <c r="H50" i="33"/>
  <c r="H57"/>
  <c r="H59" i="32"/>
  <c r="H63" i="33"/>
  <c r="H65" i="32"/>
  <c r="H69" i="33"/>
  <c r="H71" i="32"/>
  <c r="H78" i="33"/>
  <c r="H80" i="32"/>
  <c r="H84" i="33"/>
  <c r="H86" i="32"/>
  <c r="H90" i="39"/>
  <c r="H90" i="38"/>
  <c r="H90" i="40" s="1"/>
  <c r="H95" i="32"/>
  <c r="H96" i="33"/>
  <c r="H102" i="38"/>
  <c r="H102" i="40" s="1"/>
  <c r="H102" i="39"/>
  <c r="H107" i="38"/>
  <c r="H107" i="40" s="1"/>
  <c r="H107" i="39"/>
  <c r="O107" s="1"/>
  <c r="P107" s="1"/>
  <c r="H116" i="33"/>
  <c r="H116" i="34" s="1"/>
  <c r="H115" i="32"/>
  <c r="H110" s="1"/>
  <c r="H121" i="39"/>
  <c r="H121" i="38"/>
  <c r="H121" i="40" s="1"/>
  <c r="H126" i="39"/>
  <c r="H126" i="38"/>
  <c r="H126" i="40" s="1"/>
  <c r="H130" i="39"/>
  <c r="H130" i="38"/>
  <c r="H134" i="39"/>
  <c r="O134" s="1"/>
  <c r="P134" s="1"/>
  <c r="H134" i="38"/>
  <c r="H141" i="33"/>
  <c r="H140" i="32"/>
  <c r="H154" i="38"/>
  <c r="H155" i="39"/>
  <c r="O155" s="1"/>
  <c r="P155" s="1"/>
  <c r="H159" i="32"/>
  <c r="H157" i="33"/>
  <c r="H156" i="32"/>
  <c r="H165"/>
  <c r="H163" i="33"/>
  <c r="H171" i="32"/>
  <c r="H169" i="33"/>
  <c r="H177" i="32"/>
  <c r="H178" i="33"/>
  <c r="H188" i="39"/>
  <c r="O188" s="1"/>
  <c r="P188" s="1"/>
  <c r="H187" i="38"/>
  <c r="H200"/>
  <c r="H201" i="39"/>
  <c r="O201" s="1"/>
  <c r="P201" s="1"/>
  <c r="H212" i="32"/>
  <c r="H211" s="1"/>
  <c r="H210" i="33"/>
  <c r="K19" i="32"/>
  <c r="J19" i="33"/>
  <c r="K46" i="32"/>
  <c r="J46" i="33"/>
  <c r="K49" i="32"/>
  <c r="J49" i="33"/>
  <c r="U94" i="42"/>
  <c r="U94" i="41"/>
  <c r="U94" i="40"/>
  <c r="U94" i="38"/>
  <c r="U94" i="39"/>
  <c r="U94" i="37"/>
  <c r="U94" i="36"/>
  <c r="J94" i="34"/>
  <c r="R94"/>
  <c r="U94" i="35"/>
  <c r="U161" i="42"/>
  <c r="U161" i="40"/>
  <c r="U162" i="41"/>
  <c r="U160" i="37"/>
  <c r="U162" i="39"/>
  <c r="U161" i="38"/>
  <c r="J155" i="34"/>
  <c r="R155"/>
  <c r="U157" i="35"/>
  <c r="U158" i="36"/>
  <c r="U207" i="41"/>
  <c r="U206" i="42"/>
  <c r="U206" i="40"/>
  <c r="U207" i="39"/>
  <c r="K193" i="33"/>
  <c r="L193" s="1"/>
  <c r="U199" i="42"/>
  <c r="U200" i="41"/>
  <c r="U199" i="40"/>
  <c r="U198" i="37"/>
  <c r="U199" i="38"/>
  <c r="U200" i="39"/>
  <c r="R193" i="34"/>
  <c r="U195" i="35"/>
  <c r="U196" i="36"/>
  <c r="J193" i="34"/>
  <c r="U197" i="41"/>
  <c r="U196" i="42"/>
  <c r="U196" i="40"/>
  <c r="U195" i="37"/>
  <c r="U196" i="38"/>
  <c r="U197" i="39"/>
  <c r="U192" i="35"/>
  <c r="J190" i="34"/>
  <c r="U193" i="36"/>
  <c r="R190" i="34"/>
  <c r="K183" i="33"/>
  <c r="L183" s="1"/>
  <c r="U189" i="42"/>
  <c r="U189" i="40"/>
  <c r="U190" i="41"/>
  <c r="U190" i="39"/>
  <c r="U189" i="38"/>
  <c r="U188" i="37"/>
  <c r="J183" i="34"/>
  <c r="U186" i="36"/>
  <c r="R183" i="34"/>
  <c r="U185" i="35"/>
  <c r="J95" i="38"/>
  <c r="K132" i="32"/>
  <c r="J132" i="33"/>
  <c r="K101" i="32"/>
  <c r="J101" i="33"/>
  <c r="K55" i="32"/>
  <c r="J55" i="33"/>
  <c r="K25" i="32"/>
  <c r="J25" i="33"/>
  <c r="I192" i="32"/>
  <c r="Q192" i="33" s="1"/>
  <c r="I194"/>
  <c r="Q194"/>
  <c r="Q180"/>
  <c r="I180"/>
  <c r="I179" i="32"/>
  <c r="Q179" i="33" s="1"/>
  <c r="Q148"/>
  <c r="I148"/>
  <c r="I135"/>
  <c r="Q135"/>
  <c r="I127"/>
  <c r="Q127"/>
  <c r="Q109"/>
  <c r="I109"/>
  <c r="I95" i="32"/>
  <c r="Q95" i="33" s="1"/>
  <c r="Q96"/>
  <c r="I96"/>
  <c r="I45"/>
  <c r="Q45"/>
  <c r="I41" i="32"/>
  <c r="Q41" i="33" s="1"/>
  <c r="K42" i="32"/>
  <c r="J42" i="33"/>
  <c r="J41" i="32"/>
  <c r="K41" s="1"/>
  <c r="Q172" i="33"/>
  <c r="I172"/>
  <c r="Q133"/>
  <c r="I133"/>
  <c r="I115"/>
  <c r="Q115"/>
  <c r="I92"/>
  <c r="Q92"/>
  <c r="D205" i="32"/>
  <c r="Q8"/>
  <c r="Q208" i="33"/>
  <c r="I208"/>
  <c r="J79"/>
  <c r="K79" i="32"/>
  <c r="R14" i="33"/>
  <c r="S14" i="32"/>
  <c r="Q193" i="33"/>
  <c r="I193"/>
  <c r="I147"/>
  <c r="K147" s="1"/>
  <c r="L147" s="1"/>
  <c r="Q147"/>
  <c r="Q126"/>
  <c r="I126"/>
  <c r="Q94"/>
  <c r="I94"/>
  <c r="I93" i="32"/>
  <c r="Q93" i="33" s="1"/>
  <c r="J137"/>
  <c r="K137" i="32"/>
  <c r="L137" s="1"/>
  <c r="K116"/>
  <c r="J116" i="33"/>
  <c r="J115" i="32"/>
  <c r="K115" s="1"/>
  <c r="L115" s="1"/>
  <c r="K76"/>
  <c r="J74"/>
  <c r="K74" s="1"/>
  <c r="J76" i="33"/>
  <c r="K39" i="32"/>
  <c r="J39" i="33"/>
  <c r="K15" i="32"/>
  <c r="J15" i="33"/>
  <c r="J17" i="32"/>
  <c r="K17" s="1"/>
  <c r="Q206" i="33"/>
  <c r="I206"/>
  <c r="J126"/>
  <c r="K126" i="32"/>
  <c r="L126" s="1"/>
  <c r="K84"/>
  <c r="J84" i="33"/>
  <c r="K58" i="32"/>
  <c r="J58" i="33"/>
  <c r="K191" i="42"/>
  <c r="I190"/>
  <c r="J127" i="33"/>
  <c r="K127" i="32"/>
  <c r="L127" s="1"/>
  <c r="K85"/>
  <c r="J85" i="33"/>
  <c r="Q197"/>
  <c r="I197"/>
  <c r="Q151"/>
  <c r="I151"/>
  <c r="Q130"/>
  <c r="I130"/>
  <c r="I103" i="34"/>
  <c r="I103" i="35" s="1"/>
  <c r="I103" i="36" s="1"/>
  <c r="I103" i="37" s="1"/>
  <c r="Q103" i="33"/>
  <c r="I103"/>
  <c r="H205" i="36"/>
  <c r="H207" i="37" s="1"/>
  <c r="H204" i="35"/>
  <c r="H202" i="34"/>
  <c r="H202" i="35" s="1"/>
  <c r="H203" i="36" s="1"/>
  <c r="H205" i="37" s="1"/>
  <c r="Q200" i="33"/>
  <c r="I200"/>
  <c r="I188" i="32"/>
  <c r="H200" i="33"/>
  <c r="H188" i="32"/>
  <c r="U205" i="37"/>
  <c r="U206" i="38"/>
  <c r="U203" i="36"/>
  <c r="R200" i="34"/>
  <c r="U202" i="35"/>
  <c r="J200" i="34"/>
  <c r="H203" i="35"/>
  <c r="H201" i="34"/>
  <c r="H201" i="35" s="1"/>
  <c r="H204" i="36"/>
  <c r="H206" i="37" s="1"/>
  <c r="H206" i="36"/>
  <c r="H205" i="35"/>
  <c r="H203" i="34"/>
  <c r="G209" i="35"/>
  <c r="K128" i="32"/>
  <c r="L128" s="1"/>
  <c r="J128" i="33"/>
  <c r="K195" i="32"/>
  <c r="L195" s="1"/>
  <c r="J195" i="33"/>
  <c r="K198" i="32"/>
  <c r="L198" s="1"/>
  <c r="J198" i="33"/>
  <c r="J196"/>
  <c r="K196" i="32"/>
  <c r="L196" s="1"/>
  <c r="J203" i="33"/>
  <c r="K203" i="32"/>
  <c r="L203" s="1"/>
  <c r="J201" i="33"/>
  <c r="K201" i="32"/>
  <c r="L201" s="1"/>
  <c r="J199" i="33"/>
  <c r="K199" i="32"/>
  <c r="K197"/>
  <c r="L197" s="1"/>
  <c r="J197" i="33"/>
  <c r="K202" i="32"/>
  <c r="L202" s="1"/>
  <c r="J202" i="33"/>
  <c r="J204"/>
  <c r="K204" i="32"/>
  <c r="K189"/>
  <c r="J189" i="33"/>
  <c r="K187" i="32"/>
  <c r="J187" i="33"/>
  <c r="J185"/>
  <c r="J184" i="32"/>
  <c r="K184" s="1"/>
  <c r="L184" s="1"/>
  <c r="K185"/>
  <c r="J186" i="33"/>
  <c r="K186" i="32"/>
  <c r="J180" i="33"/>
  <c r="K180" i="32"/>
  <c r="L180" s="1"/>
  <c r="J179"/>
  <c r="K179" s="1"/>
  <c r="L179" s="1"/>
  <c r="J181" i="33"/>
  <c r="K181" i="32"/>
  <c r="L181" s="1"/>
  <c r="J182" i="33"/>
  <c r="K182" i="32"/>
  <c r="L182" s="1"/>
  <c r="J174" i="33"/>
  <c r="K174" i="32"/>
  <c r="J175" i="33"/>
  <c r="K175" i="32"/>
  <c r="J172"/>
  <c r="K172" s="1"/>
  <c r="L172" s="1"/>
  <c r="J173" i="33"/>
  <c r="K173" i="32"/>
  <c r="O169"/>
  <c r="J169" i="33"/>
  <c r="K169" i="32"/>
  <c r="J171"/>
  <c r="K171" s="1"/>
  <c r="K170"/>
  <c r="J170" i="33"/>
  <c r="J168" i="32"/>
  <c r="K168" s="1"/>
  <c r="J166" i="33"/>
  <c r="K166" i="32"/>
  <c r="K167"/>
  <c r="J167" i="33"/>
  <c r="J164"/>
  <c r="K164" i="32"/>
  <c r="O163"/>
  <c r="J163" i="33"/>
  <c r="K163" i="32"/>
  <c r="J165"/>
  <c r="K165" s="1"/>
  <c r="K160"/>
  <c r="J160" i="33"/>
  <c r="K161" i="32"/>
  <c r="J161" i="33"/>
  <c r="K158" i="32"/>
  <c r="J158" i="33"/>
  <c r="J157"/>
  <c r="K157" i="32"/>
  <c r="J156"/>
  <c r="K156" s="1"/>
  <c r="L156" s="1"/>
  <c r="J159"/>
  <c r="K159" s="1"/>
  <c r="K153"/>
  <c r="J153" i="33"/>
  <c r="J152"/>
  <c r="K152" i="32"/>
  <c r="J151"/>
  <c r="K151" s="1"/>
  <c r="L151" s="1"/>
  <c r="J141" i="33"/>
  <c r="K141" i="32"/>
  <c r="L141" s="1"/>
  <c r="J140"/>
  <c r="K140" s="1"/>
  <c r="L140" s="1"/>
  <c r="J142" i="33"/>
  <c r="K142" i="32"/>
  <c r="L142" s="1"/>
  <c r="J75" i="33"/>
  <c r="J73" i="32"/>
  <c r="K73" s="1"/>
  <c r="K75"/>
  <c r="J146" i="33"/>
  <c r="K146" i="32"/>
  <c r="L146" s="1"/>
  <c r="K145" i="33"/>
  <c r="L145" s="1"/>
  <c r="J35" i="32"/>
  <c r="K35" s="1"/>
  <c r="L35" s="1"/>
  <c r="J36" i="33"/>
  <c r="O36" i="32"/>
  <c r="K36"/>
  <c r="L36" s="1"/>
  <c r="P92"/>
  <c r="J92" i="33"/>
  <c r="O148" i="32"/>
  <c r="K148"/>
  <c r="L148" s="1"/>
  <c r="O183"/>
  <c r="K183"/>
  <c r="L183" s="1"/>
  <c r="O190"/>
  <c r="K190"/>
  <c r="L190" s="1"/>
  <c r="O191"/>
  <c r="K191"/>
  <c r="L191" s="1"/>
  <c r="J220"/>
  <c r="P145"/>
  <c r="K145"/>
  <c r="L145" s="1"/>
  <c r="K147"/>
  <c r="L147" s="1"/>
  <c r="O193"/>
  <c r="K193"/>
  <c r="L193" s="1"/>
  <c r="K194" i="33"/>
  <c r="L194" s="1"/>
  <c r="K194" i="32"/>
  <c r="L194" s="1"/>
  <c r="J192"/>
  <c r="K192" s="1"/>
  <c r="L192" s="1"/>
  <c r="O150"/>
  <c r="K150"/>
  <c r="L150" s="1"/>
  <c r="K200" i="33"/>
  <c r="L200" s="1"/>
  <c r="O200" i="32"/>
  <c r="K200"/>
  <c r="L200" s="1"/>
  <c r="O90"/>
  <c r="K90"/>
  <c r="L90" s="1"/>
  <c r="K89"/>
  <c r="L89" s="1"/>
  <c r="O89"/>
  <c r="K91" i="33"/>
  <c r="L91" s="1"/>
  <c r="O91" i="32"/>
  <c r="K91"/>
  <c r="L91" s="1"/>
  <c r="K155"/>
  <c r="L155" s="1"/>
  <c r="J154"/>
  <c r="K155" i="33"/>
  <c r="L155" s="1"/>
  <c r="J154"/>
  <c r="K96"/>
  <c r="L96" s="1"/>
  <c r="J95"/>
  <c r="K96" i="32"/>
  <c r="L96" s="1"/>
  <c r="J95"/>
  <c r="O31"/>
  <c r="K31"/>
  <c r="J30"/>
  <c r="K31" i="33"/>
  <c r="J93"/>
  <c r="J93" i="32"/>
  <c r="O94"/>
  <c r="K94"/>
  <c r="L94" s="1"/>
  <c r="E213" i="33"/>
  <c r="G209"/>
  <c r="D213"/>
  <c r="P213" s="1"/>
  <c r="D209"/>
  <c r="P209" s="1"/>
  <c r="G205"/>
  <c r="F206"/>
  <c r="G110" i="32"/>
  <c r="F97"/>
  <c r="G138"/>
  <c r="F120" i="31"/>
  <c r="J120" s="1"/>
  <c r="J121"/>
  <c r="G149"/>
  <c r="J98" i="30"/>
  <c r="J87"/>
  <c r="J99" i="31"/>
  <c r="F99"/>
  <c r="H97" i="32" l="1"/>
  <c r="R120" i="33"/>
  <c r="S120" i="32"/>
  <c r="J120"/>
  <c r="U164" i="41"/>
  <c r="U163" i="42"/>
  <c r="U163" i="40"/>
  <c r="U163" i="38"/>
  <c r="U162" i="37"/>
  <c r="U164" i="39"/>
  <c r="U159" i="35"/>
  <c r="J157" i="34"/>
  <c r="U160" i="36"/>
  <c r="R157" i="34"/>
  <c r="K164" i="33"/>
  <c r="U170" i="42"/>
  <c r="U171" i="41"/>
  <c r="U170" i="40"/>
  <c r="U169" i="37"/>
  <c r="U171" i="39"/>
  <c r="U170" i="38"/>
  <c r="U167" i="36"/>
  <c r="J164" i="34"/>
  <c r="U166" i="35"/>
  <c r="R164" i="34"/>
  <c r="U172" i="42"/>
  <c r="U173" i="41"/>
  <c r="U172" i="40"/>
  <c r="U173" i="39"/>
  <c r="U171" i="37"/>
  <c r="U172" i="38"/>
  <c r="U169" i="36"/>
  <c r="U168" i="35"/>
  <c r="J166" i="34"/>
  <c r="R166"/>
  <c r="K174" i="33"/>
  <c r="U180" i="42"/>
  <c r="U181" i="41"/>
  <c r="U180" i="40"/>
  <c r="U180" i="38"/>
  <c r="U181" i="39"/>
  <c r="U179" i="37"/>
  <c r="R174" i="34"/>
  <c r="U177" i="36"/>
  <c r="J174" i="34"/>
  <c r="U176" i="35"/>
  <c r="U210" i="41"/>
  <c r="U209" i="40"/>
  <c r="U209" i="42"/>
  <c r="U210" i="39"/>
  <c r="T157" i="42"/>
  <c r="T158" i="41"/>
  <c r="T157" i="40"/>
  <c r="T158" i="39"/>
  <c r="T156" i="37"/>
  <c r="T157" i="38"/>
  <c r="T154" i="36"/>
  <c r="I151" i="34"/>
  <c r="I153" i="35" s="1"/>
  <c r="I154" i="36" s="1"/>
  <c r="I156" i="37" s="1"/>
  <c r="Q151" i="34"/>
  <c r="T153" i="35"/>
  <c r="T214" i="41"/>
  <c r="T213" i="42"/>
  <c r="T213" i="40"/>
  <c r="T214" i="39"/>
  <c r="T212" i="37"/>
  <c r="T213" i="38"/>
  <c r="T208" i="35"/>
  <c r="Q206" i="34"/>
  <c r="I206"/>
  <c r="I208" i="35" s="1"/>
  <c r="I210" i="36" s="1"/>
  <c r="I212" i="37" s="1"/>
  <c r="T210" i="36"/>
  <c r="I93" i="33"/>
  <c r="T94" i="42"/>
  <c r="T94" i="41"/>
  <c r="T94" i="40"/>
  <c r="T94" i="39"/>
  <c r="T94" i="38"/>
  <c r="T94" i="37"/>
  <c r="T94" i="35"/>
  <c r="I94" i="34"/>
  <c r="T94" i="36"/>
  <c r="Q94" i="34"/>
  <c r="T133" i="42"/>
  <c r="T133" i="41"/>
  <c r="T133" i="40"/>
  <c r="T133" i="38"/>
  <c r="T133" i="39"/>
  <c r="T133" i="37"/>
  <c r="T133" i="35"/>
  <c r="Q133" i="34"/>
  <c r="I133"/>
  <c r="T133" i="36"/>
  <c r="H210" i="34"/>
  <c r="H212" i="33"/>
  <c r="H211" s="1"/>
  <c r="H171"/>
  <c r="H169" i="34"/>
  <c r="H102" i="41"/>
  <c r="H102" i="42"/>
  <c r="H78" i="34"/>
  <c r="H80" i="33"/>
  <c r="H63" i="34"/>
  <c r="H65" i="33"/>
  <c r="H50" i="34"/>
  <c r="H48" i="35"/>
  <c r="H118" i="37"/>
  <c r="H54" i="34"/>
  <c r="H51" i="33"/>
  <c r="O201" i="40"/>
  <c r="P201" s="1"/>
  <c r="H202" i="41"/>
  <c r="O202" s="1"/>
  <c r="P202" s="1"/>
  <c r="T206"/>
  <c r="T205" i="40"/>
  <c r="T205" i="42"/>
  <c r="T204" i="37"/>
  <c r="T206" i="39"/>
  <c r="T205" i="38"/>
  <c r="T201" i="35"/>
  <c r="Q199" i="34"/>
  <c r="I199"/>
  <c r="I201" i="35" s="1"/>
  <c r="I202" i="36" s="1"/>
  <c r="I204" i="37" s="1"/>
  <c r="T202" i="36"/>
  <c r="H192" i="39"/>
  <c r="O192" s="1"/>
  <c r="P192" s="1"/>
  <c r="H191" i="38"/>
  <c r="H133" i="42"/>
  <c r="H133" i="40"/>
  <c r="H133" i="41" s="1"/>
  <c r="H82" i="42"/>
  <c r="H82" i="41"/>
  <c r="H82" i="40"/>
  <c r="T72" i="42"/>
  <c r="T72" i="41"/>
  <c r="T72" i="40"/>
  <c r="T72" i="39"/>
  <c r="T72" i="37"/>
  <c r="T72" i="38"/>
  <c r="Q72" i="34"/>
  <c r="I72"/>
  <c r="I72" i="35" s="1"/>
  <c r="I72" i="36" s="1"/>
  <c r="I72" i="37" s="1"/>
  <c r="T72" i="36"/>
  <c r="T72" i="35"/>
  <c r="U12" i="42"/>
  <c r="U12" i="41"/>
  <c r="U12" i="40"/>
  <c r="U12" i="38"/>
  <c r="U12" i="39"/>
  <c r="U12" i="37"/>
  <c r="U12" i="36"/>
  <c r="J12" i="34"/>
  <c r="R12"/>
  <c r="U12" i="35"/>
  <c r="J11" i="33"/>
  <c r="K12"/>
  <c r="J14"/>
  <c r="U32" i="42"/>
  <c r="U32" i="40"/>
  <c r="U32" i="41"/>
  <c r="U32" i="38"/>
  <c r="U32" i="39"/>
  <c r="U32" i="37"/>
  <c r="U32" i="36"/>
  <c r="J32" i="34"/>
  <c r="J30" s="1"/>
  <c r="K30" s="1"/>
  <c r="L30" s="1"/>
  <c r="R32"/>
  <c r="U32" i="35"/>
  <c r="K32" i="33"/>
  <c r="H144"/>
  <c r="H142" i="34"/>
  <c r="H144" s="1"/>
  <c r="H144" i="35" s="1"/>
  <c r="T119" i="42"/>
  <c r="T119" i="40"/>
  <c r="T119" i="41"/>
  <c r="T119" i="39"/>
  <c r="T119" i="38"/>
  <c r="T119" i="37"/>
  <c r="Q119" i="34"/>
  <c r="I119"/>
  <c r="I119" i="35" s="1"/>
  <c r="I119" i="36" s="1"/>
  <c r="I119" i="37" s="1"/>
  <c r="T119" i="36"/>
  <c r="T119" i="35"/>
  <c r="K143" i="33"/>
  <c r="U149" i="42"/>
  <c r="U150" i="41"/>
  <c r="U149" i="40"/>
  <c r="U149" i="38"/>
  <c r="U150" i="39"/>
  <c r="U148" i="37"/>
  <c r="U145" i="35"/>
  <c r="R143" i="34"/>
  <c r="J143"/>
  <c r="U146" i="36"/>
  <c r="K16" i="33"/>
  <c r="U16" i="42"/>
  <c r="U16" i="41"/>
  <c r="U16" i="40"/>
  <c r="U16" i="38"/>
  <c r="U16" i="39"/>
  <c r="U16" i="37"/>
  <c r="U16" i="36"/>
  <c r="R16" i="34"/>
  <c r="J16"/>
  <c r="U16" i="35"/>
  <c r="K63" i="33"/>
  <c r="U63" i="42"/>
  <c r="U63" i="41"/>
  <c r="U63" i="40"/>
  <c r="U63" i="39"/>
  <c r="U63" i="38"/>
  <c r="U63" i="37"/>
  <c r="U63" i="36"/>
  <c r="R63" i="34"/>
  <c r="J65" i="33"/>
  <c r="U63" i="35"/>
  <c r="J63" i="34"/>
  <c r="T125" i="42"/>
  <c r="T125" i="41"/>
  <c r="T125" i="40"/>
  <c r="T125" i="38"/>
  <c r="T125" i="37"/>
  <c r="T125" i="39"/>
  <c r="T125" i="36"/>
  <c r="T125" i="35"/>
  <c r="Q125" i="34"/>
  <c r="I125"/>
  <c r="I125" i="35" s="1"/>
  <c r="I125" i="36" s="1"/>
  <c r="I125" i="37" s="1"/>
  <c r="T90" i="42"/>
  <c r="T90" i="41"/>
  <c r="T90" i="40"/>
  <c r="T90" i="39"/>
  <c r="T90" i="37"/>
  <c r="T90" i="38"/>
  <c r="T90" i="35"/>
  <c r="T90" i="36"/>
  <c r="I90" i="34"/>
  <c r="I90" i="35" s="1"/>
  <c r="I90" i="36" s="1"/>
  <c r="I90" i="37" s="1"/>
  <c r="Q90" i="34"/>
  <c r="J196" i="35"/>
  <c r="T30" i="41"/>
  <c r="T30" i="42"/>
  <c r="T30" i="40"/>
  <c r="T30" i="38"/>
  <c r="T30" i="39"/>
  <c r="T30" i="37"/>
  <c r="T30" i="36"/>
  <c r="I30" i="34"/>
  <c r="I30" i="35" s="1"/>
  <c r="I30" i="36" s="1"/>
  <c r="I30" i="37" s="1"/>
  <c r="Q30" i="34"/>
  <c r="T30" i="35"/>
  <c r="T196" i="42"/>
  <c r="T197" i="41"/>
  <c r="T196" i="40"/>
  <c r="T197" i="39"/>
  <c r="T196" i="38"/>
  <c r="T195" i="37"/>
  <c r="T192" i="35"/>
  <c r="I190" i="34"/>
  <c r="I192" i="35" s="1"/>
  <c r="I193" i="36" s="1"/>
  <c r="I195" i="37" s="1"/>
  <c r="T193" i="36"/>
  <c r="Q190" i="34"/>
  <c r="K190" i="33"/>
  <c r="L190" s="1"/>
  <c r="K13"/>
  <c r="U13" i="42"/>
  <c r="U13" i="41"/>
  <c r="U13" i="40"/>
  <c r="U13" i="39"/>
  <c r="U13" i="38"/>
  <c r="U13" i="37"/>
  <c r="U13" i="36"/>
  <c r="J13" i="34"/>
  <c r="U13" i="35"/>
  <c r="R13" i="34"/>
  <c r="U123" i="42"/>
  <c r="U123" i="40"/>
  <c r="U123" i="41"/>
  <c r="U123" i="39"/>
  <c r="U123" i="37"/>
  <c r="U123" i="38"/>
  <c r="R123" i="34"/>
  <c r="U123" i="36"/>
  <c r="U123" i="35"/>
  <c r="J123" i="34"/>
  <c r="J123" i="35" s="1"/>
  <c r="K123" i="33"/>
  <c r="L123" s="1"/>
  <c r="H154"/>
  <c r="H155" i="34"/>
  <c r="H76"/>
  <c r="H74" i="33"/>
  <c r="H46" i="41"/>
  <c r="O46" s="1"/>
  <c r="P46" s="1"/>
  <c r="H46" i="42"/>
  <c r="O46" s="1"/>
  <c r="P46" s="1"/>
  <c r="O46" i="40"/>
  <c r="P46" s="1"/>
  <c r="R121" i="33"/>
  <c r="J121" i="32"/>
  <c r="S121"/>
  <c r="U36" i="42"/>
  <c r="U36" i="40"/>
  <c r="U36" i="41"/>
  <c r="U36" i="39"/>
  <c r="U36" i="38"/>
  <c r="U36" i="37"/>
  <c r="U36" i="36"/>
  <c r="J36" i="34"/>
  <c r="R36"/>
  <c r="U36" i="35"/>
  <c r="K146" i="33"/>
  <c r="L146" s="1"/>
  <c r="U152" i="42"/>
  <c r="U153" i="41"/>
  <c r="U152" i="40"/>
  <c r="U153" i="39"/>
  <c r="U152" i="38"/>
  <c r="U151" i="37"/>
  <c r="U149" i="36"/>
  <c r="J146" i="34"/>
  <c r="R146"/>
  <c r="U148" i="35"/>
  <c r="U147" i="42"/>
  <c r="U147" i="40"/>
  <c r="U148" i="41"/>
  <c r="U148" i="39"/>
  <c r="U147" i="38"/>
  <c r="U146" i="37"/>
  <c r="U143" i="35"/>
  <c r="J141" i="34"/>
  <c r="U144" i="36"/>
  <c r="R141" i="34"/>
  <c r="K161" i="33"/>
  <c r="U167" i="42"/>
  <c r="U168" i="41"/>
  <c r="U167" i="40"/>
  <c r="U168" i="39"/>
  <c r="U166" i="37"/>
  <c r="U167" i="38"/>
  <c r="U164" i="36"/>
  <c r="U163" i="35"/>
  <c r="J161" i="34"/>
  <c r="R161"/>
  <c r="U186" i="42"/>
  <c r="U187" i="41"/>
  <c r="U186" i="40"/>
  <c r="U187" i="39"/>
  <c r="U186" i="38"/>
  <c r="U185" i="37"/>
  <c r="U183" i="36"/>
  <c r="U182" i="35"/>
  <c r="R180" i="34"/>
  <c r="J180"/>
  <c r="K189" i="33"/>
  <c r="U195" i="42"/>
  <c r="U196" i="41"/>
  <c r="U195" i="40"/>
  <c r="U196" i="39"/>
  <c r="U194" i="37"/>
  <c r="U195" i="38"/>
  <c r="J189" i="34"/>
  <c r="R189"/>
  <c r="U192" i="36"/>
  <c r="U191" i="35"/>
  <c r="K198" i="33"/>
  <c r="L198" s="1"/>
  <c r="U204" i="42"/>
  <c r="U204" i="40"/>
  <c r="U205" i="41"/>
  <c r="U205" i="39"/>
  <c r="U203" i="37"/>
  <c r="U204" i="38"/>
  <c r="J198" i="34"/>
  <c r="U200" i="35"/>
  <c r="U201" i="36"/>
  <c r="R198" i="34"/>
  <c r="H206" i="38"/>
  <c r="H207" i="39"/>
  <c r="K127" i="33"/>
  <c r="L127" s="1"/>
  <c r="U127" i="42"/>
  <c r="U127" i="41"/>
  <c r="U127" i="40"/>
  <c r="U127" i="39"/>
  <c r="U127" i="38"/>
  <c r="U127" i="37"/>
  <c r="U127" i="36"/>
  <c r="J127" i="34"/>
  <c r="R127"/>
  <c r="U127" i="35"/>
  <c r="U126" i="42"/>
  <c r="U126" i="41"/>
  <c r="U126" i="40"/>
  <c r="U126" i="39"/>
  <c r="U126" i="38"/>
  <c r="U126" i="37"/>
  <c r="U126" i="36"/>
  <c r="J126" i="34"/>
  <c r="U126" i="35"/>
  <c r="R126" i="34"/>
  <c r="K126" i="33"/>
  <c r="L126" s="1"/>
  <c r="U76" i="41"/>
  <c r="U76" i="42"/>
  <c r="U76" i="40"/>
  <c r="U76" i="39"/>
  <c r="U76" i="37"/>
  <c r="U76" i="38"/>
  <c r="J76" i="34"/>
  <c r="R76"/>
  <c r="U76" i="35"/>
  <c r="U76" i="36"/>
  <c r="J74" i="33"/>
  <c r="K76"/>
  <c r="U116" i="42"/>
  <c r="U116" i="41"/>
  <c r="U116" i="40"/>
  <c r="U116" i="38"/>
  <c r="U116" i="39"/>
  <c r="U116" i="37"/>
  <c r="U116" i="36"/>
  <c r="U116" i="35"/>
  <c r="R116" i="34"/>
  <c r="J116"/>
  <c r="K116" i="33"/>
  <c r="J115"/>
  <c r="U79" i="42"/>
  <c r="U79" i="41"/>
  <c r="U79" i="40"/>
  <c r="U79" i="39"/>
  <c r="U79" i="38"/>
  <c r="U79" i="37"/>
  <c r="U79" i="36"/>
  <c r="U79" i="35"/>
  <c r="R79" i="34"/>
  <c r="J79"/>
  <c r="K79" i="33"/>
  <c r="K25"/>
  <c r="U25" i="42"/>
  <c r="U25" i="41"/>
  <c r="U25" i="40"/>
  <c r="U25" i="38"/>
  <c r="U25" i="37"/>
  <c r="U25" i="39"/>
  <c r="U25" i="36"/>
  <c r="U25" i="35"/>
  <c r="J25" i="34"/>
  <c r="R25"/>
  <c r="K190"/>
  <c r="L190" s="1"/>
  <c r="J192" i="35"/>
  <c r="J195"/>
  <c r="J192" i="34"/>
  <c r="K193"/>
  <c r="L193" s="1"/>
  <c r="H134" i="42"/>
  <c r="H134" i="40"/>
  <c r="H90" i="41"/>
  <c r="O90" s="1"/>
  <c r="P90" s="1"/>
  <c r="H90" i="42"/>
  <c r="O90" s="1"/>
  <c r="P90" s="1"/>
  <c r="O90" i="40"/>
  <c r="P90" s="1"/>
  <c r="H42" i="35"/>
  <c r="H160"/>
  <c r="H161" i="36" s="1"/>
  <c r="H163" i="37" s="1"/>
  <c r="H162" i="34"/>
  <c r="H162" i="35" s="1"/>
  <c r="H128" i="42"/>
  <c r="H128" i="40"/>
  <c r="H128" i="41" s="1"/>
  <c r="H25" i="39"/>
  <c r="H25" i="38"/>
  <c r="H25" i="40" s="1"/>
  <c r="O108"/>
  <c r="P108" s="1"/>
  <c r="I87" i="33"/>
  <c r="T88" i="42"/>
  <c r="T88" i="41"/>
  <c r="T88" i="40"/>
  <c r="T88" i="39"/>
  <c r="T88" i="38"/>
  <c r="T88" i="37"/>
  <c r="T88" i="35"/>
  <c r="Q88" i="34"/>
  <c r="T88" i="36"/>
  <c r="I88" i="34"/>
  <c r="K64" i="33"/>
  <c r="U64" i="41"/>
  <c r="U64" i="42"/>
  <c r="U64" i="40"/>
  <c r="U64" i="39"/>
  <c r="U64" i="37"/>
  <c r="U64" i="38"/>
  <c r="U64" i="36"/>
  <c r="R64" i="34"/>
  <c r="U64" i="35"/>
  <c r="J64" i="34"/>
  <c r="I97" i="32"/>
  <c r="Q97" i="33" s="1"/>
  <c r="Q110"/>
  <c r="J90" i="35"/>
  <c r="H190" i="39"/>
  <c r="H189" i="38"/>
  <c r="H131" i="42"/>
  <c r="H131" i="40"/>
  <c r="H131" i="41" s="1"/>
  <c r="H123"/>
  <c r="H123" i="42"/>
  <c r="H103" i="41"/>
  <c r="H103" i="42"/>
  <c r="H91" i="41"/>
  <c r="O91" s="1"/>
  <c r="P91" s="1"/>
  <c r="H91" i="42"/>
  <c r="O91" s="1"/>
  <c r="P91" s="1"/>
  <c r="O91" i="40"/>
  <c r="P91" s="1"/>
  <c r="H79" i="42"/>
  <c r="H79" i="41"/>
  <c r="H79" i="40"/>
  <c r="H49" i="39"/>
  <c r="O49" s="1"/>
  <c r="P49" s="1"/>
  <c r="H49" i="38"/>
  <c r="H49" i="40" s="1"/>
  <c r="H35" i="33"/>
  <c r="H36" i="34"/>
  <c r="H24" i="35"/>
  <c r="H26" i="34"/>
  <c r="I140" i="33"/>
  <c r="T147" i="42"/>
  <c r="T148" i="41"/>
  <c r="T147" i="40"/>
  <c r="T148" i="39"/>
  <c r="T146" i="37"/>
  <c r="T147" i="38"/>
  <c r="T144" i="36"/>
  <c r="Q141" i="34"/>
  <c r="I141"/>
  <c r="T143" i="35"/>
  <c r="K43" i="33"/>
  <c r="U43" i="42"/>
  <c r="U43" i="41"/>
  <c r="U43" i="40"/>
  <c r="U43" i="39"/>
  <c r="U43" i="37"/>
  <c r="U43" i="38"/>
  <c r="U43" i="36"/>
  <c r="U43" i="35"/>
  <c r="J43" i="34"/>
  <c r="R43"/>
  <c r="U105" i="42"/>
  <c r="U105" i="41"/>
  <c r="U105" i="40"/>
  <c r="U105" i="38"/>
  <c r="U105" i="37"/>
  <c r="U105" i="39"/>
  <c r="U105" i="36"/>
  <c r="R105" i="34"/>
  <c r="J105"/>
  <c r="U105" i="35"/>
  <c r="K105" i="33"/>
  <c r="L105" s="1"/>
  <c r="J104"/>
  <c r="T134" i="42"/>
  <c r="T134" i="40"/>
  <c r="T134" i="41"/>
  <c r="T134" i="39"/>
  <c r="T134" i="38"/>
  <c r="T134" i="37"/>
  <c r="T134" i="35"/>
  <c r="Q134" i="34"/>
  <c r="I134"/>
  <c r="I134" i="35" s="1"/>
  <c r="I134" i="36" s="1"/>
  <c r="I134" i="37" s="1"/>
  <c r="T134" i="36"/>
  <c r="I10" i="32"/>
  <c r="Q35" i="33"/>
  <c r="T99" i="42"/>
  <c r="T99" i="41"/>
  <c r="T99" i="40"/>
  <c r="T99" i="39"/>
  <c r="T99" i="38"/>
  <c r="T99" i="37"/>
  <c r="T99" i="36"/>
  <c r="T99" i="35"/>
  <c r="Q99" i="34"/>
  <c r="I99"/>
  <c r="I99" i="35" s="1"/>
  <c r="I99" i="36" s="1"/>
  <c r="I99" i="37" s="1"/>
  <c r="T11" i="42"/>
  <c r="T11" i="41"/>
  <c r="T11" i="40"/>
  <c r="T11" i="39"/>
  <c r="T11" i="38"/>
  <c r="T11" i="37"/>
  <c r="Q11" i="34"/>
  <c r="T11" i="36"/>
  <c r="I11" i="34"/>
  <c r="I11" i="35" s="1"/>
  <c r="T11"/>
  <c r="T123" i="42"/>
  <c r="T123" i="40"/>
  <c r="T123" i="41"/>
  <c r="T123" i="39"/>
  <c r="T123" i="38"/>
  <c r="T123" i="37"/>
  <c r="T123" i="36"/>
  <c r="T123" i="35"/>
  <c r="I123" i="34"/>
  <c r="Q123"/>
  <c r="T148" i="42"/>
  <c r="T149" i="41"/>
  <c r="T148" i="40"/>
  <c r="T149" i="39"/>
  <c r="T147" i="37"/>
  <c r="T148" i="38"/>
  <c r="Q142" i="34"/>
  <c r="I142"/>
  <c r="T145" i="36"/>
  <c r="T144" i="35"/>
  <c r="U67" i="42"/>
  <c r="U67" i="41"/>
  <c r="U67" i="40"/>
  <c r="U67" i="39"/>
  <c r="U67" i="38"/>
  <c r="U67" i="37"/>
  <c r="U67" i="36"/>
  <c r="U67" i="35"/>
  <c r="J67" i="34"/>
  <c r="R67"/>
  <c r="K67" i="33"/>
  <c r="U34" i="42"/>
  <c r="U34" i="41"/>
  <c r="U34" i="40"/>
  <c r="U34" i="39"/>
  <c r="U34" i="38"/>
  <c r="U34" i="37"/>
  <c r="U34" i="36"/>
  <c r="R34" i="34"/>
  <c r="J34"/>
  <c r="U34" i="35"/>
  <c r="K34" i="33"/>
  <c r="H132" i="38"/>
  <c r="H132" i="39"/>
  <c r="H109" i="41"/>
  <c r="O109" s="1"/>
  <c r="P109" s="1"/>
  <c r="H109" i="42"/>
  <c r="O109" s="1"/>
  <c r="P109" s="1"/>
  <c r="O109" i="40"/>
  <c r="P109" s="1"/>
  <c r="H88" i="34"/>
  <c r="H87" i="33"/>
  <c r="H219"/>
  <c r="H218"/>
  <c r="I221" s="1"/>
  <c r="I225" s="1"/>
  <c r="H62"/>
  <c r="H60" i="34"/>
  <c r="H32" i="42"/>
  <c r="O32" s="1"/>
  <c r="P32" s="1"/>
  <c r="H32" i="41"/>
  <c r="O32" s="1"/>
  <c r="P32" s="1"/>
  <c r="O32" i="40"/>
  <c r="P32" s="1"/>
  <c r="K60" i="33"/>
  <c r="U60" i="42"/>
  <c r="U60" i="40"/>
  <c r="U60" i="41"/>
  <c r="U60" i="38"/>
  <c r="U60" i="39"/>
  <c r="U60" i="37"/>
  <c r="J60" i="34"/>
  <c r="U60" i="36"/>
  <c r="J62" i="33"/>
  <c r="R60" i="34"/>
  <c r="U60" i="35"/>
  <c r="U28" i="42"/>
  <c r="U28" i="41"/>
  <c r="U28" i="40"/>
  <c r="U28" i="38"/>
  <c r="U28" i="37"/>
  <c r="U28" i="39"/>
  <c r="U28" i="35"/>
  <c r="R28" i="34"/>
  <c r="J28"/>
  <c r="U28" i="36"/>
  <c r="K28" i="33"/>
  <c r="K117"/>
  <c r="U117" i="42"/>
  <c r="U117" i="41"/>
  <c r="U117" i="40"/>
  <c r="U117" i="39"/>
  <c r="U117" i="38"/>
  <c r="U117" i="37"/>
  <c r="U117" i="35"/>
  <c r="U117" i="36"/>
  <c r="J117" i="34"/>
  <c r="R117"/>
  <c r="K69" i="33"/>
  <c r="U69" i="42"/>
  <c r="U69" i="41"/>
  <c r="U69" i="40"/>
  <c r="U69" i="39"/>
  <c r="U69" i="37"/>
  <c r="U69" i="38"/>
  <c r="R69" i="34"/>
  <c r="J71" i="33"/>
  <c r="U69" i="36"/>
  <c r="J69" i="34"/>
  <c r="U69" i="35"/>
  <c r="T217" i="42"/>
  <c r="T218" i="41"/>
  <c r="T217" i="40"/>
  <c r="T218" i="39"/>
  <c r="T216" i="37"/>
  <c r="T217" i="38"/>
  <c r="T212" i="35"/>
  <c r="Q210" i="34"/>
  <c r="I210"/>
  <c r="T214" i="36"/>
  <c r="I212" i="33"/>
  <c r="H215" i="42"/>
  <c r="O215" s="1"/>
  <c r="P215" s="1"/>
  <c r="H215" i="40"/>
  <c r="H216" i="41" s="1"/>
  <c r="H193" i="34"/>
  <c r="H192" i="33"/>
  <c r="H119"/>
  <c r="H120" i="34"/>
  <c r="H101" i="39"/>
  <c r="H101" i="38"/>
  <c r="H101" i="40" s="1"/>
  <c r="U160" i="42"/>
  <c r="U160" i="40"/>
  <c r="U161" i="41"/>
  <c r="U159" i="37"/>
  <c r="U160" i="38"/>
  <c r="R154" i="34"/>
  <c r="U161" i="39"/>
  <c r="U156" i="35"/>
  <c r="U157" i="36"/>
  <c r="U75" i="42"/>
  <c r="U75" i="40"/>
  <c r="U75" i="41"/>
  <c r="U75" i="38"/>
  <c r="U75" i="37"/>
  <c r="U75" i="39"/>
  <c r="J75" i="34"/>
  <c r="R75"/>
  <c r="U75" i="36"/>
  <c r="U75" i="35"/>
  <c r="U159" i="41"/>
  <c r="U158" i="42"/>
  <c r="U158" i="40"/>
  <c r="U159" i="39"/>
  <c r="U158" i="38"/>
  <c r="U157" i="37"/>
  <c r="J152" i="34"/>
  <c r="R152"/>
  <c r="U155" i="36"/>
  <c r="U154" i="35"/>
  <c r="K170" i="33"/>
  <c r="U176" i="42"/>
  <c r="U176" i="40"/>
  <c r="U177" i="41"/>
  <c r="U177" i="39"/>
  <c r="U175" i="37"/>
  <c r="U176" i="38"/>
  <c r="U172" i="35"/>
  <c r="J170" i="34"/>
  <c r="R170"/>
  <c r="U173" i="36"/>
  <c r="U176" i="41"/>
  <c r="U175" i="42"/>
  <c r="U175" i="40"/>
  <c r="U174" i="37"/>
  <c r="U175" i="38"/>
  <c r="U176" i="39"/>
  <c r="U171" i="35"/>
  <c r="U172" i="36"/>
  <c r="J169" i="34"/>
  <c r="R169"/>
  <c r="K175" i="33"/>
  <c r="U182" i="41"/>
  <c r="U181" i="42"/>
  <c r="U181" i="40"/>
  <c r="U182" i="39"/>
  <c r="U181" i="38"/>
  <c r="U180" i="37"/>
  <c r="U178" i="36"/>
  <c r="U177" i="35"/>
  <c r="R175" i="34"/>
  <c r="J175"/>
  <c r="K182" i="33"/>
  <c r="L182" s="1"/>
  <c r="U188" i="42"/>
  <c r="U189" i="41"/>
  <c r="U188" i="40"/>
  <c r="U188" i="38"/>
  <c r="U187" i="37"/>
  <c r="U189" i="39"/>
  <c r="U185" i="36"/>
  <c r="U184" i="35"/>
  <c r="J182" i="34"/>
  <c r="R182"/>
  <c r="U211" i="41"/>
  <c r="U210" i="42"/>
  <c r="U210" i="40"/>
  <c r="U211" i="39"/>
  <c r="U207" i="42"/>
  <c r="U208" i="41"/>
  <c r="U207" i="40"/>
  <c r="U208" i="39"/>
  <c r="K196" i="33"/>
  <c r="L196" s="1"/>
  <c r="U202" i="42"/>
  <c r="U203" i="41"/>
  <c r="U202" i="40"/>
  <c r="U201" i="37"/>
  <c r="U202" i="38"/>
  <c r="U203" i="39"/>
  <c r="U198" i="35"/>
  <c r="R196" i="34"/>
  <c r="U199" i="36"/>
  <c r="J196" i="34"/>
  <c r="T130" i="41"/>
  <c r="T130" i="40"/>
  <c r="T130" i="42"/>
  <c r="T130" i="38"/>
  <c r="T130" i="39"/>
  <c r="T130" i="37"/>
  <c r="T130" i="35"/>
  <c r="I130" i="34"/>
  <c r="I130" i="35" s="1"/>
  <c r="I130" i="36" s="1"/>
  <c r="T130"/>
  <c r="Q130" i="34"/>
  <c r="T203" i="42"/>
  <c r="T204" i="41"/>
  <c r="T203" i="40"/>
  <c r="T202" i="37"/>
  <c r="T203" i="38"/>
  <c r="T204" i="39"/>
  <c r="T199" i="35"/>
  <c r="I197" i="34"/>
  <c r="Q197"/>
  <c r="T200" i="36"/>
  <c r="U58" i="42"/>
  <c r="U58" i="41"/>
  <c r="U58" i="40"/>
  <c r="U58" i="38"/>
  <c r="U58" i="39"/>
  <c r="U58" i="37"/>
  <c r="U58" i="36"/>
  <c r="R58" i="34"/>
  <c r="J58"/>
  <c r="U58" i="35"/>
  <c r="K58" i="33"/>
  <c r="U137" i="42"/>
  <c r="U137" i="41"/>
  <c r="U137" i="40"/>
  <c r="U137" i="39"/>
  <c r="U137" i="37"/>
  <c r="U137" i="38"/>
  <c r="U137" i="36"/>
  <c r="R137" i="34"/>
  <c r="U137" i="35"/>
  <c r="J137" i="34"/>
  <c r="K137" i="33"/>
  <c r="L137" s="1"/>
  <c r="T126" i="41"/>
  <c r="T126" i="42"/>
  <c r="T126" i="40"/>
  <c r="T126" i="39"/>
  <c r="T126" i="38"/>
  <c r="T126" i="37"/>
  <c r="T126" i="36"/>
  <c r="T126" i="35"/>
  <c r="Q126" i="34"/>
  <c r="I126"/>
  <c r="I126" i="35" s="1"/>
  <c r="I126" i="36" s="1"/>
  <c r="I126" i="37" s="1"/>
  <c r="T200" i="41"/>
  <c r="T199" i="42"/>
  <c r="T199" i="40"/>
  <c r="T198" i="37"/>
  <c r="T200" i="39"/>
  <c r="T199" i="38"/>
  <c r="T195" i="35"/>
  <c r="T196" i="36"/>
  <c r="I193" i="34"/>
  <c r="Q193"/>
  <c r="T178" i="42"/>
  <c r="T179" i="41"/>
  <c r="T178" i="40"/>
  <c r="T179" i="39"/>
  <c r="T178" i="38"/>
  <c r="T177" i="37"/>
  <c r="I172" i="34"/>
  <c r="I174" i="35" s="1"/>
  <c r="I175" i="36" s="1"/>
  <c r="I177" i="37" s="1"/>
  <c r="T175" i="36"/>
  <c r="T174" i="35"/>
  <c r="Q172" i="34"/>
  <c r="T96" i="42"/>
  <c r="T96" i="40"/>
  <c r="T96" i="41"/>
  <c r="T96" i="38"/>
  <c r="T96" i="37"/>
  <c r="T96" i="39"/>
  <c r="Q96" i="34"/>
  <c r="I96"/>
  <c r="T96" i="36"/>
  <c r="T96" i="35"/>
  <c r="I95" i="33"/>
  <c r="T135" i="42"/>
  <c r="T135" i="40"/>
  <c r="T135" i="41"/>
  <c r="T135" i="38"/>
  <c r="T135" i="39"/>
  <c r="T135" i="37"/>
  <c r="I135" i="34"/>
  <c r="I135" i="35" s="1"/>
  <c r="T135"/>
  <c r="Q135" i="34"/>
  <c r="T135" i="36"/>
  <c r="T187" i="41"/>
  <c r="T186" i="42"/>
  <c r="T186" i="40"/>
  <c r="T187" i="39"/>
  <c r="T186" i="38"/>
  <c r="T185" i="37"/>
  <c r="I180" i="34"/>
  <c r="T182" i="35"/>
  <c r="T183" i="36"/>
  <c r="Q180" i="34"/>
  <c r="I179" i="33"/>
  <c r="J93" i="34"/>
  <c r="J94" i="35"/>
  <c r="K94" i="34"/>
  <c r="L94" s="1"/>
  <c r="U49" i="41"/>
  <c r="U49" i="42"/>
  <c r="U49" i="40"/>
  <c r="U49" i="39"/>
  <c r="U49" i="37"/>
  <c r="U49" i="38"/>
  <c r="U49" i="36"/>
  <c r="R49" i="34"/>
  <c r="J49"/>
  <c r="U49" i="35"/>
  <c r="K49" i="33"/>
  <c r="U19" i="42"/>
  <c r="U19" i="41"/>
  <c r="U19" i="40"/>
  <c r="U19" i="38"/>
  <c r="U19" i="39"/>
  <c r="U19" i="37"/>
  <c r="U19" i="36"/>
  <c r="J19" i="34"/>
  <c r="U19" i="35"/>
  <c r="R19" i="34"/>
  <c r="K19" i="33"/>
  <c r="H178" i="34"/>
  <c r="H177" i="33"/>
  <c r="H165"/>
  <c r="H163" i="34"/>
  <c r="H141"/>
  <c r="H140" i="33"/>
  <c r="H107" i="42"/>
  <c r="H107" i="41"/>
  <c r="H84" i="34"/>
  <c r="H86" i="33"/>
  <c r="H69" i="34"/>
  <c r="H71" i="33"/>
  <c r="H57" i="34"/>
  <c r="H59" i="33"/>
  <c r="H29"/>
  <c r="H28" i="34"/>
  <c r="H16" i="38"/>
  <c r="H16" i="40" s="1"/>
  <c r="H16" i="39"/>
  <c r="O16" s="1"/>
  <c r="P16" s="1"/>
  <c r="H210" i="42"/>
  <c r="H210" i="40"/>
  <c r="H211" i="41" s="1"/>
  <c r="H105" i="35"/>
  <c r="H104" i="34"/>
  <c r="H92" i="41"/>
  <c r="O92" s="1"/>
  <c r="P92" s="1"/>
  <c r="H92" i="42"/>
  <c r="O92" s="1"/>
  <c r="P92" s="1"/>
  <c r="O92" i="40"/>
  <c r="P92" s="1"/>
  <c r="H37" i="32"/>
  <c r="H53"/>
  <c r="H40" i="33"/>
  <c r="H38" i="34"/>
  <c r="H37" i="33"/>
  <c r="K107"/>
  <c r="L107" s="1"/>
  <c r="U107" i="42"/>
  <c r="U107" i="41"/>
  <c r="U107" i="40"/>
  <c r="U107" i="38"/>
  <c r="U107" i="39"/>
  <c r="U107" i="37"/>
  <c r="U107" i="36"/>
  <c r="U107" i="35"/>
  <c r="R107" i="34"/>
  <c r="J107"/>
  <c r="K45" i="33"/>
  <c r="U45" i="42"/>
  <c r="U45" i="41"/>
  <c r="U45" i="40"/>
  <c r="U45" i="39"/>
  <c r="U45" i="38"/>
  <c r="U45" i="37"/>
  <c r="R45" i="34"/>
  <c r="U45" i="36"/>
  <c r="J45" i="34"/>
  <c r="U45" i="35"/>
  <c r="J47" i="33"/>
  <c r="J220" i="34"/>
  <c r="J147" i="35"/>
  <c r="K145" i="34"/>
  <c r="L145" s="1"/>
  <c r="J91" i="35"/>
  <c r="K91" i="34"/>
  <c r="L91" s="1"/>
  <c r="H93" i="33"/>
  <c r="H94" i="34"/>
  <c r="H67" i="41"/>
  <c r="H67" i="42"/>
  <c r="H39"/>
  <c r="H39" i="41"/>
  <c r="K18" i="33"/>
  <c r="U18" i="41"/>
  <c r="U18" i="42"/>
  <c r="U18" i="40"/>
  <c r="U18" i="39"/>
  <c r="U18" i="38"/>
  <c r="U18" i="37"/>
  <c r="U18" i="36"/>
  <c r="J18" i="34"/>
  <c r="R18"/>
  <c r="U18" i="35"/>
  <c r="T155" i="40"/>
  <c r="T155" i="42"/>
  <c r="T156" i="41"/>
  <c r="T156" i="39"/>
  <c r="T154" i="37"/>
  <c r="T155" i="38"/>
  <c r="Q149" i="34"/>
  <c r="T151" i="35"/>
  <c r="I149" i="34"/>
  <c r="I151" i="35" s="1"/>
  <c r="I152" i="36" s="1"/>
  <c r="I154" i="37" s="1"/>
  <c r="T152" i="36"/>
  <c r="U21" i="42"/>
  <c r="U21" i="41"/>
  <c r="U21" i="40"/>
  <c r="U21" i="39"/>
  <c r="U21" i="37"/>
  <c r="U21" i="38"/>
  <c r="U21" i="36"/>
  <c r="U21" i="35"/>
  <c r="R21" i="34"/>
  <c r="J21"/>
  <c r="K21" i="33"/>
  <c r="K57"/>
  <c r="U57" i="41"/>
  <c r="U57" i="40"/>
  <c r="U57" i="42"/>
  <c r="U57" i="38"/>
  <c r="U57" i="39"/>
  <c r="U57" i="37"/>
  <c r="U57" i="36"/>
  <c r="U57" i="35"/>
  <c r="R57" i="34"/>
  <c r="J57"/>
  <c r="J152" i="36"/>
  <c r="H176" i="40"/>
  <c r="H177" i="41" s="1"/>
  <c r="H176" i="42"/>
  <c r="H151" i="33"/>
  <c r="H152" i="34"/>
  <c r="H135" i="42"/>
  <c r="H135" i="40"/>
  <c r="H135" i="41" s="1"/>
  <c r="H127" i="42"/>
  <c r="H127" i="40"/>
  <c r="H127" i="41" s="1"/>
  <c r="H117" i="42"/>
  <c r="O117" s="1"/>
  <c r="P117" s="1"/>
  <c r="H117" i="41"/>
  <c r="O117" s="1"/>
  <c r="P117" s="1"/>
  <c r="O117" i="40"/>
  <c r="P117" s="1"/>
  <c r="H98" i="36"/>
  <c r="H85" i="42"/>
  <c r="H85" i="41"/>
  <c r="H85" i="40"/>
  <c r="H70" i="42"/>
  <c r="O70" s="1"/>
  <c r="P70" s="1"/>
  <c r="H70" i="41"/>
  <c r="O70" s="1"/>
  <c r="P70" s="1"/>
  <c r="O70" i="40"/>
  <c r="P70" s="1"/>
  <c r="H58" i="42"/>
  <c r="H58" i="41"/>
  <c r="H31" i="34"/>
  <c r="H30" i="33"/>
  <c r="H20"/>
  <c r="H18" i="34"/>
  <c r="T89" i="42"/>
  <c r="T89" i="41"/>
  <c r="T89" i="40"/>
  <c r="T89" i="38"/>
  <c r="T89" i="37"/>
  <c r="T89" i="39"/>
  <c r="T89" i="35"/>
  <c r="T89" i="36"/>
  <c r="Q89" i="34"/>
  <c r="I89"/>
  <c r="I89" i="35" s="1"/>
  <c r="I89" i="36" s="1"/>
  <c r="I89" i="37" s="1"/>
  <c r="U70" i="42"/>
  <c r="U70" i="41"/>
  <c r="U70" i="40"/>
  <c r="U70" i="39"/>
  <c r="U70" i="38"/>
  <c r="U70" i="37"/>
  <c r="U70" i="36"/>
  <c r="J70" i="34"/>
  <c r="U70" i="35"/>
  <c r="R70" i="34"/>
  <c r="K70" i="33"/>
  <c r="K112"/>
  <c r="U112" i="42"/>
  <c r="U112" i="40"/>
  <c r="U112" i="41"/>
  <c r="U112" i="39"/>
  <c r="U112" i="38"/>
  <c r="U112" i="37"/>
  <c r="R112" i="34"/>
  <c r="J112"/>
  <c r="U112" i="36"/>
  <c r="U112" i="35"/>
  <c r="J111" i="33"/>
  <c r="K27"/>
  <c r="U27" i="42"/>
  <c r="U27" i="41"/>
  <c r="U27" i="40"/>
  <c r="U27" i="39"/>
  <c r="U27" i="38"/>
  <c r="U27" i="37"/>
  <c r="U27" i="35"/>
  <c r="R27" i="34"/>
  <c r="J29" i="33"/>
  <c r="U27" i="36"/>
  <c r="J27" i="34"/>
  <c r="U102" i="42"/>
  <c r="U102" i="41"/>
  <c r="U102" i="40"/>
  <c r="U102" i="38"/>
  <c r="U102" i="39"/>
  <c r="U102" i="37"/>
  <c r="U102" i="35"/>
  <c r="U102" i="36"/>
  <c r="R102" i="34"/>
  <c r="J102"/>
  <c r="K102" i="33"/>
  <c r="I108" i="42"/>
  <c r="K108" s="1"/>
  <c r="L108" s="1"/>
  <c r="I108" i="41"/>
  <c r="K108" s="1"/>
  <c r="L108" s="1"/>
  <c r="I108" i="40"/>
  <c r="K108" s="1"/>
  <c r="L108" s="1"/>
  <c r="U131" i="42"/>
  <c r="U131" i="41"/>
  <c r="U131" i="40"/>
  <c r="U131" i="39"/>
  <c r="U131" i="38"/>
  <c r="U131" i="37"/>
  <c r="J131" i="34"/>
  <c r="R131"/>
  <c r="U131" i="36"/>
  <c r="U131" i="35"/>
  <c r="K131" i="33"/>
  <c r="L131" s="1"/>
  <c r="U218" i="41"/>
  <c r="U217" i="42"/>
  <c r="U217" i="40"/>
  <c r="U217" i="38"/>
  <c r="U218" i="39"/>
  <c r="U216" i="37"/>
  <c r="R210" i="34"/>
  <c r="U212" i="35"/>
  <c r="J210" i="34"/>
  <c r="U214" i="36"/>
  <c r="J212" i="33"/>
  <c r="K210"/>
  <c r="L210" s="1"/>
  <c r="T152" i="42"/>
  <c r="T153" i="41"/>
  <c r="T152" i="40"/>
  <c r="T153" i="39"/>
  <c r="T151" i="37"/>
  <c r="T152" i="38"/>
  <c r="Q146" i="34"/>
  <c r="I146"/>
  <c r="I148" i="35" s="1"/>
  <c r="I149" i="36" s="1"/>
  <c r="I151" i="37" s="1"/>
  <c r="T148" i="35"/>
  <c r="T149" i="36"/>
  <c r="T204" i="40"/>
  <c r="T204" i="42"/>
  <c r="T205" i="41"/>
  <c r="T205" i="39"/>
  <c r="T203" i="37"/>
  <c r="T204" i="38"/>
  <c r="T200" i="35"/>
  <c r="Q198" i="34"/>
  <c r="T201" i="36"/>
  <c r="I198" i="34"/>
  <c r="I200" i="35" s="1"/>
  <c r="I201" i="36" s="1"/>
  <c r="I203" i="37" s="1"/>
  <c r="U38" i="42"/>
  <c r="U38" i="40"/>
  <c r="U38" i="41"/>
  <c r="U38" i="37"/>
  <c r="U38" i="39"/>
  <c r="U38" i="38"/>
  <c r="U38" i="35"/>
  <c r="J38" i="34"/>
  <c r="R38"/>
  <c r="U38" i="36"/>
  <c r="J40" i="33"/>
  <c r="K38"/>
  <c r="L38" s="1"/>
  <c r="K114"/>
  <c r="U114" i="41"/>
  <c r="U114" i="40"/>
  <c r="U114" i="42"/>
  <c r="U114" i="39"/>
  <c r="U114" i="38"/>
  <c r="U114" i="37"/>
  <c r="U114" i="36"/>
  <c r="U114" i="35"/>
  <c r="J114" i="34"/>
  <c r="R114"/>
  <c r="H197" i="40"/>
  <c r="H197" i="42"/>
  <c r="O197" s="1"/>
  <c r="P197" s="1"/>
  <c r="T107" i="41"/>
  <c r="T107" i="42"/>
  <c r="T107" i="40"/>
  <c r="T107" i="38"/>
  <c r="T107" i="39"/>
  <c r="T107" i="37"/>
  <c r="T107" i="36"/>
  <c r="I107" i="34"/>
  <c r="I107" i="35" s="1"/>
  <c r="I107" i="36" s="1"/>
  <c r="I107" i="37" s="1"/>
  <c r="Q107" i="34"/>
  <c r="T107" i="35"/>
  <c r="T189" i="41"/>
  <c r="T188" i="42"/>
  <c r="T188" i="40"/>
  <c r="T188" i="38"/>
  <c r="T187" i="37"/>
  <c r="T189" i="39"/>
  <c r="T185" i="36"/>
  <c r="T184" i="35"/>
  <c r="Q182" i="34"/>
  <c r="I182"/>
  <c r="I184" i="35"/>
  <c r="I185" i="36" s="1"/>
  <c r="I187" i="37" s="1"/>
  <c r="T91" i="41"/>
  <c r="T91" i="40"/>
  <c r="T91" i="42"/>
  <c r="T91" i="39"/>
  <c r="T91" i="38"/>
  <c r="T91" i="37"/>
  <c r="T91" i="35"/>
  <c r="I91" i="34"/>
  <c r="I91" i="35" s="1"/>
  <c r="I91" i="36" s="1"/>
  <c r="I91" i="37" s="1"/>
  <c r="T91" i="36"/>
  <c r="Q91" i="34"/>
  <c r="T152" i="41"/>
  <c r="T151" i="40"/>
  <c r="T151" i="42"/>
  <c r="T152" i="39"/>
  <c r="T150" i="37"/>
  <c r="T151" i="38"/>
  <c r="Q145" i="34"/>
  <c r="T147" i="35"/>
  <c r="T148" i="36"/>
  <c r="I145" i="34"/>
  <c r="K22" i="33"/>
  <c r="U22" i="42"/>
  <c r="U22" i="40"/>
  <c r="U22" i="41"/>
  <c r="U22" i="39"/>
  <c r="U22" i="37"/>
  <c r="U22" i="38"/>
  <c r="U22" i="36"/>
  <c r="U22" i="35"/>
  <c r="R22" i="34"/>
  <c r="J22"/>
  <c r="K81" i="33"/>
  <c r="U81" i="42"/>
  <c r="U81" i="41"/>
  <c r="U81" i="40"/>
  <c r="U81" i="38"/>
  <c r="U81" i="37"/>
  <c r="U81" i="39"/>
  <c r="U81" i="35"/>
  <c r="J81" i="34"/>
  <c r="U81" i="36"/>
  <c r="R81" i="34"/>
  <c r="I211" i="32"/>
  <c r="Q211" i="33" s="1"/>
  <c r="Q212"/>
  <c r="J149" i="35"/>
  <c r="H180" i="42"/>
  <c r="O180" s="1"/>
  <c r="P180" s="1"/>
  <c r="H180" i="40"/>
  <c r="H220" i="33"/>
  <c r="H221" s="1"/>
  <c r="H145" i="34"/>
  <c r="H111"/>
  <c r="H89" i="41"/>
  <c r="O89" s="1"/>
  <c r="P89" s="1"/>
  <c r="H89" i="42"/>
  <c r="O89" s="1"/>
  <c r="P89" s="1"/>
  <c r="O89" i="40"/>
  <c r="P89" s="1"/>
  <c r="H61" i="42"/>
  <c r="O61" s="1"/>
  <c r="P61" s="1"/>
  <c r="H61" i="41"/>
  <c r="O61" s="1"/>
  <c r="P61" s="1"/>
  <c r="O61" i="40"/>
  <c r="P61" s="1"/>
  <c r="K94" i="33"/>
  <c r="L94" s="1"/>
  <c r="H10" i="32"/>
  <c r="K93"/>
  <c r="L93" s="1"/>
  <c r="K95"/>
  <c r="L95" s="1"/>
  <c r="H139"/>
  <c r="H138" s="1"/>
  <c r="H162" i="33"/>
  <c r="H184" i="34"/>
  <c r="H184" i="35" s="1"/>
  <c r="H185" i="36" s="1"/>
  <c r="H187" i="37" s="1"/>
  <c r="U93" i="41"/>
  <c r="U93" i="40"/>
  <c r="U93" i="42"/>
  <c r="U93" i="37"/>
  <c r="U93" i="38"/>
  <c r="U93" i="39"/>
  <c r="U93" i="35"/>
  <c r="R93" i="34"/>
  <c r="U93" i="36"/>
  <c r="K95" i="33"/>
  <c r="L95" s="1"/>
  <c r="U95" i="40"/>
  <c r="U95" i="42"/>
  <c r="U95" i="41"/>
  <c r="U95" i="39"/>
  <c r="U95" i="38"/>
  <c r="U95" i="37"/>
  <c r="R95" i="34"/>
  <c r="U95" i="36"/>
  <c r="U95" i="35"/>
  <c r="K142" i="33"/>
  <c r="L142" s="1"/>
  <c r="U149" i="41"/>
  <c r="U148" i="42"/>
  <c r="U148" i="40"/>
  <c r="U149" i="39"/>
  <c r="U148" i="38"/>
  <c r="U147" i="37"/>
  <c r="U144" i="35"/>
  <c r="J142" i="34"/>
  <c r="R142"/>
  <c r="J144" i="33"/>
  <c r="U145" i="36"/>
  <c r="K181" i="33"/>
  <c r="L181" s="1"/>
  <c r="U187" i="42"/>
  <c r="U188" i="41"/>
  <c r="U187" i="40"/>
  <c r="U188" i="39"/>
  <c r="U187" i="38"/>
  <c r="U186" i="37"/>
  <c r="U184" i="36"/>
  <c r="U183" i="35"/>
  <c r="J181" i="34"/>
  <c r="R181"/>
  <c r="U191" i="42"/>
  <c r="U192" i="41"/>
  <c r="U191" i="40"/>
  <c r="U192" i="39"/>
  <c r="U191" i="38"/>
  <c r="U190" i="37"/>
  <c r="U187" i="35"/>
  <c r="J185" i="34"/>
  <c r="U188" i="36"/>
  <c r="R185" i="34"/>
  <c r="K199" i="33"/>
  <c r="U205" i="42"/>
  <c r="U206" i="41"/>
  <c r="U205" i="40"/>
  <c r="U206" i="39"/>
  <c r="U204" i="37"/>
  <c r="U205" i="38"/>
  <c r="U201" i="35"/>
  <c r="J199" i="34"/>
  <c r="U202" i="36"/>
  <c r="R199" i="34"/>
  <c r="K85" i="33"/>
  <c r="U85" i="42"/>
  <c r="U85" i="41"/>
  <c r="U85" i="40"/>
  <c r="U85" i="38"/>
  <c r="U85" i="39"/>
  <c r="U85" i="37"/>
  <c r="U85" i="35"/>
  <c r="J85" i="34"/>
  <c r="U85" i="36"/>
  <c r="R85" i="34"/>
  <c r="U84" i="42"/>
  <c r="U84" i="40"/>
  <c r="U84" i="41"/>
  <c r="U84" i="39"/>
  <c r="U84" i="38"/>
  <c r="U84" i="37"/>
  <c r="U84" i="35"/>
  <c r="R84" i="34"/>
  <c r="U84" i="36"/>
  <c r="J84" i="34"/>
  <c r="K84" i="33"/>
  <c r="T216" i="41"/>
  <c r="T215" i="42"/>
  <c r="T215" i="40"/>
  <c r="T214" i="37"/>
  <c r="T216" i="39"/>
  <c r="T215" i="38"/>
  <c r="T212" i="36"/>
  <c r="I208" i="34"/>
  <c r="I210" i="35" s="1"/>
  <c r="I212" i="36" s="1"/>
  <c r="I214" i="37" s="1"/>
  <c r="T210" i="35"/>
  <c r="Q208" i="34"/>
  <c r="T127" i="42"/>
  <c r="T127" i="40"/>
  <c r="T127" i="41"/>
  <c r="T127" i="38"/>
  <c r="T127" i="39"/>
  <c r="T127" i="37"/>
  <c r="I127" i="34"/>
  <c r="I127" i="35" s="1"/>
  <c r="I127" i="36" s="1"/>
  <c r="I127" i="37" s="1"/>
  <c r="Q127" i="34"/>
  <c r="T127" i="35"/>
  <c r="T127" i="36"/>
  <c r="U46" i="42"/>
  <c r="U46" i="41"/>
  <c r="U46" i="40"/>
  <c r="U46" i="39"/>
  <c r="U46" i="38"/>
  <c r="U46" i="37"/>
  <c r="U46" i="36"/>
  <c r="U46" i="35"/>
  <c r="J46" i="34"/>
  <c r="R46"/>
  <c r="K46" i="33"/>
  <c r="H187" i="42"/>
  <c r="O187" s="1"/>
  <c r="P187" s="1"/>
  <c r="H187" i="40"/>
  <c r="H154" i="42"/>
  <c r="O154" s="1"/>
  <c r="P154" s="1"/>
  <c r="H154" i="40"/>
  <c r="H115" i="34"/>
  <c r="H116" i="35"/>
  <c r="H22" i="38"/>
  <c r="H22" i="39"/>
  <c r="O22" s="1"/>
  <c r="P22" s="1"/>
  <c r="I203" i="38"/>
  <c r="I204" i="39"/>
  <c r="H68" i="33"/>
  <c r="H66" i="34"/>
  <c r="K132" i="33"/>
  <c r="T132" i="40"/>
  <c r="T132" i="42"/>
  <c r="T132" i="41"/>
  <c r="T132" i="38"/>
  <c r="T132" i="39"/>
  <c r="T132" i="37"/>
  <c r="Q132" i="34"/>
  <c r="T132" i="35"/>
  <c r="I132" i="34"/>
  <c r="T132" i="36"/>
  <c r="U133" i="42"/>
  <c r="U133" i="41"/>
  <c r="U133" i="40"/>
  <c r="U133" i="39"/>
  <c r="U133" i="38"/>
  <c r="U133" i="37"/>
  <c r="U133" i="36"/>
  <c r="J133" i="34"/>
  <c r="J133" i="35" s="1"/>
  <c r="R133" i="34"/>
  <c r="U133" i="35"/>
  <c r="K133" i="33"/>
  <c r="O108" i="41"/>
  <c r="P108" s="1"/>
  <c r="U228"/>
  <c r="U227" i="40"/>
  <c r="U227" i="42"/>
  <c r="U226" i="37"/>
  <c r="U228" i="39"/>
  <c r="U227" i="38"/>
  <c r="U222" i="35"/>
  <c r="R220" i="34"/>
  <c r="U224" i="36"/>
  <c r="K31" i="34"/>
  <c r="J31" i="35"/>
  <c r="H27" i="36"/>
  <c r="U135" i="40"/>
  <c r="U135" i="42"/>
  <c r="U135" i="41"/>
  <c r="U135" i="39"/>
  <c r="U135" i="38"/>
  <c r="U135" i="37"/>
  <c r="U135" i="36"/>
  <c r="J135" i="34"/>
  <c r="R135"/>
  <c r="U135" i="35"/>
  <c r="K135" i="33"/>
  <c r="T202" i="40"/>
  <c r="T202" i="42"/>
  <c r="T203" i="41"/>
  <c r="T201" i="37"/>
  <c r="T202" i="38"/>
  <c r="T203" i="39"/>
  <c r="T198" i="35"/>
  <c r="I196" i="34"/>
  <c r="I198" i="35" s="1"/>
  <c r="I199" i="36" s="1"/>
  <c r="I201" i="37" s="1"/>
  <c r="T199" i="36"/>
  <c r="Q196" i="34"/>
  <c r="T111" i="42"/>
  <c r="T111" i="41"/>
  <c r="T111" i="40"/>
  <c r="T111" i="38"/>
  <c r="T111" i="39"/>
  <c r="T111" i="37"/>
  <c r="T111" i="36"/>
  <c r="Q111" i="34"/>
  <c r="I111"/>
  <c r="T111" i="35"/>
  <c r="I110" i="33"/>
  <c r="T187" i="42"/>
  <c r="T188" i="41"/>
  <c r="T187" i="40"/>
  <c r="T187" i="38"/>
  <c r="T188" i="39"/>
  <c r="T186" i="37"/>
  <c r="I183" i="35"/>
  <c r="I184" i="36" s="1"/>
  <c r="I186" i="37" s="1"/>
  <c r="Q181" i="34"/>
  <c r="I181"/>
  <c r="T184" i="36"/>
  <c r="T183" i="35"/>
  <c r="K33" i="33"/>
  <c r="U33" i="42"/>
  <c r="U33" i="41"/>
  <c r="U33" i="40"/>
  <c r="U33" i="39"/>
  <c r="U33" i="38"/>
  <c r="U33" i="37"/>
  <c r="U33" i="36"/>
  <c r="R33" i="34"/>
  <c r="U33" i="35"/>
  <c r="J33" i="34"/>
  <c r="K106" i="33"/>
  <c r="L106" s="1"/>
  <c r="U106" i="42"/>
  <c r="U106" i="41"/>
  <c r="U106" i="40"/>
  <c r="U106" i="39"/>
  <c r="U106" i="38"/>
  <c r="U106" i="37"/>
  <c r="U106" i="35"/>
  <c r="J106" i="34"/>
  <c r="R106"/>
  <c r="U106" i="36"/>
  <c r="J193" i="35"/>
  <c r="H64" i="42"/>
  <c r="H64" i="41"/>
  <c r="U134"/>
  <c r="U134" i="42"/>
  <c r="U134" i="40"/>
  <c r="U134" i="39"/>
  <c r="U134" i="38"/>
  <c r="U134" i="37"/>
  <c r="J134" i="34"/>
  <c r="U134" i="36"/>
  <c r="U134" i="35"/>
  <c r="R134" i="34"/>
  <c r="K134" i="33"/>
  <c r="L134" s="1"/>
  <c r="U129" i="42"/>
  <c r="J129"/>
  <c r="U129" i="41"/>
  <c r="J129"/>
  <c r="U129" i="40"/>
  <c r="J129"/>
  <c r="U129" i="39"/>
  <c r="J129" i="38"/>
  <c r="J129" i="37"/>
  <c r="J129" i="39"/>
  <c r="U129" i="38"/>
  <c r="U129" i="37"/>
  <c r="J129" i="36"/>
  <c r="U129"/>
  <c r="J129" i="35"/>
  <c r="R129" i="34"/>
  <c r="U129" i="35"/>
  <c r="J129" i="34"/>
  <c r="K129" i="33"/>
  <c r="L129" s="1"/>
  <c r="T38" i="42"/>
  <c r="T38" i="41"/>
  <c r="T38" i="40"/>
  <c r="T38" i="39"/>
  <c r="T38" i="38"/>
  <c r="T38" i="37"/>
  <c r="T38" i="36"/>
  <c r="T38" i="35"/>
  <c r="Q38" i="34"/>
  <c r="I38"/>
  <c r="T108" i="42"/>
  <c r="T108" i="41"/>
  <c r="T108" i="40"/>
  <c r="T108" i="39"/>
  <c r="T108" i="38"/>
  <c r="T108" i="37"/>
  <c r="Q108" i="34"/>
  <c r="T108" i="35"/>
  <c r="T108" i="36"/>
  <c r="K108" i="33"/>
  <c r="L108" s="1"/>
  <c r="K54"/>
  <c r="U54" i="42"/>
  <c r="U54" i="41"/>
  <c r="U54" i="40"/>
  <c r="U54" i="39"/>
  <c r="U54" i="38"/>
  <c r="U54" i="37"/>
  <c r="U54" i="35"/>
  <c r="J54" i="34"/>
  <c r="R54"/>
  <c r="J56" i="33"/>
  <c r="U54" i="36"/>
  <c r="J51" i="33"/>
  <c r="T197" i="42"/>
  <c r="T198" i="41"/>
  <c r="T197" i="40"/>
  <c r="T197" i="38"/>
  <c r="T196" i="37"/>
  <c r="T198" i="39"/>
  <c r="T193" i="35"/>
  <c r="Q191" i="34"/>
  <c r="I191"/>
  <c r="I193" i="35" s="1"/>
  <c r="I194" i="36" s="1"/>
  <c r="I196" i="37" s="1"/>
  <c r="T194" i="36"/>
  <c r="H178" i="40"/>
  <c r="H179" i="41" s="1"/>
  <c r="H178" i="42"/>
  <c r="H75" i="34"/>
  <c r="H77" i="33"/>
  <c r="H73"/>
  <c r="H72" s="1"/>
  <c r="T137" i="42"/>
  <c r="T137" i="41"/>
  <c r="T137" i="40"/>
  <c r="T137" i="39"/>
  <c r="T137" i="38"/>
  <c r="T137" i="37"/>
  <c r="T137" i="35"/>
  <c r="Q137" i="34"/>
  <c r="I137"/>
  <c r="I137" i="35" s="1"/>
  <c r="I137" i="36" s="1"/>
  <c r="I137" i="37" s="1"/>
  <c r="T137" i="36"/>
  <c r="H179" i="33"/>
  <c r="H182" i="34"/>
  <c r="H137" i="42"/>
  <c r="H137" i="40"/>
  <c r="H137" i="41" s="1"/>
  <c r="H15" i="34"/>
  <c r="H17" i="33"/>
  <c r="R99"/>
  <c r="S99" i="32"/>
  <c r="U92" i="42"/>
  <c r="U92" i="41"/>
  <c r="U92" i="40"/>
  <c r="U92" i="39"/>
  <c r="U92" i="37"/>
  <c r="U92" i="38"/>
  <c r="U92" i="35"/>
  <c r="J92" i="34"/>
  <c r="J92" i="35" s="1"/>
  <c r="U92" i="36"/>
  <c r="R92" i="34"/>
  <c r="K153" i="33"/>
  <c r="U159" i="42"/>
  <c r="U160" i="41"/>
  <c r="U159" i="40"/>
  <c r="U160" i="39"/>
  <c r="U158" i="37"/>
  <c r="U159" i="38"/>
  <c r="R153" i="34"/>
  <c r="J153"/>
  <c r="U156" i="36"/>
  <c r="U155" i="35"/>
  <c r="U208" i="42"/>
  <c r="U209" i="41"/>
  <c r="U208" i="40"/>
  <c r="U209" i="39"/>
  <c r="U128" i="41"/>
  <c r="U128" i="40"/>
  <c r="U128" i="42"/>
  <c r="U128" i="38"/>
  <c r="U128" i="37"/>
  <c r="U128" i="39"/>
  <c r="U128" i="36"/>
  <c r="R128" i="34"/>
  <c r="U128" i="35"/>
  <c r="J128" i="34"/>
  <c r="J128" i="35" s="1"/>
  <c r="K103" i="33"/>
  <c r="L103" s="1"/>
  <c r="T103" i="42"/>
  <c r="T103" i="41"/>
  <c r="T103" i="40"/>
  <c r="T103" i="39"/>
  <c r="T103" i="38"/>
  <c r="T103" i="37"/>
  <c r="T103" i="36"/>
  <c r="Q103" i="34"/>
  <c r="T103" i="35"/>
  <c r="K15" i="33"/>
  <c r="U15" i="41"/>
  <c r="U15" i="42"/>
  <c r="U15" i="40"/>
  <c r="U15" i="39"/>
  <c r="U15" i="38"/>
  <c r="U15" i="37"/>
  <c r="U15" i="36"/>
  <c r="R15" i="34"/>
  <c r="U15" i="35"/>
  <c r="J15" i="34"/>
  <c r="Q205" i="32"/>
  <c r="D207"/>
  <c r="T115" i="42"/>
  <c r="T115" i="41"/>
  <c r="T115" i="40"/>
  <c r="T115" i="39"/>
  <c r="T115" i="38"/>
  <c r="T115" i="37"/>
  <c r="I115" i="34"/>
  <c r="I115" i="35" s="1"/>
  <c r="I115" i="36" s="1"/>
  <c r="I115" i="37" s="1"/>
  <c r="Q115" i="34"/>
  <c r="T115" i="36"/>
  <c r="T115" i="35"/>
  <c r="T154" i="42"/>
  <c r="T155" i="41"/>
  <c r="T154" i="40"/>
  <c r="T155" i="39"/>
  <c r="T153" i="37"/>
  <c r="T154" i="38"/>
  <c r="I150" i="35"/>
  <c r="I151" i="36" s="1"/>
  <c r="I153" i="37" s="1"/>
  <c r="I148" i="34"/>
  <c r="T150" i="35"/>
  <c r="Q148" i="34"/>
  <c r="T151" i="36"/>
  <c r="U101" i="42"/>
  <c r="U101" i="41"/>
  <c r="U101" i="40"/>
  <c r="U101" i="39"/>
  <c r="U101" i="38"/>
  <c r="U101" i="37"/>
  <c r="U101" i="35"/>
  <c r="R101" i="34"/>
  <c r="U101" i="36"/>
  <c r="J101" i="34"/>
  <c r="K101" i="33"/>
  <c r="H200" i="40"/>
  <c r="H200" i="42"/>
  <c r="O200" s="1"/>
  <c r="P200" s="1"/>
  <c r="H126" i="41"/>
  <c r="O126" s="1"/>
  <c r="P126" s="1"/>
  <c r="H126" i="42"/>
  <c r="O126" s="1"/>
  <c r="P126" s="1"/>
  <c r="O126" i="40"/>
  <c r="P126" s="1"/>
  <c r="H214" i="39"/>
  <c r="H213" i="38"/>
  <c r="J150" i="35"/>
  <c r="K148" i="34"/>
  <c r="L148" s="1"/>
  <c r="H106" i="38"/>
  <c r="H106" i="40" s="1"/>
  <c r="H106" i="39"/>
  <c r="O106" s="1"/>
  <c r="P106" s="1"/>
  <c r="H23" i="34"/>
  <c r="H21" i="35"/>
  <c r="T157" i="41"/>
  <c r="T156" i="42"/>
  <c r="T156" i="40"/>
  <c r="T157" i="39"/>
  <c r="T155" i="37"/>
  <c r="T156" i="38"/>
  <c r="T153" i="36"/>
  <c r="Q150" i="34"/>
  <c r="I150"/>
  <c r="I152" i="35" s="1"/>
  <c r="I153" i="36" s="1"/>
  <c r="I155" i="37" s="1"/>
  <c r="T152" i="35"/>
  <c r="U130" i="42"/>
  <c r="U130" i="41"/>
  <c r="U130" i="40"/>
  <c r="U130" i="38"/>
  <c r="U130" i="37"/>
  <c r="J130" i="34"/>
  <c r="U130" i="39"/>
  <c r="U130" i="36"/>
  <c r="R130" i="34"/>
  <c r="U130" i="35"/>
  <c r="K130" i="33"/>
  <c r="L130" s="1"/>
  <c r="T128" i="42"/>
  <c r="T128" i="41"/>
  <c r="T128" i="40"/>
  <c r="T128" i="38"/>
  <c r="T128" i="39"/>
  <c r="T128" i="37"/>
  <c r="Q128" i="34"/>
  <c r="I128"/>
  <c r="T128" i="35"/>
  <c r="T128" i="36"/>
  <c r="I192" i="33"/>
  <c r="T202" i="41"/>
  <c r="T201" i="42"/>
  <c r="T201" i="40"/>
  <c r="T202" i="39"/>
  <c r="T200" i="37"/>
  <c r="T201" i="38"/>
  <c r="T197" i="35"/>
  <c r="Q195" i="34"/>
  <c r="I195"/>
  <c r="I197" i="35" s="1"/>
  <c r="I198" i="36" s="1"/>
  <c r="I200" i="37" s="1"/>
  <c r="T198" i="36"/>
  <c r="K82" i="33"/>
  <c r="U82" i="42"/>
  <c r="U82" i="41"/>
  <c r="U82" i="40"/>
  <c r="U82" i="38"/>
  <c r="U82" i="37"/>
  <c r="U82" i="39"/>
  <c r="J82" i="34"/>
  <c r="R82"/>
  <c r="U82" i="36"/>
  <c r="U82" i="35"/>
  <c r="U113" i="42"/>
  <c r="U113" i="41"/>
  <c r="U113" i="40"/>
  <c r="U113" i="38"/>
  <c r="U113" i="39"/>
  <c r="U113" i="37"/>
  <c r="U113" i="35"/>
  <c r="J113" i="34"/>
  <c r="U113" i="36"/>
  <c r="R113" i="34"/>
  <c r="K113" i="33"/>
  <c r="H202" i="40"/>
  <c r="H202" i="42"/>
  <c r="O202" s="1"/>
  <c r="P202" s="1"/>
  <c r="T190"/>
  <c r="T191" i="41"/>
  <c r="T190" i="40"/>
  <c r="T191" i="39"/>
  <c r="T190" i="38"/>
  <c r="T189" i="37"/>
  <c r="I186" i="35"/>
  <c r="I184" i="34"/>
  <c r="Q184"/>
  <c r="T187" i="36"/>
  <c r="T186" i="35"/>
  <c r="T98" i="30"/>
  <c r="J98" i="31"/>
  <c r="K158" i="33"/>
  <c r="U164" i="42"/>
  <c r="U164" i="40"/>
  <c r="U165" i="41"/>
  <c r="U165" i="39"/>
  <c r="U164" i="38"/>
  <c r="U163" i="37"/>
  <c r="U161" i="36"/>
  <c r="U160" i="35"/>
  <c r="J158" i="34"/>
  <c r="R158"/>
  <c r="K160" i="33"/>
  <c r="U167" i="41"/>
  <c r="U166" i="42"/>
  <c r="U166" i="40"/>
  <c r="U165" i="37"/>
  <c r="U166" i="38"/>
  <c r="U167" i="39"/>
  <c r="U163" i="36"/>
  <c r="U162" i="35"/>
  <c r="J160" i="34"/>
  <c r="R160"/>
  <c r="U170" i="41"/>
  <c r="U169" i="42"/>
  <c r="U169" i="40"/>
  <c r="U170" i="39"/>
  <c r="U168" i="37"/>
  <c r="U169" i="38"/>
  <c r="R163" i="34"/>
  <c r="U165" i="35"/>
  <c r="J163" i="34"/>
  <c r="U166" i="36"/>
  <c r="K167" i="33"/>
  <c r="U174" i="41"/>
  <c r="U173" i="42"/>
  <c r="U173" i="40"/>
  <c r="U172" i="37"/>
  <c r="U173" i="38"/>
  <c r="U174" i="39"/>
  <c r="U170" i="36"/>
  <c r="U169" i="35"/>
  <c r="R167" i="34"/>
  <c r="J167"/>
  <c r="U179" i="42"/>
  <c r="U179" i="40"/>
  <c r="U180" i="41"/>
  <c r="U180" i="39"/>
  <c r="U179" i="38"/>
  <c r="U178" i="37"/>
  <c r="J173" i="34"/>
  <c r="R173"/>
  <c r="U176" i="36"/>
  <c r="U175" i="35"/>
  <c r="K186" i="33"/>
  <c r="U193" i="41"/>
  <c r="U192" i="42"/>
  <c r="U192" i="40"/>
  <c r="U193" i="39"/>
  <c r="U192" i="38"/>
  <c r="U191" i="37"/>
  <c r="U188" i="35"/>
  <c r="U189" i="36"/>
  <c r="R186" i="34"/>
  <c r="J186"/>
  <c r="K187" i="33"/>
  <c r="U193" i="42"/>
  <c r="U194" i="41"/>
  <c r="U193" i="40"/>
  <c r="U194" i="39"/>
  <c r="U193" i="38"/>
  <c r="U192" i="37"/>
  <c r="R187" i="34"/>
  <c r="U190" i="36"/>
  <c r="U189" i="35"/>
  <c r="J187" i="34"/>
  <c r="K197" i="33"/>
  <c r="L197" s="1"/>
  <c r="U203" i="42"/>
  <c r="U204" i="41"/>
  <c r="U203" i="40"/>
  <c r="U202" i="37"/>
  <c r="U203" i="38"/>
  <c r="U204" i="39"/>
  <c r="R197" i="34"/>
  <c r="U199" i="35"/>
  <c r="U200" i="36"/>
  <c r="J197" i="34"/>
  <c r="K195" i="33"/>
  <c r="L195" s="1"/>
  <c r="U202" i="41"/>
  <c r="U201" i="42"/>
  <c r="U201" i="40"/>
  <c r="U200" i="37"/>
  <c r="U201" i="38"/>
  <c r="U202" i="39"/>
  <c r="U197" i="35"/>
  <c r="J195" i="34"/>
  <c r="U198" i="36"/>
  <c r="R195" i="34"/>
  <c r="H207" i="38"/>
  <c r="H208" i="39"/>
  <c r="O208" s="1"/>
  <c r="P208" s="1"/>
  <c r="T206" i="42"/>
  <c r="T206" i="40"/>
  <c r="T207" i="41"/>
  <c r="T207" i="39"/>
  <c r="H208" i="38"/>
  <c r="H209" i="39"/>
  <c r="I103"/>
  <c r="I103" i="38"/>
  <c r="K39" i="33"/>
  <c r="U39" i="42"/>
  <c r="U39" i="41"/>
  <c r="U39" i="40"/>
  <c r="U39" i="39"/>
  <c r="U39" i="38"/>
  <c r="U39" i="37"/>
  <c r="U39" i="36"/>
  <c r="U39" i="35"/>
  <c r="R39" i="34"/>
  <c r="J39"/>
  <c r="T154" i="41"/>
  <c r="T153" i="42"/>
  <c r="T153" i="40"/>
  <c r="T154" i="39"/>
  <c r="T152" i="37"/>
  <c r="T153" i="38"/>
  <c r="I147" i="34"/>
  <c r="I149" i="35" s="1"/>
  <c r="I150" i="36" s="1"/>
  <c r="I152" i="37" s="1"/>
  <c r="T150" i="36"/>
  <c r="T149" i="35"/>
  <c r="Q147" i="34"/>
  <c r="T92" i="42"/>
  <c r="T92" i="40"/>
  <c r="T92" i="41"/>
  <c r="T92" i="39"/>
  <c r="T92" i="37"/>
  <c r="T92" i="38"/>
  <c r="T92" i="36"/>
  <c r="Q92" i="34"/>
  <c r="I92"/>
  <c r="I92" i="35" s="1"/>
  <c r="I92" i="36" s="1"/>
  <c r="I92" i="37" s="1"/>
  <c r="T92" i="35"/>
  <c r="K42" i="33"/>
  <c r="U42" i="42"/>
  <c r="U42" i="40"/>
  <c r="U42" i="41"/>
  <c r="U42" i="39"/>
  <c r="U42" i="38"/>
  <c r="U42" i="37"/>
  <c r="U42" i="36"/>
  <c r="U42" i="35"/>
  <c r="J44" i="33"/>
  <c r="J42" i="34"/>
  <c r="R42"/>
  <c r="J41" i="33"/>
  <c r="T45" i="42"/>
  <c r="T45" i="41"/>
  <c r="T45" i="40"/>
  <c r="T45" i="39"/>
  <c r="T45" i="38"/>
  <c r="T45" i="37"/>
  <c r="T45" i="36"/>
  <c r="T45" i="35"/>
  <c r="I45" i="34"/>
  <c r="Q45"/>
  <c r="I41" i="33"/>
  <c r="T109" i="42"/>
  <c r="T109" i="41"/>
  <c r="T109" i="40"/>
  <c r="T109" i="38"/>
  <c r="T109" i="39"/>
  <c r="T109" i="37"/>
  <c r="T109" i="35"/>
  <c r="I109" i="34"/>
  <c r="I109" i="35" s="1"/>
  <c r="I109" i="36" s="1"/>
  <c r="I109" i="37" s="1"/>
  <c r="T109" i="36"/>
  <c r="Q109" i="34"/>
  <c r="T200" i="42"/>
  <c r="T200" i="40"/>
  <c r="T201" i="41"/>
  <c r="T199" i="37"/>
  <c r="T201" i="39"/>
  <c r="T200" i="38"/>
  <c r="T196" i="35"/>
  <c r="Q194" i="34"/>
  <c r="I194"/>
  <c r="I196" i="35" s="1"/>
  <c r="I197" i="36" s="1"/>
  <c r="I199" i="37" s="1"/>
  <c r="T197" i="36"/>
  <c r="K55" i="33"/>
  <c r="U55" i="42"/>
  <c r="U55" i="41"/>
  <c r="U55" i="40"/>
  <c r="U55" i="38"/>
  <c r="U55" i="39"/>
  <c r="U55" i="37"/>
  <c r="U55" i="35"/>
  <c r="J55" i="34"/>
  <c r="J52" i="33"/>
  <c r="R55" i="34"/>
  <c r="U55" i="36"/>
  <c r="U132" i="41"/>
  <c r="U132" i="42"/>
  <c r="U132" i="40"/>
  <c r="U132" i="39"/>
  <c r="U132" i="38"/>
  <c r="U132" i="37"/>
  <c r="R132" i="34"/>
  <c r="U132" i="36"/>
  <c r="U132" i="35"/>
  <c r="J132" i="34"/>
  <c r="J132" i="35" s="1"/>
  <c r="K183" i="34"/>
  <c r="L183" s="1"/>
  <c r="J185" i="35"/>
  <c r="J154" i="34"/>
  <c r="J157" i="35"/>
  <c r="K155" i="34"/>
  <c r="L155" s="1"/>
  <c r="H159" i="33"/>
  <c r="H157" i="34"/>
  <c r="H156" i="33"/>
  <c r="H130" i="42"/>
  <c r="O130" s="1"/>
  <c r="P130" s="1"/>
  <c r="H130" i="40"/>
  <c r="H121" i="41"/>
  <c r="H121" i="42"/>
  <c r="H95" i="33"/>
  <c r="H96" i="34"/>
  <c r="H34" i="41"/>
  <c r="H34" i="42"/>
  <c r="T105"/>
  <c r="T105" i="41"/>
  <c r="T105" i="40"/>
  <c r="T105" i="38"/>
  <c r="T105" i="39"/>
  <c r="T105" i="37"/>
  <c r="T105" i="36"/>
  <c r="T105" i="35"/>
  <c r="Q105" i="34"/>
  <c r="I105"/>
  <c r="I105" i="35" s="1"/>
  <c r="I105" i="36" s="1"/>
  <c r="I105" i="37" s="1"/>
  <c r="I104" i="33"/>
  <c r="J89" i="35"/>
  <c r="H204" i="39"/>
  <c r="H203" i="38"/>
  <c r="H168" i="33"/>
  <c r="H166" i="34"/>
  <c r="H136" i="42"/>
  <c r="O136" s="1"/>
  <c r="P136" s="1"/>
  <c r="H136" i="40"/>
  <c r="H100" i="35"/>
  <c r="H99" i="34"/>
  <c r="H19" i="39"/>
  <c r="O19" s="1"/>
  <c r="P19" s="1"/>
  <c r="H19" i="38"/>
  <c r="H19" i="40" s="1"/>
  <c r="T106" i="41"/>
  <c r="T106" i="42"/>
  <c r="T106" i="40"/>
  <c r="T106" i="39"/>
  <c r="T106" i="38"/>
  <c r="T106" i="37"/>
  <c r="T106" i="36"/>
  <c r="T106" i="35"/>
  <c r="Q106" i="34"/>
  <c r="I106"/>
  <c r="I106" i="35" s="1"/>
  <c r="I106" i="36" s="1"/>
  <c r="I106" i="37" s="1"/>
  <c r="T162" i="42"/>
  <c r="T163" i="41"/>
  <c r="T162" i="40"/>
  <c r="T162" i="38"/>
  <c r="T161" i="37"/>
  <c r="T163" i="39"/>
  <c r="T159" i="36"/>
  <c r="T158" i="35"/>
  <c r="I156" i="34"/>
  <c r="I158" i="35" s="1"/>
  <c r="I159" i="36" s="1"/>
  <c r="I161" i="37" s="1"/>
  <c r="Q156" i="34"/>
  <c r="O108" i="42"/>
  <c r="P108" s="1"/>
  <c r="K150" i="34"/>
  <c r="L150" s="1"/>
  <c r="J152" i="35"/>
  <c r="H193" i="38"/>
  <c r="H194" i="39"/>
  <c r="O194" s="1"/>
  <c r="P194" s="1"/>
  <c r="H153" i="42"/>
  <c r="O153" s="1"/>
  <c r="P153" s="1"/>
  <c r="H153" i="40"/>
  <c r="H125" i="41"/>
  <c r="H125" i="42"/>
  <c r="H56" i="33"/>
  <c r="H55" i="34"/>
  <c r="H52" i="33"/>
  <c r="U100" i="42"/>
  <c r="U100" i="41"/>
  <c r="U100" i="40"/>
  <c r="U100" i="38"/>
  <c r="U100" i="39"/>
  <c r="U100" i="37"/>
  <c r="U100" i="35"/>
  <c r="J100" i="34"/>
  <c r="U100" i="36"/>
  <c r="R100" i="34"/>
  <c r="K100" i="33"/>
  <c r="J99"/>
  <c r="T129" i="42"/>
  <c r="I129"/>
  <c r="T129" i="41"/>
  <c r="I129"/>
  <c r="I129" i="40"/>
  <c r="T129"/>
  <c r="T129" i="39"/>
  <c r="I129" i="38"/>
  <c r="I129" i="39"/>
  <c r="T129" i="38"/>
  <c r="T129" i="37"/>
  <c r="I129"/>
  <c r="T129" i="35"/>
  <c r="I129" i="36"/>
  <c r="T129"/>
  <c r="I129" i="35"/>
  <c r="Q129" i="34"/>
  <c r="I129"/>
  <c r="U103" i="42"/>
  <c r="U103" i="40"/>
  <c r="U103" i="41"/>
  <c r="U103" i="39"/>
  <c r="U103" i="38"/>
  <c r="U103" i="37"/>
  <c r="U103" i="35"/>
  <c r="U103" i="36"/>
  <c r="J103" i="34"/>
  <c r="R103"/>
  <c r="U215" i="42"/>
  <c r="U215" i="40"/>
  <c r="U216" i="41"/>
  <c r="U216" i="39"/>
  <c r="U214" i="37"/>
  <c r="U215" i="38"/>
  <c r="U210" i="35"/>
  <c r="R208" i="34"/>
  <c r="J208"/>
  <c r="U212" i="36"/>
  <c r="K208" i="33"/>
  <c r="L208" s="1"/>
  <c r="T98" i="42"/>
  <c r="T98" i="41"/>
  <c r="T98" i="40"/>
  <c r="T98" i="38"/>
  <c r="T98" i="39"/>
  <c r="T98" i="37"/>
  <c r="T98" i="36"/>
  <c r="T98" i="35"/>
  <c r="I98" i="34"/>
  <c r="I98" i="35" s="1"/>
  <c r="I98" i="36" s="1"/>
  <c r="I98" i="37" s="1"/>
  <c r="Q98" i="34"/>
  <c r="T136" i="42"/>
  <c r="T136" i="40"/>
  <c r="T136" i="41"/>
  <c r="T136" i="38"/>
  <c r="T136" i="37"/>
  <c r="T136" i="39"/>
  <c r="Q136" i="34"/>
  <c r="T136" i="35"/>
  <c r="I136" i="34"/>
  <c r="I136" i="35" s="1"/>
  <c r="I136" i="36" s="1"/>
  <c r="I136" i="37" s="1"/>
  <c r="T136" i="36"/>
  <c r="U124" i="42"/>
  <c r="U124" i="40"/>
  <c r="U124" i="41"/>
  <c r="U124" i="39"/>
  <c r="U124" i="38"/>
  <c r="U124" i="37"/>
  <c r="U124" i="36"/>
  <c r="U124" i="35"/>
  <c r="J124" i="34"/>
  <c r="J124" i="35" s="1"/>
  <c r="R124" i="34"/>
  <c r="K124" i="33"/>
  <c r="L124" s="1"/>
  <c r="K24"/>
  <c r="U24" i="42"/>
  <c r="U24" i="41"/>
  <c r="U24" i="40"/>
  <c r="U24" i="39"/>
  <c r="U24" i="38"/>
  <c r="U24" i="37"/>
  <c r="J24" i="34"/>
  <c r="U24" i="36"/>
  <c r="U24" i="35"/>
  <c r="R24" i="34"/>
  <c r="J26" i="33"/>
  <c r="K178"/>
  <c r="U185" i="41"/>
  <c r="U184" i="42"/>
  <c r="U184" i="40"/>
  <c r="U185" i="39"/>
  <c r="U184" i="38"/>
  <c r="U183" i="37"/>
  <c r="U180" i="35"/>
  <c r="J178" i="34"/>
  <c r="R178"/>
  <c r="U181" i="36"/>
  <c r="K61" i="33"/>
  <c r="U61" i="42"/>
  <c r="U61" i="40"/>
  <c r="U61" i="41"/>
  <c r="U61" i="39"/>
  <c r="U61" i="38"/>
  <c r="U61" i="37"/>
  <c r="U61" i="36"/>
  <c r="J61" i="34"/>
  <c r="R61"/>
  <c r="U61" i="35"/>
  <c r="U136" i="41"/>
  <c r="U136" i="42"/>
  <c r="U136" i="40"/>
  <c r="U136" i="38"/>
  <c r="U136" i="39"/>
  <c r="U136" i="37"/>
  <c r="U136" i="36"/>
  <c r="R136" i="34"/>
  <c r="U136" i="35"/>
  <c r="J136" i="34"/>
  <c r="K136" i="33"/>
  <c r="L136" s="1"/>
  <c r="H197" i="41"/>
  <c r="O197" s="1"/>
  <c r="P197" s="1"/>
  <c r="O196" i="40"/>
  <c r="P196" s="1"/>
  <c r="H179" i="35"/>
  <c r="O179" s="1"/>
  <c r="P179" s="1"/>
  <c r="H181" i="36"/>
  <c r="H44" i="34"/>
  <c r="H43" i="35"/>
  <c r="H43" i="36" s="1"/>
  <c r="H43" i="37" s="1"/>
  <c r="H12" i="34"/>
  <c r="H14" i="33"/>
  <c r="H11"/>
  <c r="H10" s="1"/>
  <c r="T189" i="42"/>
  <c r="T190" i="41"/>
  <c r="T189" i="40"/>
  <c r="T190" i="39"/>
  <c r="T189" i="38"/>
  <c r="T188" i="37"/>
  <c r="T186" i="36"/>
  <c r="T185" i="35"/>
  <c r="I185"/>
  <c r="I186" i="36" s="1"/>
  <c r="I188" i="37" s="1"/>
  <c r="Q183" i="34"/>
  <c r="I183"/>
  <c r="T183" i="41"/>
  <c r="T182" i="40"/>
  <c r="T182" i="42"/>
  <c r="T183" i="39"/>
  <c r="T182" i="38"/>
  <c r="T181" i="37"/>
  <c r="T179" i="36"/>
  <c r="T178" i="35"/>
  <c r="I176" i="34"/>
  <c r="I178" i="35" s="1"/>
  <c r="I179" i="36" s="1"/>
  <c r="I181" i="37" s="1"/>
  <c r="Q176" i="34"/>
  <c r="J211" i="32"/>
  <c r="K212"/>
  <c r="L212" s="1"/>
  <c r="I35" i="33"/>
  <c r="I10" s="1"/>
  <c r="T36" i="42"/>
  <c r="T36" i="41"/>
  <c r="T36" i="40"/>
  <c r="T36" i="39"/>
  <c r="T36" i="38"/>
  <c r="T36" i="37"/>
  <c r="Q36" i="34"/>
  <c r="I36"/>
  <c r="T36" i="36"/>
  <c r="T36" i="35"/>
  <c r="T131" i="42"/>
  <c r="T131" i="41"/>
  <c r="T131" i="40"/>
  <c r="T131" i="39"/>
  <c r="T131" i="38"/>
  <c r="T131" i="37"/>
  <c r="I131" i="34"/>
  <c r="I131" i="35" s="1"/>
  <c r="I131" i="36" s="1"/>
  <c r="I131" i="37" s="1"/>
  <c r="T131" i="35"/>
  <c r="Q131" i="34"/>
  <c r="T131" i="36"/>
  <c r="I154" i="33"/>
  <c r="T161" i="42"/>
  <c r="T162" i="41"/>
  <c r="T161" i="40"/>
  <c r="T160" i="37"/>
  <c r="T162" i="39"/>
  <c r="T161" i="38"/>
  <c r="T157" i="35"/>
  <c r="T158" i="36"/>
  <c r="Q155" i="34"/>
  <c r="I155"/>
  <c r="H196" i="39"/>
  <c r="H195" i="38"/>
  <c r="H152" i="42"/>
  <c r="O152" s="1"/>
  <c r="P152" s="1"/>
  <c r="H152" i="40"/>
  <c r="H124" i="41"/>
  <c r="H124" i="42"/>
  <c r="H81" i="34"/>
  <c r="H83" i="33"/>
  <c r="H45" i="34"/>
  <c r="H47" i="33"/>
  <c r="H13" i="41"/>
  <c r="O13" s="1"/>
  <c r="P13" s="1"/>
  <c r="H13" i="42"/>
  <c r="O13" s="1"/>
  <c r="P13" s="1"/>
  <c r="O13" i="40"/>
  <c r="P13" s="1"/>
  <c r="U118" i="41"/>
  <c r="U118" i="42"/>
  <c r="U118" i="40"/>
  <c r="U118" i="38"/>
  <c r="U118" i="37"/>
  <c r="U118" i="39"/>
  <c r="U118" i="35"/>
  <c r="J118" i="34"/>
  <c r="R118"/>
  <c r="U118" i="36"/>
  <c r="K118" i="33"/>
  <c r="U78" i="42"/>
  <c r="U78" i="41"/>
  <c r="U78" i="40"/>
  <c r="U78" i="39"/>
  <c r="U78" i="38"/>
  <c r="U78" i="37"/>
  <c r="U78" i="36"/>
  <c r="R78" i="34"/>
  <c r="U78" i="35"/>
  <c r="J78" i="34"/>
  <c r="K78" i="33"/>
  <c r="T124" i="41"/>
  <c r="T124" i="42"/>
  <c r="T124" i="40"/>
  <c r="T124" i="39"/>
  <c r="T124" i="38"/>
  <c r="T124" i="37"/>
  <c r="T124" i="36"/>
  <c r="T124" i="35"/>
  <c r="Q124" i="34"/>
  <c r="I124"/>
  <c r="K66" i="33"/>
  <c r="U66" i="42"/>
  <c r="U66" i="41"/>
  <c r="U66" i="40"/>
  <c r="U66" i="39"/>
  <c r="U66" i="37"/>
  <c r="U66" i="38"/>
  <c r="U66" i="36"/>
  <c r="J66" i="34"/>
  <c r="U66" i="35"/>
  <c r="J68" i="33"/>
  <c r="R66" i="34"/>
  <c r="H33" i="41"/>
  <c r="O33" s="1"/>
  <c r="P33" s="1"/>
  <c r="H33" i="42"/>
  <c r="O33" s="1"/>
  <c r="P33" s="1"/>
  <c r="O33" i="40"/>
  <c r="P33" s="1"/>
  <c r="J30" i="33"/>
  <c r="H23"/>
  <c r="H115"/>
  <c r="H110" s="1"/>
  <c r="H97" s="1"/>
  <c r="K148"/>
  <c r="L148" s="1"/>
  <c r="K90"/>
  <c r="L90" s="1"/>
  <c r="K104" i="32"/>
  <c r="L104" s="1"/>
  <c r="O129" i="38"/>
  <c r="P129" s="1"/>
  <c r="K204" i="33"/>
  <c r="U209" i="37"/>
  <c r="U210" i="38"/>
  <c r="U206" i="35"/>
  <c r="R204" i="34"/>
  <c r="U207" i="36"/>
  <c r="J204" i="34"/>
  <c r="K201" i="33"/>
  <c r="L201" s="1"/>
  <c r="U207" i="38"/>
  <c r="U206" i="37"/>
  <c r="J201" i="34"/>
  <c r="K201" s="1"/>
  <c r="L201" s="1"/>
  <c r="R201"/>
  <c r="U204" i="36"/>
  <c r="U203" i="35"/>
  <c r="J203"/>
  <c r="T205" i="37"/>
  <c r="T206" i="38"/>
  <c r="T202" i="35"/>
  <c r="T203" i="36"/>
  <c r="Q200" i="34"/>
  <c r="I200"/>
  <c r="H208" i="37"/>
  <c r="J202" i="35"/>
  <c r="Q188" i="33"/>
  <c r="I139" i="32"/>
  <c r="K203" i="33"/>
  <c r="L203" s="1"/>
  <c r="U209" i="38"/>
  <c r="U208" i="37"/>
  <c r="U205" i="35"/>
  <c r="J205"/>
  <c r="U206" i="36"/>
  <c r="J203" i="34"/>
  <c r="K203" s="1"/>
  <c r="L203" s="1"/>
  <c r="R203"/>
  <c r="H200"/>
  <c r="H188" i="33"/>
  <c r="K202"/>
  <c r="L202" s="1"/>
  <c r="U208" i="38"/>
  <c r="U207" i="37"/>
  <c r="U205" i="36"/>
  <c r="R202" i="34"/>
  <c r="U204" i="35"/>
  <c r="J202" i="34"/>
  <c r="K202" s="1"/>
  <c r="L202" s="1"/>
  <c r="J204" i="35"/>
  <c r="H202" i="36"/>
  <c r="K128" i="33"/>
  <c r="L128" s="1"/>
  <c r="J188" i="32"/>
  <c r="K188" s="1"/>
  <c r="L188" s="1"/>
  <c r="J192" i="33"/>
  <c r="K185"/>
  <c r="J184"/>
  <c r="J179"/>
  <c r="K180"/>
  <c r="L180" s="1"/>
  <c r="K173"/>
  <c r="J172"/>
  <c r="K169"/>
  <c r="J171"/>
  <c r="K166"/>
  <c r="J168"/>
  <c r="K163"/>
  <c r="J165"/>
  <c r="K157"/>
  <c r="J159"/>
  <c r="J156"/>
  <c r="K152"/>
  <c r="J151"/>
  <c r="K141"/>
  <c r="L141" s="1"/>
  <c r="J140"/>
  <c r="K75"/>
  <c r="J73"/>
  <c r="K36"/>
  <c r="L36" s="1"/>
  <c r="J35"/>
  <c r="F207"/>
  <c r="G207" s="1"/>
  <c r="K154"/>
  <c r="L154" s="1"/>
  <c r="K154" i="32"/>
  <c r="L154" s="1"/>
  <c r="J10" i="33"/>
  <c r="K30" i="32"/>
  <c r="L30" s="1"/>
  <c r="J10"/>
  <c r="K93" i="33"/>
  <c r="L93" s="1"/>
  <c r="G213"/>
  <c r="G206"/>
  <c r="G97" i="32"/>
  <c r="F8"/>
  <c r="T87" i="30"/>
  <c r="F87" i="31"/>
  <c r="J88"/>
  <c r="J88" i="32" s="1"/>
  <c r="I224" i="31"/>
  <c r="H220"/>
  <c r="H221" s="1"/>
  <c r="H225" s="1"/>
  <c r="D220"/>
  <c r="H219"/>
  <c r="D219"/>
  <c r="K215"/>
  <c r="J215"/>
  <c r="I215"/>
  <c r="R215" i="32" s="1"/>
  <c r="H215" i="31"/>
  <c r="H218" s="1"/>
  <c r="I221" s="1"/>
  <c r="G215"/>
  <c r="F215"/>
  <c r="E215"/>
  <c r="D215"/>
  <c r="D218" s="1"/>
  <c r="J212"/>
  <c r="I212"/>
  <c r="H212"/>
  <c r="H211" s="1"/>
  <c r="F212"/>
  <c r="F211" s="1"/>
  <c r="E212"/>
  <c r="E211" s="1"/>
  <c r="D212"/>
  <c r="D211" s="1"/>
  <c r="K210"/>
  <c r="L210" s="1"/>
  <c r="G210"/>
  <c r="J209"/>
  <c r="F209"/>
  <c r="K208"/>
  <c r="L208" s="1"/>
  <c r="G208"/>
  <c r="K204"/>
  <c r="G204"/>
  <c r="K203"/>
  <c r="L203" s="1"/>
  <c r="G203"/>
  <c r="K202"/>
  <c r="L202" s="1"/>
  <c r="G202"/>
  <c r="K201"/>
  <c r="L201" s="1"/>
  <c r="G201"/>
  <c r="K200"/>
  <c r="L200" s="1"/>
  <c r="G200"/>
  <c r="K199"/>
  <c r="G199"/>
  <c r="K198"/>
  <c r="L198" s="1"/>
  <c r="G198"/>
  <c r="K197"/>
  <c r="L197" s="1"/>
  <c r="G197"/>
  <c r="K196"/>
  <c r="L196" s="1"/>
  <c r="G196"/>
  <c r="K195"/>
  <c r="L195" s="1"/>
  <c r="G195"/>
  <c r="K194"/>
  <c r="L194" s="1"/>
  <c r="G194"/>
  <c r="K193"/>
  <c r="L193" s="1"/>
  <c r="G193"/>
  <c r="J192"/>
  <c r="I192"/>
  <c r="H192"/>
  <c r="H188" s="1"/>
  <c r="F192"/>
  <c r="F188" s="1"/>
  <c r="E192"/>
  <c r="E188" s="1"/>
  <c r="D192"/>
  <c r="D188" s="1"/>
  <c r="K191"/>
  <c r="L191" s="1"/>
  <c r="G191"/>
  <c r="K190"/>
  <c r="L190" s="1"/>
  <c r="G190"/>
  <c r="K189"/>
  <c r="G189"/>
  <c r="K187"/>
  <c r="G187"/>
  <c r="K186"/>
  <c r="G186"/>
  <c r="K185"/>
  <c r="G185"/>
  <c r="J184"/>
  <c r="H184"/>
  <c r="F184"/>
  <c r="G184" s="1"/>
  <c r="D184"/>
  <c r="K183"/>
  <c r="L183" s="1"/>
  <c r="G183"/>
  <c r="K182"/>
  <c r="L182" s="1"/>
  <c r="G182"/>
  <c r="K181"/>
  <c r="L181" s="1"/>
  <c r="G181"/>
  <c r="K180"/>
  <c r="L180" s="1"/>
  <c r="G180"/>
  <c r="J179"/>
  <c r="I179"/>
  <c r="R179" i="32" s="1"/>
  <c r="H179" i="31"/>
  <c r="F179"/>
  <c r="G179" s="1"/>
  <c r="E179"/>
  <c r="D179"/>
  <c r="K178"/>
  <c r="G178"/>
  <c r="K177"/>
  <c r="H177"/>
  <c r="G177"/>
  <c r="D177"/>
  <c r="G176"/>
  <c r="K175"/>
  <c r="G175"/>
  <c r="K174"/>
  <c r="G174"/>
  <c r="K173"/>
  <c r="G173"/>
  <c r="J172"/>
  <c r="F172"/>
  <c r="G172" s="1"/>
  <c r="K171"/>
  <c r="H171"/>
  <c r="G171"/>
  <c r="D171"/>
  <c r="K170"/>
  <c r="G170"/>
  <c r="K169"/>
  <c r="G169"/>
  <c r="K168"/>
  <c r="H168"/>
  <c r="G168"/>
  <c r="D168"/>
  <c r="K167"/>
  <c r="G167"/>
  <c r="K166"/>
  <c r="G166"/>
  <c r="K165"/>
  <c r="H165"/>
  <c r="G165"/>
  <c r="D165"/>
  <c r="K164"/>
  <c r="G164"/>
  <c r="K163"/>
  <c r="G163"/>
  <c r="K162"/>
  <c r="H162"/>
  <c r="G162"/>
  <c r="D162"/>
  <c r="K161"/>
  <c r="G161"/>
  <c r="K160"/>
  <c r="G160"/>
  <c r="K159"/>
  <c r="G159"/>
  <c r="K158"/>
  <c r="G158"/>
  <c r="K157"/>
  <c r="G157"/>
  <c r="J156"/>
  <c r="H156"/>
  <c r="F156"/>
  <c r="G156" s="1"/>
  <c r="D156"/>
  <c r="J154"/>
  <c r="G155"/>
  <c r="I154"/>
  <c r="R154" i="32" s="1"/>
  <c r="H154" i="31"/>
  <c r="F154"/>
  <c r="G154" s="1"/>
  <c r="E154"/>
  <c r="D154"/>
  <c r="K153"/>
  <c r="G153"/>
  <c r="K152"/>
  <c r="G152"/>
  <c r="J151"/>
  <c r="H151"/>
  <c r="F151"/>
  <c r="G151" s="1"/>
  <c r="D151"/>
  <c r="K150"/>
  <c r="L150" s="1"/>
  <c r="G150"/>
  <c r="K148"/>
  <c r="L148" s="1"/>
  <c r="G148"/>
  <c r="K147"/>
  <c r="L147" s="1"/>
  <c r="G147"/>
  <c r="K146"/>
  <c r="L146" s="1"/>
  <c r="G146"/>
  <c r="K145"/>
  <c r="L145" s="1"/>
  <c r="G145"/>
  <c r="K144"/>
  <c r="H144"/>
  <c r="G144"/>
  <c r="D144"/>
  <c r="K143"/>
  <c r="G143"/>
  <c r="K142"/>
  <c r="L142" s="1"/>
  <c r="G142"/>
  <c r="K141"/>
  <c r="L141" s="1"/>
  <c r="G141"/>
  <c r="J140"/>
  <c r="I140"/>
  <c r="R140" i="32" s="1"/>
  <c r="H140" i="31"/>
  <c r="F140"/>
  <c r="E140"/>
  <c r="D140"/>
  <c r="K137"/>
  <c r="L137" s="1"/>
  <c r="G137"/>
  <c r="K136"/>
  <c r="L136" s="1"/>
  <c r="G136"/>
  <c r="K135"/>
  <c r="G135"/>
  <c r="K134"/>
  <c r="L134" s="1"/>
  <c r="G134"/>
  <c r="K133"/>
  <c r="G133"/>
  <c r="K132"/>
  <c r="G132"/>
  <c r="K131"/>
  <c r="L131" s="1"/>
  <c r="G131"/>
  <c r="K130"/>
  <c r="L130" s="1"/>
  <c r="G130"/>
  <c r="K129"/>
  <c r="L129" s="1"/>
  <c r="G129"/>
  <c r="K128"/>
  <c r="L128" s="1"/>
  <c r="G128"/>
  <c r="K127"/>
  <c r="L127" s="1"/>
  <c r="G127"/>
  <c r="K126"/>
  <c r="L126" s="1"/>
  <c r="G126"/>
  <c r="K124"/>
  <c r="L124" s="1"/>
  <c r="G124"/>
  <c r="K123"/>
  <c r="L123" s="1"/>
  <c r="G123"/>
  <c r="K122"/>
  <c r="L122" s="1"/>
  <c r="G122"/>
  <c r="E121"/>
  <c r="J119"/>
  <c r="H119"/>
  <c r="F119"/>
  <c r="G119" s="1"/>
  <c r="D119"/>
  <c r="K118"/>
  <c r="G118"/>
  <c r="K117"/>
  <c r="G117"/>
  <c r="K116"/>
  <c r="G116"/>
  <c r="J115"/>
  <c r="H115"/>
  <c r="F115"/>
  <c r="G115" s="1"/>
  <c r="D115"/>
  <c r="K114"/>
  <c r="G114"/>
  <c r="K113"/>
  <c r="G113"/>
  <c r="K112"/>
  <c r="G112"/>
  <c r="J111"/>
  <c r="F111"/>
  <c r="G111" s="1"/>
  <c r="I110"/>
  <c r="R110" i="32" s="1"/>
  <c r="E110" i="31"/>
  <c r="G109"/>
  <c r="K108"/>
  <c r="L108" s="1"/>
  <c r="G108"/>
  <c r="K107"/>
  <c r="L107" s="1"/>
  <c r="G107"/>
  <c r="K106"/>
  <c r="L106" s="1"/>
  <c r="G106"/>
  <c r="K105"/>
  <c r="L105" s="1"/>
  <c r="G105"/>
  <c r="J104"/>
  <c r="H104"/>
  <c r="F104"/>
  <c r="E104"/>
  <c r="D104"/>
  <c r="K103"/>
  <c r="L103" s="1"/>
  <c r="G103"/>
  <c r="K102"/>
  <c r="G102"/>
  <c r="K101"/>
  <c r="G101"/>
  <c r="K100"/>
  <c r="G100"/>
  <c r="K99"/>
  <c r="L99" s="1"/>
  <c r="H99"/>
  <c r="G99"/>
  <c r="D99"/>
  <c r="K98"/>
  <c r="L98" s="1"/>
  <c r="G98"/>
  <c r="K96"/>
  <c r="L96" s="1"/>
  <c r="G96"/>
  <c r="J95"/>
  <c r="I95"/>
  <c r="R95" i="32" s="1"/>
  <c r="H95" i="31"/>
  <c r="F95"/>
  <c r="E95"/>
  <c r="D95"/>
  <c r="K94"/>
  <c r="L94" s="1"/>
  <c r="G94"/>
  <c r="J93"/>
  <c r="I93"/>
  <c r="R93" i="32" s="1"/>
  <c r="H93" i="31"/>
  <c r="F93"/>
  <c r="E93"/>
  <c r="D93"/>
  <c r="K91"/>
  <c r="L91" s="1"/>
  <c r="G91"/>
  <c r="K90"/>
  <c r="L90" s="1"/>
  <c r="G90"/>
  <c r="K89"/>
  <c r="L89" s="1"/>
  <c r="G89"/>
  <c r="G88"/>
  <c r="I87"/>
  <c r="R87" i="32" s="1"/>
  <c r="H87" i="31"/>
  <c r="E87"/>
  <c r="D87"/>
  <c r="K86"/>
  <c r="H86"/>
  <c r="G86"/>
  <c r="D86"/>
  <c r="K85"/>
  <c r="G85"/>
  <c r="K84"/>
  <c r="G84"/>
  <c r="K83"/>
  <c r="H83"/>
  <c r="G83"/>
  <c r="D83"/>
  <c r="K82"/>
  <c r="G82"/>
  <c r="K81"/>
  <c r="G81"/>
  <c r="K80"/>
  <c r="H80"/>
  <c r="G80"/>
  <c r="D80"/>
  <c r="K79"/>
  <c r="G79"/>
  <c r="K78"/>
  <c r="G78"/>
  <c r="K77"/>
  <c r="H77"/>
  <c r="G77"/>
  <c r="D77"/>
  <c r="K76"/>
  <c r="G76"/>
  <c r="K75"/>
  <c r="G75"/>
  <c r="K74"/>
  <c r="H74"/>
  <c r="G74"/>
  <c r="D74"/>
  <c r="J73"/>
  <c r="I73"/>
  <c r="R73" i="32" s="1"/>
  <c r="H73" i="31"/>
  <c r="H72" s="1"/>
  <c r="F73"/>
  <c r="F72" s="1"/>
  <c r="J72" s="1"/>
  <c r="E73"/>
  <c r="D73"/>
  <c r="D72" s="1"/>
  <c r="K72"/>
  <c r="L72" s="1"/>
  <c r="K71"/>
  <c r="H71"/>
  <c r="G71"/>
  <c r="D71"/>
  <c r="K70"/>
  <c r="G70"/>
  <c r="K69"/>
  <c r="G69"/>
  <c r="K68"/>
  <c r="H68"/>
  <c r="G68"/>
  <c r="D68"/>
  <c r="K67"/>
  <c r="G67"/>
  <c r="K66"/>
  <c r="G66"/>
  <c r="K65"/>
  <c r="H65"/>
  <c r="G65"/>
  <c r="D65"/>
  <c r="K64"/>
  <c r="G64"/>
  <c r="K63"/>
  <c r="G63"/>
  <c r="K62"/>
  <c r="H62"/>
  <c r="G62"/>
  <c r="D62"/>
  <c r="K61"/>
  <c r="G61"/>
  <c r="K60"/>
  <c r="G60"/>
  <c r="K59"/>
  <c r="H59"/>
  <c r="G59"/>
  <c r="D59"/>
  <c r="K58"/>
  <c r="G58"/>
  <c r="K57"/>
  <c r="G57"/>
  <c r="K56"/>
  <c r="H56"/>
  <c r="G56"/>
  <c r="D56"/>
  <c r="K55"/>
  <c r="G55"/>
  <c r="K54"/>
  <c r="G54"/>
  <c r="K53"/>
  <c r="G53"/>
  <c r="K52"/>
  <c r="H52"/>
  <c r="G52"/>
  <c r="D52"/>
  <c r="J51"/>
  <c r="H51"/>
  <c r="F51"/>
  <c r="G51" s="1"/>
  <c r="D51"/>
  <c r="K50"/>
  <c r="H50"/>
  <c r="G50"/>
  <c r="D50"/>
  <c r="K49"/>
  <c r="G49"/>
  <c r="G48"/>
  <c r="K47"/>
  <c r="H47"/>
  <c r="G47"/>
  <c r="D47"/>
  <c r="K46"/>
  <c r="G46"/>
  <c r="K45"/>
  <c r="G45"/>
  <c r="K44"/>
  <c r="H44"/>
  <c r="G44"/>
  <c r="D44"/>
  <c r="K43"/>
  <c r="G43"/>
  <c r="K42"/>
  <c r="G42"/>
  <c r="J41"/>
  <c r="I41"/>
  <c r="R41" i="32" s="1"/>
  <c r="H41" i="31"/>
  <c r="F41"/>
  <c r="E41"/>
  <c r="D41"/>
  <c r="J40"/>
  <c r="H40"/>
  <c r="F40"/>
  <c r="G40" s="1"/>
  <c r="D40"/>
  <c r="K39"/>
  <c r="G39"/>
  <c r="K38"/>
  <c r="L38" s="1"/>
  <c r="G38"/>
  <c r="K36"/>
  <c r="L36" s="1"/>
  <c r="G36"/>
  <c r="J35"/>
  <c r="I35"/>
  <c r="H35"/>
  <c r="F35"/>
  <c r="E35"/>
  <c r="E10" s="1"/>
  <c r="D35"/>
  <c r="K34"/>
  <c r="G34"/>
  <c r="K33"/>
  <c r="G33"/>
  <c r="K32"/>
  <c r="G32"/>
  <c r="K31"/>
  <c r="G31"/>
  <c r="J30"/>
  <c r="H30"/>
  <c r="F30"/>
  <c r="G30" s="1"/>
  <c r="D30"/>
  <c r="K29"/>
  <c r="H29"/>
  <c r="G29"/>
  <c r="D29"/>
  <c r="K28"/>
  <c r="G28"/>
  <c r="K27"/>
  <c r="G27"/>
  <c r="H26"/>
  <c r="G26"/>
  <c r="D26"/>
  <c r="K25"/>
  <c r="G25"/>
  <c r="K24"/>
  <c r="G24"/>
  <c r="K23"/>
  <c r="H23"/>
  <c r="G23"/>
  <c r="D23"/>
  <c r="K22"/>
  <c r="G22"/>
  <c r="K21"/>
  <c r="G21"/>
  <c r="K20"/>
  <c r="H20"/>
  <c r="G20"/>
  <c r="D20"/>
  <c r="K19"/>
  <c r="G19"/>
  <c r="K18"/>
  <c r="G18"/>
  <c r="K17"/>
  <c r="H17"/>
  <c r="G17"/>
  <c r="D17"/>
  <c r="K16"/>
  <c r="G16"/>
  <c r="K15"/>
  <c r="G15"/>
  <c r="K14"/>
  <c r="H14"/>
  <c r="G14"/>
  <c r="D14"/>
  <c r="K13"/>
  <c r="G13"/>
  <c r="K12"/>
  <c r="G12"/>
  <c r="J11"/>
  <c r="H11"/>
  <c r="F11"/>
  <c r="G11" s="1"/>
  <c r="D11"/>
  <c r="H220" i="30"/>
  <c r="H219"/>
  <c r="K215"/>
  <c r="J215"/>
  <c r="I215"/>
  <c r="H215"/>
  <c r="H218" s="1"/>
  <c r="K212"/>
  <c r="L212" s="1"/>
  <c r="J212"/>
  <c r="J211" s="1"/>
  <c r="I212"/>
  <c r="H212"/>
  <c r="I211"/>
  <c r="H211"/>
  <c r="K210"/>
  <c r="L210" s="1"/>
  <c r="J209"/>
  <c r="K208"/>
  <c r="L208" s="1"/>
  <c r="K204"/>
  <c r="K203"/>
  <c r="L203" s="1"/>
  <c r="K202"/>
  <c r="L202" s="1"/>
  <c r="K201"/>
  <c r="L201" s="1"/>
  <c r="K200"/>
  <c r="L200" s="1"/>
  <c r="K199"/>
  <c r="K198"/>
  <c r="L198" s="1"/>
  <c r="K197"/>
  <c r="L197" s="1"/>
  <c r="K196"/>
  <c r="L196" s="1"/>
  <c r="K195"/>
  <c r="L195" s="1"/>
  <c r="K194"/>
  <c r="L194" s="1"/>
  <c r="K193"/>
  <c r="L193" s="1"/>
  <c r="J192"/>
  <c r="I192"/>
  <c r="I188" s="1"/>
  <c r="I139" s="1"/>
  <c r="H192"/>
  <c r="H188" s="1"/>
  <c r="K191"/>
  <c r="L191" s="1"/>
  <c r="K190"/>
  <c r="L190" s="1"/>
  <c r="K189"/>
  <c r="K187"/>
  <c r="K186"/>
  <c r="K185"/>
  <c r="J184"/>
  <c r="H184"/>
  <c r="K183"/>
  <c r="L183" s="1"/>
  <c r="K182"/>
  <c r="L182" s="1"/>
  <c r="K181"/>
  <c r="L181" s="1"/>
  <c r="K180"/>
  <c r="L180" s="1"/>
  <c r="J179"/>
  <c r="I179"/>
  <c r="H179"/>
  <c r="K178"/>
  <c r="K177"/>
  <c r="H177"/>
  <c r="K176"/>
  <c r="L176" s="1"/>
  <c r="K175"/>
  <c r="K174"/>
  <c r="K173"/>
  <c r="K172"/>
  <c r="L172" s="1"/>
  <c r="J172"/>
  <c r="K171"/>
  <c r="H171"/>
  <c r="K170"/>
  <c r="K169"/>
  <c r="K168"/>
  <c r="H168"/>
  <c r="K167"/>
  <c r="K166"/>
  <c r="K165"/>
  <c r="H165"/>
  <c r="K164"/>
  <c r="K163"/>
  <c r="K162"/>
  <c r="H162"/>
  <c r="K161"/>
  <c r="K160"/>
  <c r="K159"/>
  <c r="K158"/>
  <c r="K157"/>
  <c r="J156"/>
  <c r="H156"/>
  <c r="K155"/>
  <c r="L155" s="1"/>
  <c r="J154"/>
  <c r="I154"/>
  <c r="H154"/>
  <c r="K153"/>
  <c r="K152"/>
  <c r="J151"/>
  <c r="K151" s="1"/>
  <c r="L151" s="1"/>
  <c r="H151"/>
  <c r="K150"/>
  <c r="L150" s="1"/>
  <c r="K148"/>
  <c r="L148" s="1"/>
  <c r="K147"/>
  <c r="L147" s="1"/>
  <c r="K146"/>
  <c r="L146" s="1"/>
  <c r="K145"/>
  <c r="L145" s="1"/>
  <c r="K144"/>
  <c r="H144"/>
  <c r="K143"/>
  <c r="K142"/>
  <c r="L142" s="1"/>
  <c r="K141"/>
  <c r="L141" s="1"/>
  <c r="J140"/>
  <c r="I140"/>
  <c r="H140"/>
  <c r="K137"/>
  <c r="L137" s="1"/>
  <c r="K136"/>
  <c r="L136" s="1"/>
  <c r="K135"/>
  <c r="K134"/>
  <c r="L134" s="1"/>
  <c r="K133"/>
  <c r="K132"/>
  <c r="K131"/>
  <c r="L131" s="1"/>
  <c r="K130"/>
  <c r="L130" s="1"/>
  <c r="K129"/>
  <c r="L129" s="1"/>
  <c r="K128"/>
  <c r="L128" s="1"/>
  <c r="K127"/>
  <c r="L127" s="1"/>
  <c r="K126"/>
  <c r="L126" s="1"/>
  <c r="J125"/>
  <c r="K124"/>
  <c r="L124" s="1"/>
  <c r="K123"/>
  <c r="L123" s="1"/>
  <c r="K122"/>
  <c r="L122" s="1"/>
  <c r="I121"/>
  <c r="K121" s="1"/>
  <c r="L121" s="1"/>
  <c r="J119"/>
  <c r="H119"/>
  <c r="K118"/>
  <c r="K117"/>
  <c r="K116"/>
  <c r="J115"/>
  <c r="T115" s="1"/>
  <c r="H115"/>
  <c r="H110" s="1"/>
  <c r="K114"/>
  <c r="K113"/>
  <c r="K112"/>
  <c r="J111"/>
  <c r="I110"/>
  <c r="K109"/>
  <c r="L109" s="1"/>
  <c r="J109"/>
  <c r="K108"/>
  <c r="L108" s="1"/>
  <c r="K107"/>
  <c r="L107" s="1"/>
  <c r="K106"/>
  <c r="L106" s="1"/>
  <c r="K105"/>
  <c r="L105" s="1"/>
  <c r="J104"/>
  <c r="I104"/>
  <c r="H104"/>
  <c r="K103"/>
  <c r="L103" s="1"/>
  <c r="K102"/>
  <c r="K101"/>
  <c r="K100"/>
  <c r="K99"/>
  <c r="L99" s="1"/>
  <c r="H99"/>
  <c r="K98"/>
  <c r="L98" s="1"/>
  <c r="I97"/>
  <c r="K96"/>
  <c r="L96" s="1"/>
  <c r="J95"/>
  <c r="I95"/>
  <c r="H95"/>
  <c r="K94"/>
  <c r="L94" s="1"/>
  <c r="J93"/>
  <c r="K93" s="1"/>
  <c r="L93" s="1"/>
  <c r="I93"/>
  <c r="H93"/>
  <c r="K91"/>
  <c r="L91" s="1"/>
  <c r="K90"/>
  <c r="L90" s="1"/>
  <c r="K89"/>
  <c r="L89" s="1"/>
  <c r="K88"/>
  <c r="L88" s="1"/>
  <c r="I87"/>
  <c r="K87" s="1"/>
  <c r="L87" s="1"/>
  <c r="H87"/>
  <c r="K86"/>
  <c r="H86"/>
  <c r="K85"/>
  <c r="K84"/>
  <c r="K83"/>
  <c r="H83"/>
  <c r="K82"/>
  <c r="K81"/>
  <c r="K80"/>
  <c r="H80"/>
  <c r="K79"/>
  <c r="K78"/>
  <c r="K77"/>
  <c r="H77"/>
  <c r="K76"/>
  <c r="K75"/>
  <c r="K74"/>
  <c r="H74"/>
  <c r="J73"/>
  <c r="I73"/>
  <c r="H73"/>
  <c r="H72" s="1"/>
  <c r="K72"/>
  <c r="L72" s="1"/>
  <c r="K71"/>
  <c r="H71"/>
  <c r="K70"/>
  <c r="K69"/>
  <c r="K68"/>
  <c r="H68"/>
  <c r="K67"/>
  <c r="K66"/>
  <c r="K65"/>
  <c r="H65"/>
  <c r="K64"/>
  <c r="K63"/>
  <c r="K62"/>
  <c r="H62"/>
  <c r="K61"/>
  <c r="K60"/>
  <c r="K59"/>
  <c r="H59"/>
  <c r="K58"/>
  <c r="K57"/>
  <c r="K56"/>
  <c r="H56"/>
  <c r="K55"/>
  <c r="K54"/>
  <c r="K53"/>
  <c r="H53"/>
  <c r="K52"/>
  <c r="H52"/>
  <c r="J51"/>
  <c r="H51"/>
  <c r="H50"/>
  <c r="K49"/>
  <c r="J48"/>
  <c r="K47"/>
  <c r="H47"/>
  <c r="K46"/>
  <c r="K45"/>
  <c r="K44"/>
  <c r="H44"/>
  <c r="K43"/>
  <c r="K42"/>
  <c r="J41"/>
  <c r="K41" s="1"/>
  <c r="I41"/>
  <c r="H41"/>
  <c r="J40"/>
  <c r="K40" s="1"/>
  <c r="H40"/>
  <c r="K39"/>
  <c r="K38"/>
  <c r="L38" s="1"/>
  <c r="I37"/>
  <c r="H37"/>
  <c r="K36"/>
  <c r="L36" s="1"/>
  <c r="J35"/>
  <c r="I35"/>
  <c r="H35"/>
  <c r="K34"/>
  <c r="K33"/>
  <c r="K32"/>
  <c r="K31"/>
  <c r="J30"/>
  <c r="K30" s="1"/>
  <c r="L30" s="1"/>
  <c r="H30"/>
  <c r="K29"/>
  <c r="H29"/>
  <c r="K28"/>
  <c r="K27"/>
  <c r="H26"/>
  <c r="K25"/>
  <c r="K24"/>
  <c r="K23"/>
  <c r="H23"/>
  <c r="K22"/>
  <c r="K21"/>
  <c r="K20"/>
  <c r="H20"/>
  <c r="K19"/>
  <c r="K18"/>
  <c r="K17"/>
  <c r="H17"/>
  <c r="K16"/>
  <c r="K15"/>
  <c r="K14"/>
  <c r="H14"/>
  <c r="K13"/>
  <c r="K12"/>
  <c r="J11"/>
  <c r="H11"/>
  <c r="I10"/>
  <c r="I9" s="1"/>
  <c r="I8" s="1"/>
  <c r="F212"/>
  <c r="F211" s="1"/>
  <c r="F192"/>
  <c r="F188" s="1"/>
  <c r="F156"/>
  <c r="G155"/>
  <c r="F172"/>
  <c r="F176"/>
  <c r="J176" s="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1"/>
  <c r="G32"/>
  <c r="G33"/>
  <c r="G34"/>
  <c r="G36"/>
  <c r="G38"/>
  <c r="G39"/>
  <c r="G41"/>
  <c r="G42"/>
  <c r="G43"/>
  <c r="G44"/>
  <c r="G45"/>
  <c r="G46"/>
  <c r="G47"/>
  <c r="G49"/>
  <c r="G50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4"/>
  <c r="G75"/>
  <c r="G76"/>
  <c r="G77"/>
  <c r="G78"/>
  <c r="G79"/>
  <c r="G80"/>
  <c r="G81"/>
  <c r="G83"/>
  <c r="G84"/>
  <c r="G85"/>
  <c r="G86"/>
  <c r="G87"/>
  <c r="G88"/>
  <c r="G89"/>
  <c r="G90"/>
  <c r="G91"/>
  <c r="G94"/>
  <c r="G96"/>
  <c r="G98"/>
  <c r="G99"/>
  <c r="G100"/>
  <c r="G101"/>
  <c r="G102"/>
  <c r="G103"/>
  <c r="G105"/>
  <c r="G106"/>
  <c r="G107"/>
  <c r="G108"/>
  <c r="G111"/>
  <c r="G112"/>
  <c r="G113"/>
  <c r="G114"/>
  <c r="G115"/>
  <c r="G116"/>
  <c r="G117"/>
  <c r="G118"/>
  <c r="G119"/>
  <c r="G122"/>
  <c r="G123"/>
  <c r="G124"/>
  <c r="G126"/>
  <c r="G127"/>
  <c r="G128"/>
  <c r="G129"/>
  <c r="G130"/>
  <c r="G131"/>
  <c r="G132"/>
  <c r="G133"/>
  <c r="G134"/>
  <c r="G135"/>
  <c r="G136"/>
  <c r="G137"/>
  <c r="G141"/>
  <c r="G142"/>
  <c r="G143"/>
  <c r="G144"/>
  <c r="G145"/>
  <c r="G146"/>
  <c r="G147"/>
  <c r="G148"/>
  <c r="G150"/>
  <c r="G152"/>
  <c r="G153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80"/>
  <c r="G181"/>
  <c r="G182"/>
  <c r="G183"/>
  <c r="G185"/>
  <c r="G186"/>
  <c r="G187"/>
  <c r="G189"/>
  <c r="G190"/>
  <c r="G191"/>
  <c r="G193"/>
  <c r="G194"/>
  <c r="G195"/>
  <c r="G196"/>
  <c r="G197"/>
  <c r="G198"/>
  <c r="G199"/>
  <c r="G200"/>
  <c r="G201"/>
  <c r="G202"/>
  <c r="G203"/>
  <c r="G204"/>
  <c r="G208"/>
  <c r="G210"/>
  <c r="D87"/>
  <c r="F110"/>
  <c r="E110"/>
  <c r="F115"/>
  <c r="E104"/>
  <c r="F104"/>
  <c r="G104" s="1"/>
  <c r="E35"/>
  <c r="F35"/>
  <c r="T35" s="1"/>
  <c r="F11"/>
  <c r="G11" s="1"/>
  <c r="F184"/>
  <c r="G184" s="1"/>
  <c r="F179"/>
  <c r="G156"/>
  <c r="F151"/>
  <c r="F140"/>
  <c r="G140" s="1"/>
  <c r="E73"/>
  <c r="F73"/>
  <c r="F119"/>
  <c r="F51"/>
  <c r="F37" s="1"/>
  <c r="G37" s="1"/>
  <c r="F40"/>
  <c r="G40" s="1"/>
  <c r="E41"/>
  <c r="F41"/>
  <c r="F111"/>
  <c r="F30"/>
  <c r="F125"/>
  <c r="G125" s="1"/>
  <c r="F95"/>
  <c r="T95" s="1"/>
  <c r="F93"/>
  <c r="T93" s="1"/>
  <c r="F48"/>
  <c r="F50" s="1"/>
  <c r="F109"/>
  <c r="G109" s="1"/>
  <c r="E212"/>
  <c r="E211" s="1"/>
  <c r="S209"/>
  <c r="S208"/>
  <c r="S207"/>
  <c r="S206"/>
  <c r="S205"/>
  <c r="E140"/>
  <c r="S138"/>
  <c r="E154"/>
  <c r="S196"/>
  <c r="S195"/>
  <c r="S194"/>
  <c r="S193"/>
  <c r="E192"/>
  <c r="E188" s="1"/>
  <c r="E179"/>
  <c r="G179" s="1"/>
  <c r="S184"/>
  <c r="S182"/>
  <c r="S180"/>
  <c r="S181"/>
  <c r="S183"/>
  <c r="S190"/>
  <c r="S156"/>
  <c r="S172"/>
  <c r="S150"/>
  <c r="S176"/>
  <c r="S151"/>
  <c r="S147"/>
  <c r="S148"/>
  <c r="S146"/>
  <c r="S145"/>
  <c r="S142"/>
  <c r="S140"/>
  <c r="S30"/>
  <c r="S87"/>
  <c r="E10"/>
  <c r="E87"/>
  <c r="S8"/>
  <c r="S137"/>
  <c r="S136"/>
  <c r="S99"/>
  <c r="S127"/>
  <c r="S109"/>
  <c r="S111"/>
  <c r="S131"/>
  <c r="S126"/>
  <c r="S134"/>
  <c r="S125"/>
  <c r="S124"/>
  <c r="S123"/>
  <c r="E121"/>
  <c r="E120" s="1"/>
  <c r="G120" s="1"/>
  <c r="S119"/>
  <c r="S103"/>
  <c r="S115"/>
  <c r="S105"/>
  <c r="S107"/>
  <c r="P106"/>
  <c r="S106" s="1"/>
  <c r="S98"/>
  <c r="S96"/>
  <c r="E95"/>
  <c r="E93"/>
  <c r="S94"/>
  <c r="S89"/>
  <c r="S90"/>
  <c r="S91"/>
  <c r="S88"/>
  <c r="S35"/>
  <c r="S38"/>
  <c r="E37"/>
  <c r="F209"/>
  <c r="E215"/>
  <c r="F215"/>
  <c r="G215"/>
  <c r="D26"/>
  <c r="D220"/>
  <c r="D219"/>
  <c r="D177"/>
  <c r="D73"/>
  <c r="D72" s="1"/>
  <c r="D68"/>
  <c r="D11"/>
  <c r="D215"/>
  <c r="D218" s="1"/>
  <c r="D212"/>
  <c r="D211" s="1"/>
  <c r="D192"/>
  <c r="D188" s="1"/>
  <c r="D184"/>
  <c r="D179"/>
  <c r="D171"/>
  <c r="D168"/>
  <c r="D165"/>
  <c r="D162"/>
  <c r="D156"/>
  <c r="D154"/>
  <c r="D151"/>
  <c r="D144"/>
  <c r="D140"/>
  <c r="D119"/>
  <c r="D115"/>
  <c r="D110" s="1"/>
  <c r="D104"/>
  <c r="D99"/>
  <c r="D95"/>
  <c r="D93"/>
  <c r="D86"/>
  <c r="D83"/>
  <c r="D80"/>
  <c r="D77"/>
  <c r="D74"/>
  <c r="D71"/>
  <c r="D65"/>
  <c r="D62"/>
  <c r="D59"/>
  <c r="D56"/>
  <c r="D52"/>
  <c r="D51"/>
  <c r="D50"/>
  <c r="D47"/>
  <c r="D44"/>
  <c r="D41"/>
  <c r="D37" s="1"/>
  <c r="D40"/>
  <c r="D35"/>
  <c r="D30"/>
  <c r="D29"/>
  <c r="D23"/>
  <c r="D20"/>
  <c r="D17"/>
  <c r="D14"/>
  <c r="T211" l="1"/>
  <c r="K211"/>
  <c r="L211" s="1"/>
  <c r="T10" i="42"/>
  <c r="T10" i="41"/>
  <c r="T10" i="37"/>
  <c r="T10" i="38"/>
  <c r="T10" i="40"/>
  <c r="T10" i="39"/>
  <c r="Q10" i="34"/>
  <c r="T10" i="35"/>
  <c r="T10" i="36"/>
  <c r="U10" i="40"/>
  <c r="U10" i="42"/>
  <c r="U10" i="41"/>
  <c r="U10" i="38"/>
  <c r="U10" i="39"/>
  <c r="U10" i="37"/>
  <c r="R10" i="34"/>
  <c r="U10" i="35"/>
  <c r="U10" i="36"/>
  <c r="U30" i="40"/>
  <c r="U30" i="41"/>
  <c r="U30" i="42"/>
  <c r="U30" i="37"/>
  <c r="U30" i="39"/>
  <c r="U30" i="38"/>
  <c r="U30" i="35"/>
  <c r="U30" i="36"/>
  <c r="R30" i="34"/>
  <c r="K118"/>
  <c r="J118" i="35"/>
  <c r="H47" i="34"/>
  <c r="H45" i="35"/>
  <c r="I35" i="34"/>
  <c r="I10" s="1"/>
  <c r="I36" i="35"/>
  <c r="I183" i="39"/>
  <c r="K183" s="1"/>
  <c r="L183" s="1"/>
  <c r="I182" i="38"/>
  <c r="J124" i="36"/>
  <c r="O124" i="35"/>
  <c r="P124" s="1"/>
  <c r="K124"/>
  <c r="L124" s="1"/>
  <c r="U99" i="40"/>
  <c r="U99" i="41"/>
  <c r="U99" i="42"/>
  <c r="U99" i="38"/>
  <c r="U99" i="37"/>
  <c r="U99" i="39"/>
  <c r="R99" i="34"/>
  <c r="U99" i="36"/>
  <c r="U99" i="35"/>
  <c r="K99" i="33"/>
  <c r="L99" s="1"/>
  <c r="J100" i="35"/>
  <c r="K100" i="34"/>
  <c r="J99"/>
  <c r="K99" s="1"/>
  <c r="L99" s="1"/>
  <c r="H193" i="40"/>
  <c r="H194" i="41" s="1"/>
  <c r="H193" i="42"/>
  <c r="I106" i="38"/>
  <c r="I106" i="39"/>
  <c r="K106" s="1"/>
  <c r="L106" s="1"/>
  <c r="H168" i="34"/>
  <c r="H168" i="35" s="1"/>
  <c r="H166"/>
  <c r="H167" i="36" s="1"/>
  <c r="H169" i="37" s="1"/>
  <c r="J89" i="36"/>
  <c r="O89" i="35"/>
  <c r="P89" s="1"/>
  <c r="K89"/>
  <c r="L89" s="1"/>
  <c r="I201" i="39"/>
  <c r="K201" s="1"/>
  <c r="L201" s="1"/>
  <c r="I200" i="38"/>
  <c r="I92"/>
  <c r="I92" i="39"/>
  <c r="J162" i="35"/>
  <c r="K160" i="34"/>
  <c r="T198" i="42"/>
  <c r="T199" i="41"/>
  <c r="T198" i="40"/>
  <c r="T198" i="38"/>
  <c r="T197" i="37"/>
  <c r="T199" i="39"/>
  <c r="Q192" i="34"/>
  <c r="T194" i="35"/>
  <c r="T195" i="36"/>
  <c r="O200" i="40"/>
  <c r="P200" s="1"/>
  <c r="H201" i="41"/>
  <c r="O201" s="1"/>
  <c r="P201" s="1"/>
  <c r="I137" i="38"/>
  <c r="I137" i="39"/>
  <c r="K137" s="1"/>
  <c r="L137" s="1"/>
  <c r="K51" i="33"/>
  <c r="U51" i="42"/>
  <c r="U51" i="40"/>
  <c r="U51" i="41"/>
  <c r="U51" i="39"/>
  <c r="U51" i="38"/>
  <c r="U51" i="37"/>
  <c r="J53" i="33"/>
  <c r="U51" i="36"/>
  <c r="U51" i="35"/>
  <c r="R51" i="34"/>
  <c r="O129" i="41"/>
  <c r="P129" s="1"/>
  <c r="K129"/>
  <c r="L129" s="1"/>
  <c r="J134" i="35"/>
  <c r="K134" i="34"/>
  <c r="L134" s="1"/>
  <c r="I97" i="33"/>
  <c r="T110" i="41"/>
  <c r="T110" i="42"/>
  <c r="T110" i="40"/>
  <c r="T110" i="39"/>
  <c r="T110" i="37"/>
  <c r="T110" i="38"/>
  <c r="T110" i="36"/>
  <c r="T110" i="35"/>
  <c r="Q110" i="34"/>
  <c r="K135"/>
  <c r="J135" i="35"/>
  <c r="H116" i="36"/>
  <c r="H115" i="35"/>
  <c r="H188" i="41"/>
  <c r="O188" s="1"/>
  <c r="P188" s="1"/>
  <c r="O187" i="40"/>
  <c r="P187" s="1"/>
  <c r="U150" i="42"/>
  <c r="U151" i="41"/>
  <c r="U150" i="40"/>
  <c r="U151" i="39"/>
  <c r="U150" i="38"/>
  <c r="U149" i="37"/>
  <c r="U147" i="36"/>
  <c r="R144" i="34"/>
  <c r="U146" i="35"/>
  <c r="K144" i="33"/>
  <c r="H188" i="38"/>
  <c r="H189" i="39"/>
  <c r="O189" s="1"/>
  <c r="P189" s="1"/>
  <c r="H225" i="33"/>
  <c r="N225" s="1"/>
  <c r="N221"/>
  <c r="I205" i="39"/>
  <c r="I204" i="38"/>
  <c r="I153" i="39"/>
  <c r="K153" s="1"/>
  <c r="L153" s="1"/>
  <c r="I152" i="38"/>
  <c r="K131" i="34"/>
  <c r="L131" s="1"/>
  <c r="J131" i="35"/>
  <c r="I89" i="38"/>
  <c r="I89" i="39"/>
  <c r="H98" i="37"/>
  <c r="J91" i="36"/>
  <c r="O91" i="35"/>
  <c r="P91" s="1"/>
  <c r="K91"/>
  <c r="L91" s="1"/>
  <c r="H105" i="36"/>
  <c r="H104" i="35"/>
  <c r="H59" i="34"/>
  <c r="H57" i="35"/>
  <c r="H143"/>
  <c r="H140" i="34"/>
  <c r="K19"/>
  <c r="J19" i="35"/>
  <c r="J94" i="36"/>
  <c r="J93" i="35"/>
  <c r="K94"/>
  <c r="L94" s="1"/>
  <c r="J172" i="34"/>
  <c r="K172" s="1"/>
  <c r="L172" s="1"/>
  <c r="J177" i="35"/>
  <c r="K175" i="34"/>
  <c r="K104" i="33"/>
  <c r="L104" s="1"/>
  <c r="U104" i="40"/>
  <c r="U104" i="41"/>
  <c r="U104" i="42"/>
  <c r="U104" i="38"/>
  <c r="U104" i="37"/>
  <c r="U104" i="39"/>
  <c r="U104" i="36"/>
  <c r="R104" i="34"/>
  <c r="U104" i="35"/>
  <c r="I143"/>
  <c r="I140" i="34"/>
  <c r="H36" i="35"/>
  <c r="H35" i="34"/>
  <c r="J191" i="35"/>
  <c r="K189" i="34"/>
  <c r="K180"/>
  <c r="L180" s="1"/>
  <c r="J182" i="35"/>
  <c r="J179" i="34"/>
  <c r="I90" i="38"/>
  <c r="I90" i="39"/>
  <c r="H191" i="42"/>
  <c r="H191" i="40"/>
  <c r="H118" i="38"/>
  <c r="H118" i="40" s="1"/>
  <c r="H118" i="39"/>
  <c r="I213" i="38"/>
  <c r="I214" i="39"/>
  <c r="K174" i="34"/>
  <c r="J176" i="35"/>
  <c r="K48" i="30"/>
  <c r="T48"/>
  <c r="J50"/>
  <c r="K111"/>
  <c r="L111" s="1"/>
  <c r="T111"/>
  <c r="K125"/>
  <c r="L125" s="1"/>
  <c r="T125"/>
  <c r="I10" i="31"/>
  <c r="R10" i="32" s="1"/>
  <c r="R35"/>
  <c r="R72" i="33"/>
  <c r="J72" i="32"/>
  <c r="S72"/>
  <c r="K73" i="33"/>
  <c r="U73" i="42"/>
  <c r="U73" i="41"/>
  <c r="U73" i="40"/>
  <c r="U73" i="39"/>
  <c r="U73" i="38"/>
  <c r="U73" i="37"/>
  <c r="R73" i="34"/>
  <c r="U73" i="35"/>
  <c r="U73" i="36"/>
  <c r="J78" i="35"/>
  <c r="K78" i="34"/>
  <c r="H195" i="40"/>
  <c r="H195" i="42"/>
  <c r="T161" i="41"/>
  <c r="T160" i="40"/>
  <c r="T160" i="42"/>
  <c r="T159" i="37"/>
  <c r="T160" i="38"/>
  <c r="T161" i="39"/>
  <c r="Q154" i="34"/>
  <c r="T157" i="36"/>
  <c r="T156" i="35"/>
  <c r="I190" i="39"/>
  <c r="I189" i="38"/>
  <c r="H43" i="39"/>
  <c r="H43" i="38"/>
  <c r="H43" i="40" s="1"/>
  <c r="I163" i="39"/>
  <c r="I162" i="38"/>
  <c r="H95" i="34"/>
  <c r="H96" i="35"/>
  <c r="I109" i="39"/>
  <c r="K109" s="1"/>
  <c r="L109" s="1"/>
  <c r="I109" i="38"/>
  <c r="T41" i="40"/>
  <c r="T41" i="41"/>
  <c r="T41" i="42"/>
  <c r="T41" i="37"/>
  <c r="T41" i="38"/>
  <c r="T41" i="39"/>
  <c r="Q41" i="34"/>
  <c r="T41" i="35"/>
  <c r="T41" i="36"/>
  <c r="K39" i="34"/>
  <c r="J39" i="35"/>
  <c r="J199"/>
  <c r="K197" i="34"/>
  <c r="L197" s="1"/>
  <c r="K173"/>
  <c r="J175" i="35"/>
  <c r="K158" i="34"/>
  <c r="J160" i="35"/>
  <c r="J113"/>
  <c r="K113" i="34"/>
  <c r="K128"/>
  <c r="L128" s="1"/>
  <c r="I128" i="35"/>
  <c r="I128" i="36" s="1"/>
  <c r="I128" i="37" s="1"/>
  <c r="I157" i="39"/>
  <c r="K157" s="1"/>
  <c r="L157" s="1"/>
  <c r="I156" i="38"/>
  <c r="H106" i="41"/>
  <c r="O106" s="1"/>
  <c r="P106" s="1"/>
  <c r="H106" i="42"/>
  <c r="O106" s="1"/>
  <c r="P106" s="1"/>
  <c r="O106" i="40"/>
  <c r="P106" s="1"/>
  <c r="K15" i="34"/>
  <c r="J15" i="35"/>
  <c r="I198" i="39"/>
  <c r="I197" i="38"/>
  <c r="K38" i="34"/>
  <c r="L38" s="1"/>
  <c r="I38" i="35"/>
  <c r="I38" i="36" s="1"/>
  <c r="I38" i="37" s="1"/>
  <c r="O129" i="36"/>
  <c r="P129" s="1"/>
  <c r="K129"/>
  <c r="L129" s="1"/>
  <c r="K31" i="35"/>
  <c r="J31" i="36"/>
  <c r="H22" i="40"/>
  <c r="H221" i="34"/>
  <c r="H147" i="35"/>
  <c r="H145"/>
  <c r="H220" i="34"/>
  <c r="I107" i="39"/>
  <c r="K107" s="1"/>
  <c r="L107" s="1"/>
  <c r="I107" i="38"/>
  <c r="K210" i="34"/>
  <c r="L210" s="1"/>
  <c r="J212" i="35"/>
  <c r="J212" i="34"/>
  <c r="K102"/>
  <c r="J102" i="35"/>
  <c r="U29" i="41"/>
  <c r="U29" i="42"/>
  <c r="U29" i="40"/>
  <c r="U29" i="38"/>
  <c r="U29" i="37"/>
  <c r="U29" i="39"/>
  <c r="R29" i="34"/>
  <c r="U29" i="36"/>
  <c r="U29" i="35"/>
  <c r="K29" i="33"/>
  <c r="T95" i="41"/>
  <c r="T95" i="40"/>
  <c r="T95" i="42"/>
  <c r="T95" i="38"/>
  <c r="T95" i="37"/>
  <c r="T95" i="39"/>
  <c r="T95" i="35"/>
  <c r="Q95" i="34"/>
  <c r="T95" i="36"/>
  <c r="K152" i="34"/>
  <c r="J154" i="35"/>
  <c r="J151" i="34"/>
  <c r="K151" s="1"/>
  <c r="L151" s="1"/>
  <c r="H119"/>
  <c r="H110" s="1"/>
  <c r="H97" s="1"/>
  <c r="H120" i="35"/>
  <c r="K60" i="34"/>
  <c r="J60" i="35"/>
  <c r="J62" i="34"/>
  <c r="K62" s="1"/>
  <c r="J105" i="35"/>
  <c r="K105" i="34"/>
  <c r="L105" s="1"/>
  <c r="J104"/>
  <c r="H24" i="36"/>
  <c r="H26" i="35"/>
  <c r="T87" i="40"/>
  <c r="T87" i="42"/>
  <c r="T87" i="41"/>
  <c r="T87" i="37"/>
  <c r="T87" i="38"/>
  <c r="T87" i="39"/>
  <c r="T87" i="35"/>
  <c r="T87" i="36"/>
  <c r="Q87" i="34"/>
  <c r="K74" i="33"/>
  <c r="U74" i="41"/>
  <c r="U74" i="42"/>
  <c r="U74" i="40"/>
  <c r="U74" i="37"/>
  <c r="U74" i="39"/>
  <c r="U74" i="38"/>
  <c r="R74" i="34"/>
  <c r="U74" i="36"/>
  <c r="U74" i="35"/>
  <c r="K76" i="34"/>
  <c r="J76" i="35"/>
  <c r="J74" i="34"/>
  <c r="K74" s="1"/>
  <c r="K127"/>
  <c r="L127" s="1"/>
  <c r="J127" i="35"/>
  <c r="K161" i="34"/>
  <c r="J163" i="35"/>
  <c r="J123" i="36"/>
  <c r="O123" i="35"/>
  <c r="P123" s="1"/>
  <c r="J63"/>
  <c r="K63" i="34"/>
  <c r="J65"/>
  <c r="K65" s="1"/>
  <c r="H145" i="36"/>
  <c r="T176" i="30"/>
  <c r="J176" i="31"/>
  <c r="K104" i="30"/>
  <c r="L104" s="1"/>
  <c r="T104"/>
  <c r="K119"/>
  <c r="L119" s="1"/>
  <c r="T119"/>
  <c r="K40" i="31"/>
  <c r="R40" i="33"/>
  <c r="S40" i="32"/>
  <c r="K111" i="31"/>
  <c r="L111" s="1"/>
  <c r="R111" i="33"/>
  <c r="S111" i="32"/>
  <c r="K119" i="31"/>
  <c r="L119" s="1"/>
  <c r="R119" i="33"/>
  <c r="S119" i="32"/>
  <c r="R209" i="33"/>
  <c r="S209" i="32"/>
  <c r="J211" i="31"/>
  <c r="R212" i="33"/>
  <c r="S212" i="32"/>
  <c r="K159" i="33"/>
  <c r="U165" i="40"/>
  <c r="U165" i="42"/>
  <c r="U166" i="41"/>
  <c r="U165" i="38"/>
  <c r="U164" i="37"/>
  <c r="U166" i="39"/>
  <c r="U162" i="36"/>
  <c r="U161" i="35"/>
  <c r="R159" i="34"/>
  <c r="K168" i="33"/>
  <c r="U174" i="42"/>
  <c r="U174" i="40"/>
  <c r="U175" i="41"/>
  <c r="U173" i="37"/>
  <c r="U175" i="39"/>
  <c r="U174" i="38"/>
  <c r="U170" i="35"/>
  <c r="U171" i="36"/>
  <c r="R168" i="34"/>
  <c r="K172" i="33"/>
  <c r="L172" s="1"/>
  <c r="U178" i="42"/>
  <c r="U178" i="40"/>
  <c r="U179" i="41"/>
  <c r="U178" i="38"/>
  <c r="U179" i="39"/>
  <c r="U177" i="37"/>
  <c r="U174" i="35"/>
  <c r="R172" i="34"/>
  <c r="U175" i="36"/>
  <c r="K184" i="33"/>
  <c r="L184" s="1"/>
  <c r="U190" i="40"/>
  <c r="U191" i="41"/>
  <c r="U190" i="42"/>
  <c r="U191" i="39"/>
  <c r="U189" i="37"/>
  <c r="U190" i="38"/>
  <c r="U187" i="36"/>
  <c r="R184" i="34"/>
  <c r="U186" i="35"/>
  <c r="H83" i="34"/>
  <c r="H81" i="35"/>
  <c r="H12"/>
  <c r="H12" i="36" s="1"/>
  <c r="H11" i="34"/>
  <c r="H14"/>
  <c r="J136" i="35"/>
  <c r="K136" i="34"/>
  <c r="L136" s="1"/>
  <c r="K61"/>
  <c r="J61" i="35"/>
  <c r="U26" i="40"/>
  <c r="U26" i="42"/>
  <c r="U26" i="41"/>
  <c r="U26" i="37"/>
  <c r="U26" i="38"/>
  <c r="U26" i="39"/>
  <c r="R26" i="34"/>
  <c r="U26" i="35"/>
  <c r="U26" i="36"/>
  <c r="J24" i="35"/>
  <c r="K24" i="34"/>
  <c r="J26"/>
  <c r="I136" i="38"/>
  <c r="I136" i="39"/>
  <c r="K136" s="1"/>
  <c r="L136" s="1"/>
  <c r="J153" i="36"/>
  <c r="O152" i="35"/>
  <c r="P152" s="1"/>
  <c r="K152"/>
  <c r="L152" s="1"/>
  <c r="H19" i="42"/>
  <c r="O19" s="1"/>
  <c r="P19" s="1"/>
  <c r="H19" i="41"/>
  <c r="O19" i="40"/>
  <c r="P19" s="1"/>
  <c r="H136" i="41"/>
  <c r="O136" s="1"/>
  <c r="P136" s="1"/>
  <c r="O136" i="40"/>
  <c r="P136" s="1"/>
  <c r="H203"/>
  <c r="H204" i="41" s="1"/>
  <c r="H203" i="42"/>
  <c r="T104" i="40"/>
  <c r="T104" i="41"/>
  <c r="T104" i="42"/>
  <c r="T104" i="39"/>
  <c r="T104" i="37"/>
  <c r="T104" i="38"/>
  <c r="Q104" i="34"/>
  <c r="T104" i="36"/>
  <c r="I104" i="34"/>
  <c r="I104" i="35" s="1"/>
  <c r="I104" i="36" s="1"/>
  <c r="I104" i="37" s="1"/>
  <c r="T104" i="35"/>
  <c r="H159"/>
  <c r="H157"/>
  <c r="H159" i="34"/>
  <c r="H156"/>
  <c r="K55"/>
  <c r="J55" i="35"/>
  <c r="J52" i="34"/>
  <c r="K52" s="1"/>
  <c r="K41" i="33"/>
  <c r="U41" i="42"/>
  <c r="U41" i="41"/>
  <c r="U41" i="40"/>
  <c r="U41" i="39"/>
  <c r="U41" i="38"/>
  <c r="U41" i="37"/>
  <c r="U41" i="35"/>
  <c r="U41" i="36"/>
  <c r="R41" i="34"/>
  <c r="I103" i="40"/>
  <c r="I103" i="41"/>
  <c r="I103" i="42"/>
  <c r="J197" i="35"/>
  <c r="K195" i="34"/>
  <c r="L195" s="1"/>
  <c r="J189" i="35"/>
  <c r="K187" i="34"/>
  <c r="K167"/>
  <c r="J169" i="35"/>
  <c r="J165" i="34"/>
  <c r="K165" s="1"/>
  <c r="J165" i="35"/>
  <c r="K163" i="34"/>
  <c r="J82" i="35"/>
  <c r="K82" i="34"/>
  <c r="H213" i="42"/>
  <c r="H213" i="40"/>
  <c r="H214" i="41" s="1"/>
  <c r="J101" i="35"/>
  <c r="K101" i="34"/>
  <c r="I115" i="38"/>
  <c r="I115" i="39"/>
  <c r="H17" i="34"/>
  <c r="H15" i="35"/>
  <c r="U56" i="40"/>
  <c r="U56" i="41"/>
  <c r="U56" i="42"/>
  <c r="U56" i="39"/>
  <c r="U56" i="38"/>
  <c r="U56" i="37"/>
  <c r="U56" i="36"/>
  <c r="R56" i="34"/>
  <c r="U56" i="35"/>
  <c r="K56" i="33"/>
  <c r="K129" i="39"/>
  <c r="L129" s="1"/>
  <c r="O129"/>
  <c r="P129" s="1"/>
  <c r="K129" i="40"/>
  <c r="L129" s="1"/>
  <c r="O129"/>
  <c r="P129" s="1"/>
  <c r="J194" i="36"/>
  <c r="O193" i="35"/>
  <c r="P193" s="1"/>
  <c r="K193"/>
  <c r="L193" s="1"/>
  <c r="K33" i="34"/>
  <c r="J33" i="35"/>
  <c r="I111"/>
  <c r="I110" i="34"/>
  <c r="H68"/>
  <c r="H66" i="35"/>
  <c r="H155" i="41"/>
  <c r="O155" s="1"/>
  <c r="P155" s="1"/>
  <c r="O154" i="40"/>
  <c r="P154" s="1"/>
  <c r="K84" i="34"/>
  <c r="J84" i="35"/>
  <c r="K85" i="34"/>
  <c r="J85" i="35"/>
  <c r="J144" i="34"/>
  <c r="K144" s="1"/>
  <c r="J144" i="35"/>
  <c r="K142" i="34"/>
  <c r="L142" s="1"/>
  <c r="H111" i="35"/>
  <c r="H111" i="36" s="1"/>
  <c r="K81" i="34"/>
  <c r="J81" i="35"/>
  <c r="I145"/>
  <c r="I146" i="36" s="1"/>
  <c r="I147" i="35"/>
  <c r="I148" i="36" s="1"/>
  <c r="I150" i="37" s="1"/>
  <c r="I91" i="39"/>
  <c r="I91" i="38"/>
  <c r="I189" i="39"/>
  <c r="K189" s="1"/>
  <c r="L189" s="1"/>
  <c r="I188" i="38"/>
  <c r="H20" i="34"/>
  <c r="H18" i="35"/>
  <c r="J57"/>
  <c r="K57" i="34"/>
  <c r="J21" i="35"/>
  <c r="K21" i="34"/>
  <c r="J222" i="35"/>
  <c r="J148" i="36"/>
  <c r="K147" i="35"/>
  <c r="L147" s="1"/>
  <c r="J45"/>
  <c r="K45" i="34"/>
  <c r="J47"/>
  <c r="K47" s="1"/>
  <c r="H71"/>
  <c r="H69" i="35"/>
  <c r="K49" i="34"/>
  <c r="J49" i="35"/>
  <c r="T185" i="40"/>
  <c r="T185" i="42"/>
  <c r="T186" i="41"/>
  <c r="T186" i="39"/>
  <c r="T185" i="38"/>
  <c r="T184" i="37"/>
  <c r="Q179" i="34"/>
  <c r="T181" i="35"/>
  <c r="T182" i="36"/>
  <c r="I182" i="35"/>
  <c r="I179" i="34"/>
  <c r="I95"/>
  <c r="K95" s="1"/>
  <c r="L95" s="1"/>
  <c r="I96" i="35"/>
  <c r="K96" i="34"/>
  <c r="L96" s="1"/>
  <c r="I126" i="39"/>
  <c r="I126" i="38"/>
  <c r="I130" i="37"/>
  <c r="J198" i="35"/>
  <c r="K196" i="34"/>
  <c r="L196" s="1"/>
  <c r="J184" i="35"/>
  <c r="K182" i="34"/>
  <c r="L182" s="1"/>
  <c r="H195" i="35"/>
  <c r="H192" i="34"/>
  <c r="T219" i="42"/>
  <c r="T220" i="41"/>
  <c r="T219" i="40"/>
  <c r="T218" i="37"/>
  <c r="T219" i="38"/>
  <c r="T220" i="39"/>
  <c r="T214" i="35"/>
  <c r="T216" i="36"/>
  <c r="Q212" i="34"/>
  <c r="I211" i="33"/>
  <c r="K69" i="34"/>
  <c r="J69" i="35"/>
  <c r="J71" i="34"/>
  <c r="K71" s="1"/>
  <c r="J117" i="35"/>
  <c r="K117" i="34"/>
  <c r="K28"/>
  <c r="J28" i="35"/>
  <c r="H62" i="34"/>
  <c r="H60" i="35"/>
  <c r="K67" i="34"/>
  <c r="J67" i="35"/>
  <c r="K123" i="34"/>
  <c r="L123" s="1"/>
  <c r="I123" i="35"/>
  <c r="I123" i="36" s="1"/>
  <c r="I123" i="37" s="1"/>
  <c r="I99" i="38"/>
  <c r="I99" i="39"/>
  <c r="H49" i="42"/>
  <c r="O49" s="1"/>
  <c r="P49" s="1"/>
  <c r="H49" i="41"/>
  <c r="O49" s="1"/>
  <c r="P49" s="1"/>
  <c r="O49" i="40"/>
  <c r="P49" s="1"/>
  <c r="J90" i="36"/>
  <c r="O90" i="35"/>
  <c r="P90" s="1"/>
  <c r="K90"/>
  <c r="L90" s="1"/>
  <c r="J64"/>
  <c r="K64" i="34"/>
  <c r="H25" i="42"/>
  <c r="H25" i="41"/>
  <c r="H163" i="36"/>
  <c r="J193"/>
  <c r="O192" i="35"/>
  <c r="P192" s="1"/>
  <c r="K192"/>
  <c r="L192" s="1"/>
  <c r="K115" i="33"/>
  <c r="L115" s="1"/>
  <c r="U115" i="42"/>
  <c r="U115" i="41"/>
  <c r="U115" i="40"/>
  <c r="U115" i="38"/>
  <c r="U115" i="39"/>
  <c r="U115" i="37"/>
  <c r="U115" i="36"/>
  <c r="U115" i="35"/>
  <c r="R115" i="34"/>
  <c r="J197" i="36"/>
  <c r="O196" i="35"/>
  <c r="P196" s="1"/>
  <c r="K196"/>
  <c r="L196" s="1"/>
  <c r="K11" i="33"/>
  <c r="L11" s="1"/>
  <c r="U11" i="42"/>
  <c r="U11" i="41"/>
  <c r="U11" i="40"/>
  <c r="U11" i="39"/>
  <c r="U11" i="37"/>
  <c r="U11" i="38"/>
  <c r="U11" i="36"/>
  <c r="U11" i="35"/>
  <c r="R11" i="34"/>
  <c r="H48" i="36"/>
  <c r="H50" i="35"/>
  <c r="H171" i="34"/>
  <c r="H169" i="35"/>
  <c r="H170" i="36" s="1"/>
  <c r="H172" i="37" s="1"/>
  <c r="H171" i="35"/>
  <c r="I93" i="34"/>
  <c r="I94" i="35"/>
  <c r="T93" i="42"/>
  <c r="T93" i="40"/>
  <c r="T93" i="41"/>
  <c r="T93" i="38"/>
  <c r="T93" i="37"/>
  <c r="T93" i="39"/>
  <c r="T93" i="36"/>
  <c r="T93" i="35"/>
  <c r="Q93" i="34"/>
  <c r="K164"/>
  <c r="J166" i="35"/>
  <c r="T51" i="30"/>
  <c r="H41" i="34"/>
  <c r="K192"/>
  <c r="L192" s="1"/>
  <c r="T209" i="30"/>
  <c r="K90" i="34"/>
  <c r="L90" s="1"/>
  <c r="D139" i="30"/>
  <c r="D138" s="1"/>
  <c r="G73"/>
  <c r="G212"/>
  <c r="G121"/>
  <c r="G95"/>
  <c r="G51"/>
  <c r="G35"/>
  <c r="K35"/>
  <c r="L35" s="1"/>
  <c r="K95"/>
  <c r="L95" s="1"/>
  <c r="H97"/>
  <c r="T172"/>
  <c r="H139" i="33"/>
  <c r="H138" s="1"/>
  <c r="H205" s="1"/>
  <c r="H207" s="1"/>
  <c r="H213" s="1"/>
  <c r="J188" i="34"/>
  <c r="K211" i="32"/>
  <c r="L211" s="1"/>
  <c r="K129" i="34"/>
  <c r="L129" s="1"/>
  <c r="K129" i="42"/>
  <c r="L129" s="1"/>
  <c r="O129"/>
  <c r="P129" s="1"/>
  <c r="H53" i="33"/>
  <c r="R41"/>
  <c r="S41" i="32"/>
  <c r="K51" i="31"/>
  <c r="R51" i="33"/>
  <c r="S51" i="32"/>
  <c r="R104" i="33"/>
  <c r="S104" i="32"/>
  <c r="K115" i="31"/>
  <c r="L115" s="1"/>
  <c r="R115" i="33"/>
  <c r="S115" i="32"/>
  <c r="R87" i="39"/>
  <c r="R87" i="37"/>
  <c r="K165" i="33"/>
  <c r="U171" i="40"/>
  <c r="U172" i="41"/>
  <c r="U171" i="42"/>
  <c r="U170" i="37"/>
  <c r="U172" i="39"/>
  <c r="U171" i="38"/>
  <c r="U168" i="36"/>
  <c r="U167" i="35"/>
  <c r="R165" i="34"/>
  <c r="K171" i="33"/>
  <c r="U177" i="40"/>
  <c r="U177" i="42"/>
  <c r="U178" i="41"/>
  <c r="U177" i="38"/>
  <c r="U178" i="39"/>
  <c r="U176" i="37"/>
  <c r="U173" i="35"/>
  <c r="R171" i="34"/>
  <c r="U174" i="36"/>
  <c r="K192" i="33"/>
  <c r="L192" s="1"/>
  <c r="U199" i="41"/>
  <c r="U198" i="40"/>
  <c r="U198" i="42"/>
  <c r="U197" i="37"/>
  <c r="U198" i="38"/>
  <c r="U199" i="39"/>
  <c r="U195" i="36"/>
  <c r="R192" i="34"/>
  <c r="U194" i="35"/>
  <c r="H209" i="38"/>
  <c r="H210" i="39"/>
  <c r="K124" i="34"/>
  <c r="L124" s="1"/>
  <c r="I124" i="35"/>
  <c r="I124" i="36" s="1"/>
  <c r="I124" i="37" s="1"/>
  <c r="T35" i="42"/>
  <c r="T35" i="40"/>
  <c r="T35" i="41"/>
  <c r="T35" i="38"/>
  <c r="T35" i="37"/>
  <c r="T35" i="39"/>
  <c r="T35" i="35"/>
  <c r="T35" i="36"/>
  <c r="Q35" i="34"/>
  <c r="I98" i="39"/>
  <c r="I98" i="38"/>
  <c r="K42" i="34"/>
  <c r="J42" i="35"/>
  <c r="J41" i="34"/>
  <c r="K41" s="1"/>
  <c r="J44"/>
  <c r="K44" s="1"/>
  <c r="I154" i="39"/>
  <c r="K154" s="1"/>
  <c r="L154" s="1"/>
  <c r="I153" i="38"/>
  <c r="K130" i="34"/>
  <c r="L130" s="1"/>
  <c r="J130" i="35"/>
  <c r="H21" i="36"/>
  <c r="H23" i="35"/>
  <c r="O23" s="1"/>
  <c r="P23" s="1"/>
  <c r="I155" i="39"/>
  <c r="K155" s="1"/>
  <c r="L155" s="1"/>
  <c r="I154" i="38"/>
  <c r="J128" i="36"/>
  <c r="O128" i="35"/>
  <c r="P128" s="1"/>
  <c r="K128"/>
  <c r="L128" s="1"/>
  <c r="K153" i="34"/>
  <c r="J155" i="35"/>
  <c r="J56" i="34"/>
  <c r="K56" s="1"/>
  <c r="J54" i="35"/>
  <c r="K54" i="34"/>
  <c r="J51"/>
  <c r="K132"/>
  <c r="I132" i="35"/>
  <c r="I132" i="36" s="1"/>
  <c r="I132" i="37" s="1"/>
  <c r="K46" i="34"/>
  <c r="J46" i="35"/>
  <c r="I127" i="39"/>
  <c r="I127" i="38"/>
  <c r="J187" i="35"/>
  <c r="K185" i="34"/>
  <c r="J150" i="36"/>
  <c r="O149" i="35"/>
  <c r="P149" s="1"/>
  <c r="K149"/>
  <c r="L149" s="1"/>
  <c r="H198" i="41"/>
  <c r="O198" s="1"/>
  <c r="P198" s="1"/>
  <c r="O197" i="40"/>
  <c r="P197" s="1"/>
  <c r="J38" i="35"/>
  <c r="J40" i="34"/>
  <c r="K40" s="1"/>
  <c r="K112"/>
  <c r="J111"/>
  <c r="J112" i="35"/>
  <c r="K70" i="34"/>
  <c r="J70" i="35"/>
  <c r="H151" i="34"/>
  <c r="H151" i="35" s="1"/>
  <c r="H152"/>
  <c r="H153" i="36" s="1"/>
  <c r="H155" i="37" s="1"/>
  <c r="K18" i="34"/>
  <c r="J18" i="35"/>
  <c r="U47" i="41"/>
  <c r="U47" i="40"/>
  <c r="U47" i="42"/>
  <c r="U47" i="37"/>
  <c r="U47" i="38"/>
  <c r="U47" i="39"/>
  <c r="R47" i="34"/>
  <c r="U47" i="36"/>
  <c r="U47" i="35"/>
  <c r="K47" i="33"/>
  <c r="K107" i="34"/>
  <c r="L107" s="1"/>
  <c r="J107" i="35"/>
  <c r="H38"/>
  <c r="H40" i="34"/>
  <c r="H37"/>
  <c r="H16" i="42"/>
  <c r="O16" s="1"/>
  <c r="P16" s="1"/>
  <c r="H16" i="41"/>
  <c r="O16" s="1"/>
  <c r="P16" s="1"/>
  <c r="O16" i="40"/>
  <c r="P16" s="1"/>
  <c r="H86" i="34"/>
  <c r="H84" i="35"/>
  <c r="H177" i="34"/>
  <c r="H177" i="35" s="1"/>
  <c r="H178" i="36" s="1"/>
  <c r="H180" i="37" s="1"/>
  <c r="H178" i="35"/>
  <c r="H179" i="36" s="1"/>
  <c r="H181" i="37" s="1"/>
  <c r="K135" i="35"/>
  <c r="I135" i="36"/>
  <c r="I135" i="37" s="1"/>
  <c r="K169" i="34"/>
  <c r="J171" i="35"/>
  <c r="J171" i="34"/>
  <c r="K171" s="1"/>
  <c r="I212" i="35"/>
  <c r="I212" i="34"/>
  <c r="I211" s="1"/>
  <c r="U71" i="40"/>
  <c r="U71" i="42"/>
  <c r="U71" i="41"/>
  <c r="U71" i="37"/>
  <c r="U71" i="38"/>
  <c r="U71" i="39"/>
  <c r="R71" i="34"/>
  <c r="U71" i="36"/>
  <c r="U71" i="35"/>
  <c r="K71" i="33"/>
  <c r="H132" i="42"/>
  <c r="H132" i="40"/>
  <c r="H132" i="41" s="1"/>
  <c r="H189" i="42"/>
  <c r="O189" s="1"/>
  <c r="P189" s="1"/>
  <c r="H189" i="40"/>
  <c r="K79" i="34"/>
  <c r="J79" i="35"/>
  <c r="J116"/>
  <c r="K116" i="34"/>
  <c r="J115"/>
  <c r="K115" s="1"/>
  <c r="L115" s="1"/>
  <c r="J35"/>
  <c r="K35" s="1"/>
  <c r="L35" s="1"/>
  <c r="J36" i="35"/>
  <c r="K36" i="34"/>
  <c r="L36" s="1"/>
  <c r="H154"/>
  <c r="H154" i="35" s="1"/>
  <c r="H155"/>
  <c r="H156" i="36" s="1"/>
  <c r="H158" i="37" s="1"/>
  <c r="K16" i="34"/>
  <c r="J16" i="35"/>
  <c r="J32"/>
  <c r="K32" i="34"/>
  <c r="K14" i="33"/>
  <c r="U14" i="40"/>
  <c r="U14" i="42"/>
  <c r="U14" i="41"/>
  <c r="U14" i="37"/>
  <c r="U14" i="38"/>
  <c r="U14" i="39"/>
  <c r="U14" i="36"/>
  <c r="U14" i="35"/>
  <c r="R14" i="34"/>
  <c r="T109" i="30"/>
  <c r="J109" i="31"/>
  <c r="K11"/>
  <c r="L11" s="1"/>
  <c r="R11" i="33"/>
  <c r="S11" i="32"/>
  <c r="K151" i="33"/>
  <c r="L151" s="1"/>
  <c r="U157" i="42"/>
  <c r="U157" i="40"/>
  <c r="U158" i="41"/>
  <c r="U157" i="38"/>
  <c r="U156" i="37"/>
  <c r="U158" i="39"/>
  <c r="R151" i="34"/>
  <c r="U153" i="35"/>
  <c r="U154" i="36"/>
  <c r="J66" i="35"/>
  <c r="K66" i="34"/>
  <c r="J68"/>
  <c r="K68" s="1"/>
  <c r="I131" i="39"/>
  <c r="I131" i="38"/>
  <c r="K208" i="34"/>
  <c r="L208" s="1"/>
  <c r="J210" i="35"/>
  <c r="I105" i="39"/>
  <c r="K105" s="1"/>
  <c r="L105" s="1"/>
  <c r="I105" i="38"/>
  <c r="H130" i="41"/>
  <c r="O130" s="1"/>
  <c r="P130" s="1"/>
  <c r="O130" i="40"/>
  <c r="P130" s="1"/>
  <c r="J186" i="36"/>
  <c r="O185" i="35"/>
  <c r="P185" s="1"/>
  <c r="K185"/>
  <c r="L185" s="1"/>
  <c r="H207" i="42"/>
  <c r="O207" s="1"/>
  <c r="P207" s="1"/>
  <c r="H207" i="40"/>
  <c r="O202"/>
  <c r="P202" s="1"/>
  <c r="H203" i="41"/>
  <c r="O203" s="1"/>
  <c r="P203" s="1"/>
  <c r="I202" i="39"/>
  <c r="K202" s="1"/>
  <c r="L202" s="1"/>
  <c r="I201" i="38"/>
  <c r="J92" i="36"/>
  <c r="O92" i="35"/>
  <c r="P92" s="1"/>
  <c r="H75"/>
  <c r="H77" i="34"/>
  <c r="H73"/>
  <c r="H72" s="1"/>
  <c r="K129" i="37"/>
  <c r="L129" s="1"/>
  <c r="O129"/>
  <c r="P129" s="1"/>
  <c r="J133" i="36"/>
  <c r="O133" i="35"/>
  <c r="P133" s="1"/>
  <c r="K133"/>
  <c r="K22" i="34"/>
  <c r="J22" i="35"/>
  <c r="K170" i="34"/>
  <c r="J172" i="35"/>
  <c r="H218" i="34"/>
  <c r="I221" s="1"/>
  <c r="I225" s="1"/>
  <c r="H88" i="35"/>
  <c r="H219" i="34"/>
  <c r="H87"/>
  <c r="K34"/>
  <c r="J34" i="35"/>
  <c r="I134" i="38"/>
  <c r="I134" i="39"/>
  <c r="K134" s="1"/>
  <c r="L134" s="1"/>
  <c r="H165"/>
  <c r="O165" s="1"/>
  <c r="P165" s="1"/>
  <c r="H164" i="38"/>
  <c r="J143" i="35"/>
  <c r="J140" i="34"/>
  <c r="K140" s="1"/>
  <c r="L140" s="1"/>
  <c r="K141"/>
  <c r="L141" s="1"/>
  <c r="H76" i="35"/>
  <c r="H74" i="34"/>
  <c r="K13"/>
  <c r="J13" i="35"/>
  <c r="I197" i="39"/>
  <c r="I196" i="38"/>
  <c r="J145" i="35"/>
  <c r="K143" i="34"/>
  <c r="I119" i="39"/>
  <c r="I119" i="38"/>
  <c r="I72" i="42"/>
  <c r="K72" s="1"/>
  <c r="L72" s="1"/>
  <c r="I72" i="41"/>
  <c r="K72" s="1"/>
  <c r="L72" s="1"/>
  <c r="I72" i="40"/>
  <c r="K72" s="1"/>
  <c r="L72" s="1"/>
  <c r="I72" i="39"/>
  <c r="K72" s="1"/>
  <c r="L72" s="1"/>
  <c r="I72" i="38"/>
  <c r="I206" i="39"/>
  <c r="I205" i="38"/>
  <c r="H56" i="34"/>
  <c r="H54" i="35"/>
  <c r="H51" i="34"/>
  <c r="H80"/>
  <c r="H78" i="35"/>
  <c r="K133" i="34"/>
  <c r="I133" i="35"/>
  <c r="I133" i="36" s="1"/>
  <c r="I133" i="37" s="1"/>
  <c r="I157" i="38"/>
  <c r="I158" i="39"/>
  <c r="K158" s="1"/>
  <c r="L158" s="1"/>
  <c r="K166" i="34"/>
  <c r="J168" i="35"/>
  <c r="J168" i="34"/>
  <c r="K168" s="1"/>
  <c r="J37" i="30"/>
  <c r="T41"/>
  <c r="I188" i="31"/>
  <c r="R188" i="32" s="1"/>
  <c r="R192"/>
  <c r="I211" i="31"/>
  <c r="R211" i="32" s="1"/>
  <c r="R212"/>
  <c r="R215" i="33"/>
  <c r="S215" i="32"/>
  <c r="K35" i="33"/>
  <c r="L35" s="1"/>
  <c r="U35" i="41"/>
  <c r="U35" i="40"/>
  <c r="U35" i="42"/>
  <c r="U35" i="39"/>
  <c r="U35" i="37"/>
  <c r="U35" i="38"/>
  <c r="R35" i="34"/>
  <c r="U35" i="35"/>
  <c r="U35" i="36"/>
  <c r="K140" i="33"/>
  <c r="L140" s="1"/>
  <c r="U146" i="42"/>
  <c r="U147" i="41"/>
  <c r="U146" i="40"/>
  <c r="U147" i="39"/>
  <c r="U146" i="38"/>
  <c r="U145" i="37"/>
  <c r="U142" i="35"/>
  <c r="U143" i="36"/>
  <c r="R140" i="34"/>
  <c r="K156" i="33"/>
  <c r="L156" s="1"/>
  <c r="U162" i="42"/>
  <c r="U163" i="41"/>
  <c r="U162" i="40"/>
  <c r="U163" i="39"/>
  <c r="U161" i="37"/>
  <c r="U162" i="38"/>
  <c r="U158" i="35"/>
  <c r="U159" i="36"/>
  <c r="R156" i="34"/>
  <c r="K179" i="33"/>
  <c r="L179" s="1"/>
  <c r="U185" i="40"/>
  <c r="U185" i="42"/>
  <c r="U186" i="41"/>
  <c r="U185" i="38"/>
  <c r="U184" i="37"/>
  <c r="U186" i="39"/>
  <c r="U182" i="36"/>
  <c r="U181" i="35"/>
  <c r="R179" i="34"/>
  <c r="U68" i="42"/>
  <c r="U68" i="40"/>
  <c r="U68" i="41"/>
  <c r="U68" i="39"/>
  <c r="U68" i="37"/>
  <c r="U68" i="38"/>
  <c r="U68" i="36"/>
  <c r="R68" i="34"/>
  <c r="U68" i="35"/>
  <c r="K68" i="33"/>
  <c r="H153" i="41"/>
  <c r="O153" s="1"/>
  <c r="P153" s="1"/>
  <c r="O152" i="40"/>
  <c r="P152" s="1"/>
  <c r="I154" i="34"/>
  <c r="K154" s="1"/>
  <c r="L154" s="1"/>
  <c r="I157" i="35"/>
  <c r="H183" i="37"/>
  <c r="H180" i="36"/>
  <c r="O180" s="1"/>
  <c r="P180" s="1"/>
  <c r="K178" i="34"/>
  <c r="J180" i="35"/>
  <c r="K103" i="34"/>
  <c r="L103" s="1"/>
  <c r="J103" i="35"/>
  <c r="H55"/>
  <c r="H52" i="34"/>
  <c r="H154" i="41"/>
  <c r="O154" s="1"/>
  <c r="P154" s="1"/>
  <c r="O153" i="40"/>
  <c r="P153" s="1"/>
  <c r="H100" i="36"/>
  <c r="H99" i="35"/>
  <c r="J156"/>
  <c r="J158" i="36"/>
  <c r="O157" i="35"/>
  <c r="P157" s="1"/>
  <c r="K157"/>
  <c r="L157" s="1"/>
  <c r="J132" i="36"/>
  <c r="O132" i="35"/>
  <c r="P132" s="1"/>
  <c r="K132"/>
  <c r="U52" i="40"/>
  <c r="U52" i="42"/>
  <c r="U52" i="41"/>
  <c r="U52" i="38"/>
  <c r="U52" i="37"/>
  <c r="U52" i="39"/>
  <c r="U52" i="36"/>
  <c r="U52" i="35"/>
  <c r="R52" i="34"/>
  <c r="K52" i="33"/>
  <c r="I41" i="34"/>
  <c r="I45" i="35"/>
  <c r="U44" i="42"/>
  <c r="U44" i="41"/>
  <c r="U44" i="40"/>
  <c r="U44" i="39"/>
  <c r="U44" i="38"/>
  <c r="U44" i="37"/>
  <c r="U44" i="36"/>
  <c r="U44" i="35"/>
  <c r="R44" i="34"/>
  <c r="K44" i="33"/>
  <c r="H208" i="42"/>
  <c r="H208" i="40"/>
  <c r="H209" i="41" s="1"/>
  <c r="J184" i="34"/>
  <c r="K184" s="1"/>
  <c r="L184" s="1"/>
  <c r="K186"/>
  <c r="J188" i="35"/>
  <c r="R98" i="33"/>
  <c r="S98" i="32"/>
  <c r="J98"/>
  <c r="J151" i="36"/>
  <c r="O150" i="35"/>
  <c r="P150" s="1"/>
  <c r="K150"/>
  <c r="L150" s="1"/>
  <c r="Q207" i="32"/>
  <c r="D209"/>
  <c r="Q209" s="1"/>
  <c r="D213"/>
  <c r="Q213" s="1"/>
  <c r="H182" i="35"/>
  <c r="H179" i="34"/>
  <c r="O129" i="35"/>
  <c r="P129" s="1"/>
  <c r="K129"/>
  <c r="L129" s="1"/>
  <c r="J106"/>
  <c r="K106" i="34"/>
  <c r="L106" s="1"/>
  <c r="I187" i="38"/>
  <c r="I188" i="39"/>
  <c r="K188" s="1"/>
  <c r="L188" s="1"/>
  <c r="I203"/>
  <c r="K203" s="1"/>
  <c r="L203" s="1"/>
  <c r="I202" i="38"/>
  <c r="H27" i="37"/>
  <c r="I204" i="41"/>
  <c r="I203" i="42"/>
  <c r="I203" i="40"/>
  <c r="I216" i="39"/>
  <c r="I215" i="38"/>
  <c r="J201" i="35"/>
  <c r="K199" i="34"/>
  <c r="K181"/>
  <c r="L181" s="1"/>
  <c r="J183" i="35"/>
  <c r="H181" i="41"/>
  <c r="O181" s="1"/>
  <c r="P181" s="1"/>
  <c r="O180" i="40"/>
  <c r="P180" s="1"/>
  <c r="K114" i="34"/>
  <c r="J114" i="35"/>
  <c r="K40" i="33"/>
  <c r="U40" i="41"/>
  <c r="U40" i="40"/>
  <c r="U40" i="42"/>
  <c r="U40" i="37"/>
  <c r="U40" i="39"/>
  <c r="U40" i="38"/>
  <c r="U40" i="35"/>
  <c r="R40" i="34"/>
  <c r="U40" i="36"/>
  <c r="U219" i="42"/>
  <c r="U220" i="41"/>
  <c r="U219" i="40"/>
  <c r="U220" i="39"/>
  <c r="U219" i="38"/>
  <c r="U218" i="37"/>
  <c r="R212" i="34"/>
  <c r="U214" i="35"/>
  <c r="U216" i="36"/>
  <c r="J211" i="33"/>
  <c r="K212"/>
  <c r="L212" s="1"/>
  <c r="J27" i="35"/>
  <c r="K27" i="34"/>
  <c r="J29"/>
  <c r="K29" s="1"/>
  <c r="U111" i="40"/>
  <c r="U111" i="41"/>
  <c r="U111" i="42"/>
  <c r="U111" i="37"/>
  <c r="U111" i="38"/>
  <c r="U111" i="39"/>
  <c r="R111" i="34"/>
  <c r="U111" i="35"/>
  <c r="U111" i="36"/>
  <c r="K111" i="33"/>
  <c r="L111" s="1"/>
  <c r="H31" i="35"/>
  <c r="H30" i="34"/>
  <c r="J154" i="37"/>
  <c r="I155" i="38"/>
  <c r="I156" i="39"/>
  <c r="K156" s="1"/>
  <c r="L156" s="1"/>
  <c r="H93" i="34"/>
  <c r="H94" i="35"/>
  <c r="H28"/>
  <c r="H29" i="34"/>
  <c r="H163" i="35"/>
  <c r="H164" i="36" s="1"/>
  <c r="H166" i="37" s="1"/>
  <c r="H165" i="34"/>
  <c r="H165" i="35" s="1"/>
  <c r="I179" i="39"/>
  <c r="I178" i="38"/>
  <c r="I195" i="35"/>
  <c r="I192" i="34"/>
  <c r="K137"/>
  <c r="L137" s="1"/>
  <c r="J137" i="35"/>
  <c r="K58" i="34"/>
  <c r="J58" i="35"/>
  <c r="K75" i="34"/>
  <c r="J75" i="35"/>
  <c r="J73" i="34"/>
  <c r="K73" s="1"/>
  <c r="H101" i="42"/>
  <c r="O101" s="1"/>
  <c r="P101" s="1"/>
  <c r="H101" i="41"/>
  <c r="O101" s="1"/>
  <c r="P101" s="1"/>
  <c r="O101" i="40"/>
  <c r="P101" s="1"/>
  <c r="U62"/>
  <c r="U62" i="41"/>
  <c r="U62" i="42"/>
  <c r="U62" i="39"/>
  <c r="U62" i="37"/>
  <c r="U62" i="38"/>
  <c r="U62" i="36"/>
  <c r="U62" i="35"/>
  <c r="R62" i="34"/>
  <c r="K62" i="33"/>
  <c r="I11" i="36"/>
  <c r="Q10" i="33"/>
  <c r="K43" i="34"/>
  <c r="J43" i="35"/>
  <c r="T146" i="42"/>
  <c r="T147" i="41"/>
  <c r="T146" i="40"/>
  <c r="T146" i="38"/>
  <c r="T145" i="37"/>
  <c r="T147" i="39"/>
  <c r="Q140" i="34"/>
  <c r="T143" i="36"/>
  <c r="T142" i="35"/>
  <c r="I87" i="34"/>
  <c r="I88" i="35"/>
  <c r="H42" i="36"/>
  <c r="H44" i="35"/>
  <c r="H134" i="41"/>
  <c r="J196" i="36"/>
  <c r="O195" i="35"/>
  <c r="P195" s="1"/>
  <c r="K195"/>
  <c r="L195" s="1"/>
  <c r="J194"/>
  <c r="J25"/>
  <c r="K25" i="34"/>
  <c r="K126"/>
  <c r="L126" s="1"/>
  <c r="J126" i="35"/>
  <c r="H206" i="42"/>
  <c r="O206" s="1"/>
  <c r="P206" s="1"/>
  <c r="H206" i="40"/>
  <c r="J200" i="35"/>
  <c r="K198" i="34"/>
  <c r="L198" s="1"/>
  <c r="J148" i="35"/>
  <c r="K146" i="34"/>
  <c r="L146" s="1"/>
  <c r="J121" i="33"/>
  <c r="I30" i="39"/>
  <c r="I30" i="38"/>
  <c r="I125" i="39"/>
  <c r="I125" i="38"/>
  <c r="U65" i="42"/>
  <c r="U65" i="40"/>
  <c r="U65" i="41"/>
  <c r="U65" i="38"/>
  <c r="U65" i="37"/>
  <c r="U65" i="39"/>
  <c r="U65" i="35"/>
  <c r="U65" i="36"/>
  <c r="R65" i="34"/>
  <c r="K65" i="33"/>
  <c r="K12" i="34"/>
  <c r="J12" i="35"/>
  <c r="J14" i="34"/>
  <c r="K14" s="1"/>
  <c r="J11"/>
  <c r="H65"/>
  <c r="H63" i="35"/>
  <c r="H212"/>
  <c r="H212" i="34"/>
  <c r="H211" s="1"/>
  <c r="J159" i="35"/>
  <c r="J156" i="34"/>
  <c r="K156" s="1"/>
  <c r="L156" s="1"/>
  <c r="K157"/>
  <c r="J159"/>
  <c r="K159" s="1"/>
  <c r="J120" i="33"/>
  <c r="J119" i="32"/>
  <c r="K129" i="38"/>
  <c r="L129" s="1"/>
  <c r="E139" i="30"/>
  <c r="G211"/>
  <c r="H139"/>
  <c r="H138" s="1"/>
  <c r="H205" s="1"/>
  <c r="H207" s="1"/>
  <c r="H213" s="1"/>
  <c r="T212"/>
  <c r="G72" i="31"/>
  <c r="H9" i="33"/>
  <c r="H8" s="1"/>
  <c r="G48" i="30"/>
  <c r="H10"/>
  <c r="H9" s="1"/>
  <c r="H8" s="1"/>
  <c r="T40"/>
  <c r="K51"/>
  <c r="K115"/>
  <c r="L115" s="1"/>
  <c r="T179"/>
  <c r="K192"/>
  <c r="L192" s="1"/>
  <c r="J48" i="31"/>
  <c r="K30" i="33"/>
  <c r="L30" s="1"/>
  <c r="I188"/>
  <c r="K89" i="34"/>
  <c r="L89" s="1"/>
  <c r="K191"/>
  <c r="L191" s="1"/>
  <c r="H9" i="32"/>
  <c r="H8" s="1"/>
  <c r="H205" s="1"/>
  <c r="H207" s="1"/>
  <c r="H213" s="1"/>
  <c r="K147" i="34"/>
  <c r="L147" s="1"/>
  <c r="K93"/>
  <c r="L93" s="1"/>
  <c r="K194"/>
  <c r="L194" s="1"/>
  <c r="I138" i="32"/>
  <c r="Q139" i="33"/>
  <c r="J203" i="36"/>
  <c r="O202" i="35"/>
  <c r="P202" s="1"/>
  <c r="J190"/>
  <c r="I202"/>
  <c r="K202" s="1"/>
  <c r="L202" s="1"/>
  <c r="I188" i="34"/>
  <c r="H200" i="35"/>
  <c r="H188" i="34"/>
  <c r="J206" i="36"/>
  <c r="O205" i="35"/>
  <c r="P205" s="1"/>
  <c r="K205"/>
  <c r="L205" s="1"/>
  <c r="T193" i="37"/>
  <c r="T194" i="38"/>
  <c r="Q188" i="34"/>
  <c r="T191" i="36"/>
  <c r="T190" i="35"/>
  <c r="I139" i="33"/>
  <c r="J205" i="36"/>
  <c r="O204" i="35"/>
  <c r="P204" s="1"/>
  <c r="K204"/>
  <c r="L204" s="1"/>
  <c r="K203"/>
  <c r="L203" s="1"/>
  <c r="J204" i="36"/>
  <c r="O203" i="35"/>
  <c r="P203" s="1"/>
  <c r="J206"/>
  <c r="K204" i="34"/>
  <c r="K200"/>
  <c r="L200" s="1"/>
  <c r="I138" i="30"/>
  <c r="I205" s="1"/>
  <c r="I207" s="1"/>
  <c r="I209" s="1"/>
  <c r="H204" i="37"/>
  <c r="H206" i="39" s="1"/>
  <c r="H195" s="1"/>
  <c r="G110" i="30"/>
  <c r="G93" i="31"/>
  <c r="J188" i="33"/>
  <c r="K184" i="30"/>
  <c r="L184" s="1"/>
  <c r="T184"/>
  <c r="K184" i="31"/>
  <c r="L184" s="1"/>
  <c r="S184" i="32"/>
  <c r="R184" i="33"/>
  <c r="R179"/>
  <c r="S179" i="32"/>
  <c r="K179" i="30"/>
  <c r="L179" s="1"/>
  <c r="K172" i="31"/>
  <c r="L172" s="1"/>
  <c r="R172" i="33"/>
  <c r="S172" i="32"/>
  <c r="K156" i="30"/>
  <c r="L156" s="1"/>
  <c r="T156"/>
  <c r="K156" i="31"/>
  <c r="L156" s="1"/>
  <c r="R156" i="33"/>
  <c r="S156" i="32"/>
  <c r="K151" i="31"/>
  <c r="L151" s="1"/>
  <c r="R151" i="33"/>
  <c r="S151" i="32"/>
  <c r="R140" i="33"/>
  <c r="S140" i="32"/>
  <c r="K140" i="30"/>
  <c r="L140" s="1"/>
  <c r="T140"/>
  <c r="R73" i="33"/>
  <c r="S73" i="32"/>
  <c r="G151" i="30"/>
  <c r="T151"/>
  <c r="K35" i="31"/>
  <c r="L35" s="1"/>
  <c r="R35" i="33"/>
  <c r="S35" i="32"/>
  <c r="J87" i="31"/>
  <c r="R87" i="33" s="1"/>
  <c r="R88"/>
  <c r="S88" i="32"/>
  <c r="J188" i="31"/>
  <c r="R192" i="33"/>
  <c r="S192" i="32"/>
  <c r="J188" i="30"/>
  <c r="K188" s="1"/>
  <c r="L188" s="1"/>
  <c r="G192"/>
  <c r="T192"/>
  <c r="K154"/>
  <c r="L154" s="1"/>
  <c r="K154" i="31"/>
  <c r="L154" s="1"/>
  <c r="R154" i="33"/>
  <c r="S154" i="32"/>
  <c r="R95" i="33"/>
  <c r="S95" i="32"/>
  <c r="T30" i="30"/>
  <c r="K30" i="31"/>
  <c r="L30" s="1"/>
  <c r="R30" i="33"/>
  <c r="S30" i="32"/>
  <c r="K10" i="33"/>
  <c r="L10" s="1"/>
  <c r="K10" i="32"/>
  <c r="L10" s="1"/>
  <c r="G30" i="30"/>
  <c r="R93" i="33"/>
  <c r="S93" i="32"/>
  <c r="G93" i="30"/>
  <c r="R7" i="32"/>
  <c r="G8"/>
  <c r="F205"/>
  <c r="H139" i="31"/>
  <c r="H138" s="1"/>
  <c r="I37"/>
  <c r="K73" i="30"/>
  <c r="T73"/>
  <c r="K11"/>
  <c r="L11" s="1"/>
  <c r="T11"/>
  <c r="E9" i="31"/>
  <c r="F139"/>
  <c r="K179"/>
  <c r="L179" s="1"/>
  <c r="E120"/>
  <c r="G120" s="1"/>
  <c r="I121"/>
  <c r="G125"/>
  <c r="J125"/>
  <c r="E138"/>
  <c r="E139"/>
  <c r="K140"/>
  <c r="L140" s="1"/>
  <c r="D37"/>
  <c r="G192"/>
  <c r="G41"/>
  <c r="G87"/>
  <c r="G95"/>
  <c r="G121"/>
  <c r="D139"/>
  <c r="D138" s="1"/>
  <c r="K192"/>
  <c r="L192" s="1"/>
  <c r="K95"/>
  <c r="L95" s="1"/>
  <c r="G188"/>
  <c r="G73"/>
  <c r="G104"/>
  <c r="G35"/>
  <c r="E97"/>
  <c r="D110"/>
  <c r="D97" s="1"/>
  <c r="G140"/>
  <c r="D10"/>
  <c r="D9" s="1"/>
  <c r="D8" s="1"/>
  <c r="K41"/>
  <c r="K73"/>
  <c r="K104"/>
  <c r="L104" s="1"/>
  <c r="K155"/>
  <c r="L155" s="1"/>
  <c r="G211"/>
  <c r="K212"/>
  <c r="L212" s="1"/>
  <c r="H37"/>
  <c r="K93"/>
  <c r="L93" s="1"/>
  <c r="F10"/>
  <c r="G10" s="1"/>
  <c r="I97"/>
  <c r="R97" i="32" s="1"/>
  <c r="K211" i="31"/>
  <c r="L211" s="1"/>
  <c r="H110"/>
  <c r="H97" s="1"/>
  <c r="H53"/>
  <c r="H10"/>
  <c r="H9" s="1"/>
  <c r="F110"/>
  <c r="G110" s="1"/>
  <c r="G212"/>
  <c r="K88"/>
  <c r="L88" s="1"/>
  <c r="N221"/>
  <c r="I225"/>
  <c r="N225" s="1"/>
  <c r="J10"/>
  <c r="D53"/>
  <c r="F37"/>
  <c r="G37" s="1"/>
  <c r="J110" i="30"/>
  <c r="K110" s="1"/>
  <c r="L110" s="1"/>
  <c r="I120"/>
  <c r="K120" s="1"/>
  <c r="L120" s="1"/>
  <c r="J10"/>
  <c r="J97"/>
  <c r="K97" s="1"/>
  <c r="L97" s="1"/>
  <c r="F154"/>
  <c r="F10"/>
  <c r="E97"/>
  <c r="F97"/>
  <c r="E138"/>
  <c r="D97"/>
  <c r="D53"/>
  <c r="D10"/>
  <c r="D9" s="1"/>
  <c r="E9"/>
  <c r="I9" i="31" l="1"/>
  <c r="R9" i="32" s="1"/>
  <c r="R37"/>
  <c r="I37"/>
  <c r="U120" i="42"/>
  <c r="U120" i="41"/>
  <c r="U120" i="40"/>
  <c r="U120" i="39"/>
  <c r="U120" i="36"/>
  <c r="U120" i="38"/>
  <c r="U120" i="37"/>
  <c r="U120" i="35"/>
  <c r="R120" i="34"/>
  <c r="J120"/>
  <c r="J119" i="33"/>
  <c r="K159" i="35"/>
  <c r="J160" i="36"/>
  <c r="O159" i="35"/>
  <c r="P159" s="1"/>
  <c r="J158"/>
  <c r="J161"/>
  <c r="K161" s="1"/>
  <c r="U121" i="40"/>
  <c r="U121" i="41"/>
  <c r="U121" i="42"/>
  <c r="U121" i="38"/>
  <c r="U121" i="39"/>
  <c r="U121" i="37"/>
  <c r="U121" i="36"/>
  <c r="R121" i="34"/>
  <c r="U121" i="35"/>
  <c r="J121" i="34"/>
  <c r="J201" i="36"/>
  <c r="K200" i="35"/>
  <c r="L200" s="1"/>
  <c r="I88" i="36"/>
  <c r="I87" i="35"/>
  <c r="I11" i="37"/>
  <c r="H28" i="36"/>
  <c r="H29" i="35"/>
  <c r="I155" i="42"/>
  <c r="I156" i="41"/>
  <c r="I155" i="40"/>
  <c r="H31" i="36"/>
  <c r="O31" s="1"/>
  <c r="P31" s="1"/>
  <c r="H30" i="35"/>
  <c r="I45" i="36"/>
  <c r="I41" i="35"/>
  <c r="H100" i="37"/>
  <c r="H99" i="36"/>
  <c r="H55"/>
  <c r="H52" i="35"/>
  <c r="K37" i="30"/>
  <c r="L37" s="1"/>
  <c r="T37"/>
  <c r="H78" i="36"/>
  <c r="H80" i="35"/>
  <c r="O80" s="1"/>
  <c r="P80" s="1"/>
  <c r="I119" i="42"/>
  <c r="I119" i="41"/>
  <c r="I119" i="40"/>
  <c r="I197" i="41"/>
  <c r="I196" i="42"/>
  <c r="I196" i="40"/>
  <c r="J144" i="36"/>
  <c r="O143" i="35"/>
  <c r="P143" s="1"/>
  <c r="K143"/>
  <c r="L143" s="1"/>
  <c r="J142"/>
  <c r="I134" i="42"/>
  <c r="I134" i="41"/>
  <c r="I134" i="40"/>
  <c r="J92" i="37"/>
  <c r="O92" i="36"/>
  <c r="P92" s="1"/>
  <c r="I105" i="42"/>
  <c r="K105" s="1"/>
  <c r="L105" s="1"/>
  <c r="I105" i="41"/>
  <c r="K105" s="1"/>
  <c r="L105" s="1"/>
  <c r="I105" i="40"/>
  <c r="K105" s="1"/>
  <c r="L105" s="1"/>
  <c r="I131"/>
  <c r="I131" i="41"/>
  <c r="I131" i="42"/>
  <c r="K66" i="35"/>
  <c r="O66"/>
  <c r="P66" s="1"/>
  <c r="J66" i="36"/>
  <c r="J68" i="35"/>
  <c r="K16"/>
  <c r="J16" i="36"/>
  <c r="O16" i="35"/>
  <c r="P16" s="1"/>
  <c r="H190" i="41"/>
  <c r="O190" s="1"/>
  <c r="P190" s="1"/>
  <c r="O189" i="40"/>
  <c r="P189" s="1"/>
  <c r="K46" i="35"/>
  <c r="J46" i="36"/>
  <c r="O46" i="35"/>
  <c r="P46" s="1"/>
  <c r="J53" i="34"/>
  <c r="K53" s="1"/>
  <c r="K51"/>
  <c r="I120" i="31"/>
  <c r="I121" i="32"/>
  <c r="R121"/>
  <c r="U194" i="42"/>
  <c r="U195" i="41"/>
  <c r="U194" i="40"/>
  <c r="U195" i="39"/>
  <c r="T145" i="42"/>
  <c r="T146" i="41"/>
  <c r="T146" i="39"/>
  <c r="T145" i="40"/>
  <c r="K48" i="31"/>
  <c r="R48" i="33"/>
  <c r="J48" i="32"/>
  <c r="S48"/>
  <c r="K119"/>
  <c r="L119" s="1"/>
  <c r="J110"/>
  <c r="K110" s="1"/>
  <c r="L110" s="1"/>
  <c r="H65" i="35"/>
  <c r="H63" i="36"/>
  <c r="J12"/>
  <c r="O12" i="35"/>
  <c r="P12" s="1"/>
  <c r="K12"/>
  <c r="J14"/>
  <c r="J11"/>
  <c r="I125" i="41"/>
  <c r="I125" i="40"/>
  <c r="I125" i="42"/>
  <c r="J126" i="36"/>
  <c r="O126" i="35"/>
  <c r="P126" s="1"/>
  <c r="K126"/>
  <c r="L126" s="1"/>
  <c r="K194"/>
  <c r="L194" s="1"/>
  <c r="H42" i="37"/>
  <c r="H44" i="36"/>
  <c r="O43" i="35"/>
  <c r="P43" s="1"/>
  <c r="J43" i="36"/>
  <c r="K43" i="35"/>
  <c r="J75" i="36"/>
  <c r="O75" i="35"/>
  <c r="P75" s="1"/>
  <c r="J73"/>
  <c r="K75"/>
  <c r="J137" i="36"/>
  <c r="O137" i="35"/>
  <c r="P137" s="1"/>
  <c r="K137"/>
  <c r="L137" s="1"/>
  <c r="I179" i="41"/>
  <c r="I178" i="40"/>
  <c r="I178" i="42"/>
  <c r="U218"/>
  <c r="U219" i="41"/>
  <c r="U218" i="40"/>
  <c r="U217" i="37"/>
  <c r="U215" i="36"/>
  <c r="U219" i="39"/>
  <c r="U218" i="38"/>
  <c r="R211" i="34"/>
  <c r="U213" i="35"/>
  <c r="K114"/>
  <c r="J114" i="36"/>
  <c r="O114" i="35"/>
  <c r="P114" s="1"/>
  <c r="J184" i="36"/>
  <c r="O183" i="35"/>
  <c r="P183" s="1"/>
  <c r="K183"/>
  <c r="L183" s="1"/>
  <c r="I215" i="42"/>
  <c r="K215" s="1"/>
  <c r="L215" s="1"/>
  <c r="I216" i="41"/>
  <c r="I215" i="40"/>
  <c r="J106" i="36"/>
  <c r="O106" i="35"/>
  <c r="P106" s="1"/>
  <c r="K106"/>
  <c r="L106" s="1"/>
  <c r="H183" i="36"/>
  <c r="H181" i="35"/>
  <c r="K180"/>
  <c r="J181" i="36"/>
  <c r="O180" i="35"/>
  <c r="P180" s="1"/>
  <c r="I158" i="36"/>
  <c r="I156" i="35"/>
  <c r="H54" i="36"/>
  <c r="H51" i="35"/>
  <c r="H56"/>
  <c r="J146" i="36"/>
  <c r="O145" i="35"/>
  <c r="P145" s="1"/>
  <c r="K145"/>
  <c r="K172"/>
  <c r="J173" i="36"/>
  <c r="O172" i="35"/>
  <c r="P172" s="1"/>
  <c r="K32"/>
  <c r="O32"/>
  <c r="P32" s="1"/>
  <c r="J32" i="36"/>
  <c r="H155"/>
  <c r="H153" i="35"/>
  <c r="I214" i="36"/>
  <c r="I214" i="35"/>
  <c r="I213" s="1"/>
  <c r="I135" i="39"/>
  <c r="I135" i="38"/>
  <c r="H84" i="36"/>
  <c r="H86" i="35"/>
  <c r="O86" s="1"/>
  <c r="P86" s="1"/>
  <c r="J107" i="36"/>
  <c r="O107" i="35"/>
  <c r="P107" s="1"/>
  <c r="K107"/>
  <c r="L107" s="1"/>
  <c r="K18"/>
  <c r="O18"/>
  <c r="P18" s="1"/>
  <c r="J18" i="36"/>
  <c r="K70" i="35"/>
  <c r="O70"/>
  <c r="P70" s="1"/>
  <c r="J70" i="36"/>
  <c r="J152" i="37"/>
  <c r="K150" i="36"/>
  <c r="L150" s="1"/>
  <c r="O150"/>
  <c r="P150" s="1"/>
  <c r="I154" i="41"/>
  <c r="K154" s="1"/>
  <c r="L154" s="1"/>
  <c r="I153" i="42"/>
  <c r="K153" s="1"/>
  <c r="L153" s="1"/>
  <c r="I153" i="40"/>
  <c r="K153" s="1"/>
  <c r="L153" s="1"/>
  <c r="K42" i="35"/>
  <c r="J42" i="36"/>
  <c r="O42" i="35"/>
  <c r="P42" s="1"/>
  <c r="J44"/>
  <c r="J41"/>
  <c r="H209" i="42"/>
  <c r="H209" i="40"/>
  <c r="H210" i="41" s="1"/>
  <c r="O171" i="35"/>
  <c r="P171" s="1"/>
  <c r="H172" i="36"/>
  <c r="H173" i="35"/>
  <c r="H48" i="37"/>
  <c r="H50" i="36"/>
  <c r="H165" i="37"/>
  <c r="H165" i="36"/>
  <c r="O165" s="1"/>
  <c r="P165" s="1"/>
  <c r="O64" i="35"/>
  <c r="P64" s="1"/>
  <c r="J64" i="36"/>
  <c r="K64" i="35"/>
  <c r="I99" i="40"/>
  <c r="I99" i="41"/>
  <c r="I99" i="42"/>
  <c r="K69" i="35"/>
  <c r="J69" i="36"/>
  <c r="O69" i="35"/>
  <c r="P69" s="1"/>
  <c r="J71"/>
  <c r="I126" i="42"/>
  <c r="K126" s="1"/>
  <c r="L126" s="1"/>
  <c r="I126" i="40"/>
  <c r="K126" s="1"/>
  <c r="L126" s="1"/>
  <c r="I126" i="41"/>
  <c r="K126" s="1"/>
  <c r="L126" s="1"/>
  <c r="K49" i="35"/>
  <c r="J49" i="36"/>
  <c r="O49" i="35"/>
  <c r="P49" s="1"/>
  <c r="K21"/>
  <c r="J21" i="36"/>
  <c r="O21" i="35"/>
  <c r="P21" s="1"/>
  <c r="J145" i="36"/>
  <c r="O144" i="35"/>
  <c r="P144" s="1"/>
  <c r="J146"/>
  <c r="K144"/>
  <c r="L144" s="1"/>
  <c r="K84"/>
  <c r="J84" i="36"/>
  <c r="O84" i="35"/>
  <c r="P84" s="1"/>
  <c r="H66" i="36"/>
  <c r="H68" i="35"/>
  <c r="K33"/>
  <c r="J33" i="36"/>
  <c r="O33" i="35"/>
  <c r="P33" s="1"/>
  <c r="J196" i="37"/>
  <c r="O194" i="36"/>
  <c r="P194" s="1"/>
  <c r="K194"/>
  <c r="L194" s="1"/>
  <c r="K101" i="35"/>
  <c r="J101" i="36"/>
  <c r="O101" i="35"/>
  <c r="P101" s="1"/>
  <c r="K82"/>
  <c r="J82" i="36"/>
  <c r="O82" i="35"/>
  <c r="P82" s="1"/>
  <c r="J170" i="36"/>
  <c r="O169" i="35"/>
  <c r="P169" s="1"/>
  <c r="K169"/>
  <c r="K55"/>
  <c r="J55" i="36"/>
  <c r="O55" i="35"/>
  <c r="P55" s="1"/>
  <c r="J52"/>
  <c r="H156"/>
  <c r="O156" s="1"/>
  <c r="P156" s="1"/>
  <c r="H158" i="36"/>
  <c r="K61" i="35"/>
  <c r="J61" i="36"/>
  <c r="O61" i="35"/>
  <c r="P61" s="1"/>
  <c r="J123" i="37"/>
  <c r="O123" i="36"/>
  <c r="P123" s="1"/>
  <c r="K123"/>
  <c r="L123" s="1"/>
  <c r="H24" i="37"/>
  <c r="H26" i="36"/>
  <c r="I107" i="42"/>
  <c r="I107" i="40"/>
  <c r="I107" i="41"/>
  <c r="H148" i="36"/>
  <c r="H222" i="35"/>
  <c r="H223" s="1"/>
  <c r="I197" i="42"/>
  <c r="K197" s="1"/>
  <c r="L197" s="1"/>
  <c r="I198" i="41"/>
  <c r="K198" s="1"/>
  <c r="L198" s="1"/>
  <c r="I197" i="40"/>
  <c r="K197" s="1"/>
  <c r="L197" s="1"/>
  <c r="K113" i="35"/>
  <c r="J113" i="36"/>
  <c r="O113" i="35"/>
  <c r="P113" s="1"/>
  <c r="H95"/>
  <c r="O95" s="1"/>
  <c r="P95" s="1"/>
  <c r="H96" i="36"/>
  <c r="O96" i="35"/>
  <c r="P96" s="1"/>
  <c r="H43" i="42"/>
  <c r="H43" i="41"/>
  <c r="K78" i="35"/>
  <c r="J78" i="36"/>
  <c r="O78" i="35"/>
  <c r="P78" s="1"/>
  <c r="K72" i="32"/>
  <c r="L72" s="1"/>
  <c r="J72" i="33"/>
  <c r="T50" i="30"/>
  <c r="K50"/>
  <c r="H118" i="41"/>
  <c r="H118" i="42"/>
  <c r="H35" i="35"/>
  <c r="H36" i="36"/>
  <c r="K19" i="35"/>
  <c r="O19"/>
  <c r="P19" s="1"/>
  <c r="J19" i="36"/>
  <c r="H57"/>
  <c r="H59" i="35"/>
  <c r="O59" s="1"/>
  <c r="P59" s="1"/>
  <c r="H98" i="38"/>
  <c r="H98" i="39"/>
  <c r="H188" i="42"/>
  <c r="O188" s="1"/>
  <c r="P188" s="1"/>
  <c r="H188" i="40"/>
  <c r="J134" i="36"/>
  <c r="O134" i="35"/>
  <c r="P134" s="1"/>
  <c r="K134"/>
  <c r="L134" s="1"/>
  <c r="K162"/>
  <c r="J163" i="36"/>
  <c r="O162" i="35"/>
  <c r="P162" s="1"/>
  <c r="H170" i="38"/>
  <c r="H171" i="39"/>
  <c r="O171" s="1"/>
  <c r="P171" s="1"/>
  <c r="H214" i="36"/>
  <c r="H214" i="35"/>
  <c r="H213" s="1"/>
  <c r="J149" i="36"/>
  <c r="O148" i="35"/>
  <c r="P148" s="1"/>
  <c r="K148"/>
  <c r="L148" s="1"/>
  <c r="K25"/>
  <c r="O25"/>
  <c r="P25" s="1"/>
  <c r="J25" i="36"/>
  <c r="J198" i="37"/>
  <c r="J195" i="36"/>
  <c r="I196"/>
  <c r="I194" i="35"/>
  <c r="H168" i="39"/>
  <c r="H167" i="38"/>
  <c r="J155"/>
  <c r="J202" i="36"/>
  <c r="K201" i="35"/>
  <c r="O201"/>
  <c r="P201" s="1"/>
  <c r="I202" i="42"/>
  <c r="K202" s="1"/>
  <c r="L202" s="1"/>
  <c r="I203" i="41"/>
  <c r="K203" s="1"/>
  <c r="L203" s="1"/>
  <c r="I202" i="40"/>
  <c r="K202" s="1"/>
  <c r="L202" s="1"/>
  <c r="J98" i="33"/>
  <c r="K98" i="32"/>
  <c r="L98" s="1"/>
  <c r="J132" i="37"/>
  <c r="K132" i="36"/>
  <c r="O132"/>
  <c r="P132" s="1"/>
  <c r="K156" i="35"/>
  <c r="L156" s="1"/>
  <c r="H182" i="37"/>
  <c r="O182" s="1"/>
  <c r="P182" s="1"/>
  <c r="H185" i="39"/>
  <c r="H184" s="1"/>
  <c r="O184" s="1"/>
  <c r="P184" s="1"/>
  <c r="H184" i="38"/>
  <c r="K168" i="35"/>
  <c r="J169" i="36"/>
  <c r="O168" i="35"/>
  <c r="P168" s="1"/>
  <c r="J170"/>
  <c r="I133" i="38"/>
  <c r="I133" i="39"/>
  <c r="K13" i="35"/>
  <c r="O13"/>
  <c r="P13" s="1"/>
  <c r="J13" i="36"/>
  <c r="H75"/>
  <c r="H77" i="35"/>
  <c r="O77" s="1"/>
  <c r="P77" s="1"/>
  <c r="H73"/>
  <c r="H72" s="1"/>
  <c r="J212" i="36"/>
  <c r="O210" i="35"/>
  <c r="P210" s="1"/>
  <c r="K210"/>
  <c r="L210" s="1"/>
  <c r="R109" i="33"/>
  <c r="S109" i="32"/>
  <c r="J109"/>
  <c r="J97" s="1"/>
  <c r="K97" s="1"/>
  <c r="L97" s="1"/>
  <c r="K109" i="31"/>
  <c r="L109" s="1"/>
  <c r="H160" i="39"/>
  <c r="O160" s="1"/>
  <c r="P160" s="1"/>
  <c r="H159" i="38"/>
  <c r="K79" i="35"/>
  <c r="J79" i="36"/>
  <c r="O79" i="35"/>
  <c r="P79" s="1"/>
  <c r="H182" i="39"/>
  <c r="H181" i="38"/>
  <c r="H38" i="36"/>
  <c r="H40" i="35"/>
  <c r="H37"/>
  <c r="H152" i="36"/>
  <c r="O151" i="35"/>
  <c r="P151" s="1"/>
  <c r="K111" i="34"/>
  <c r="L111" s="1"/>
  <c r="J38" i="36"/>
  <c r="O38" i="35"/>
  <c r="P38" s="1"/>
  <c r="J40"/>
  <c r="K38"/>
  <c r="L38" s="1"/>
  <c r="I127" i="40"/>
  <c r="I127" i="41"/>
  <c r="I127" i="42"/>
  <c r="I132" i="39"/>
  <c r="I132" i="38"/>
  <c r="J54" i="36"/>
  <c r="O54" i="35"/>
  <c r="P54" s="1"/>
  <c r="J56"/>
  <c r="J51"/>
  <c r="K54"/>
  <c r="K166"/>
  <c r="J167" i="36"/>
  <c r="O166" i="35"/>
  <c r="P166" s="1"/>
  <c r="J90" i="37"/>
  <c r="O90" i="36"/>
  <c r="P90" s="1"/>
  <c r="K90"/>
  <c r="L90" s="1"/>
  <c r="K67" i="35"/>
  <c r="J67" i="36"/>
  <c r="O67" i="35"/>
  <c r="P67" s="1"/>
  <c r="K28"/>
  <c r="J28" i="36"/>
  <c r="O28" i="35"/>
  <c r="P28" s="1"/>
  <c r="J185" i="36"/>
  <c r="O184" i="35"/>
  <c r="P184" s="1"/>
  <c r="K184"/>
  <c r="L184" s="1"/>
  <c r="I95"/>
  <c r="K95" s="1"/>
  <c r="L95" s="1"/>
  <c r="I96" i="36"/>
  <c r="K96" i="35"/>
  <c r="L96" s="1"/>
  <c r="H18" i="36"/>
  <c r="H20" i="35"/>
  <c r="O20" s="1"/>
  <c r="P20" s="1"/>
  <c r="I91" i="42"/>
  <c r="K91" s="1"/>
  <c r="L91" s="1"/>
  <c r="I91" i="40"/>
  <c r="K91" s="1"/>
  <c r="L91" s="1"/>
  <c r="I91" i="41"/>
  <c r="K91" s="1"/>
  <c r="L91" s="1"/>
  <c r="K81" i="35"/>
  <c r="J81" i="36"/>
  <c r="O81" i="35"/>
  <c r="P81" s="1"/>
  <c r="I111" i="36"/>
  <c r="I110" i="35"/>
  <c r="I97" s="1"/>
  <c r="H15" i="36"/>
  <c r="H17" i="35"/>
  <c r="O17" s="1"/>
  <c r="P17" s="1"/>
  <c r="J190" i="36"/>
  <c r="O189" i="35"/>
  <c r="P189" s="1"/>
  <c r="K189"/>
  <c r="I104" i="38"/>
  <c r="I104" i="39"/>
  <c r="K104" s="1"/>
  <c r="L104" s="1"/>
  <c r="I136" i="42"/>
  <c r="K136" s="1"/>
  <c r="L136" s="1"/>
  <c r="I136" i="41"/>
  <c r="K136" s="1"/>
  <c r="L136" s="1"/>
  <c r="I136" i="40"/>
  <c r="K136" s="1"/>
  <c r="L136" s="1"/>
  <c r="J136" i="36"/>
  <c r="O136" i="35"/>
  <c r="P136" s="1"/>
  <c r="K136"/>
  <c r="L136" s="1"/>
  <c r="H81" i="36"/>
  <c r="H83" i="35"/>
  <c r="O83" s="1"/>
  <c r="P83" s="1"/>
  <c r="R211" i="33"/>
  <c r="S211" i="32"/>
  <c r="R176" i="33"/>
  <c r="J176" i="32"/>
  <c r="S176"/>
  <c r="K176" i="31"/>
  <c r="L176" s="1"/>
  <c r="J127" i="36"/>
  <c r="O127" i="35"/>
  <c r="P127" s="1"/>
  <c r="K127"/>
  <c r="L127" s="1"/>
  <c r="J105" i="36"/>
  <c r="O105" i="35"/>
  <c r="P105" s="1"/>
  <c r="J104"/>
  <c r="K105"/>
  <c r="L105" s="1"/>
  <c r="H119"/>
  <c r="H110" s="1"/>
  <c r="H97" s="1"/>
  <c r="H120" i="36"/>
  <c r="K102" i="35"/>
  <c r="J102" i="36"/>
  <c r="O102" i="35"/>
  <c r="P102" s="1"/>
  <c r="H148" i="37"/>
  <c r="H146" i="36"/>
  <c r="I157" i="41"/>
  <c r="K157" s="1"/>
  <c r="L157" s="1"/>
  <c r="I156" i="42"/>
  <c r="K156" s="1"/>
  <c r="L156" s="1"/>
  <c r="I156" i="40"/>
  <c r="K156" s="1"/>
  <c r="L156" s="1"/>
  <c r="K175" i="35"/>
  <c r="J176" i="36"/>
  <c r="O175" i="35"/>
  <c r="P175" s="1"/>
  <c r="J174"/>
  <c r="K39"/>
  <c r="J39" i="36"/>
  <c r="O39" i="35"/>
  <c r="P39" s="1"/>
  <c r="K176"/>
  <c r="J177" i="36"/>
  <c r="O176" i="35"/>
  <c r="P176" s="1"/>
  <c r="J183" i="36"/>
  <c r="O182" i="35"/>
  <c r="P182" s="1"/>
  <c r="K182"/>
  <c r="L182" s="1"/>
  <c r="J181"/>
  <c r="J94" i="37"/>
  <c r="K94" i="36"/>
  <c r="L94" s="1"/>
  <c r="J93"/>
  <c r="H144"/>
  <c r="H142" i="35"/>
  <c r="O142" s="1"/>
  <c r="P142" s="1"/>
  <c r="H105" i="37"/>
  <c r="H104" i="36"/>
  <c r="J131"/>
  <c r="O131" i="35"/>
  <c r="P131" s="1"/>
  <c r="K131"/>
  <c r="L131" s="1"/>
  <c r="I204" i="42"/>
  <c r="I205" i="41"/>
  <c r="I204" i="40"/>
  <c r="J135" i="36"/>
  <c r="O135" i="35"/>
  <c r="P135" s="1"/>
  <c r="I137" i="42"/>
  <c r="I137" i="41"/>
  <c r="I137" i="40"/>
  <c r="I201" i="41"/>
  <c r="K201" s="1"/>
  <c r="L201" s="1"/>
  <c r="I200" i="40"/>
  <c r="K200" s="1"/>
  <c r="L200" s="1"/>
  <c r="I200" i="42"/>
  <c r="K200" s="1"/>
  <c r="L200" s="1"/>
  <c r="J89" i="37"/>
  <c r="K89" i="36"/>
  <c r="L89" s="1"/>
  <c r="O89"/>
  <c r="P89" s="1"/>
  <c r="I106" i="42"/>
  <c r="K106" s="1"/>
  <c r="L106" s="1"/>
  <c r="I106" i="40"/>
  <c r="K106" s="1"/>
  <c r="L106" s="1"/>
  <c r="I106" i="41"/>
  <c r="K106" s="1"/>
  <c r="L106" s="1"/>
  <c r="I182" i="40"/>
  <c r="K182" s="1"/>
  <c r="L182" s="1"/>
  <c r="I182" i="42"/>
  <c r="K182" s="1"/>
  <c r="L182" s="1"/>
  <c r="I183" i="41"/>
  <c r="K183" s="1"/>
  <c r="L183" s="1"/>
  <c r="H45" i="36"/>
  <c r="H47" i="35"/>
  <c r="K125" i="31"/>
  <c r="L125" s="1"/>
  <c r="R125" i="33"/>
  <c r="J125" i="32"/>
  <c r="S125"/>
  <c r="T194" i="42"/>
  <c r="T194" i="40"/>
  <c r="T195" i="41"/>
  <c r="T195" i="39"/>
  <c r="J10" i="34"/>
  <c r="K11"/>
  <c r="L11" s="1"/>
  <c r="I30" i="40"/>
  <c r="I30" i="42"/>
  <c r="I30" i="41"/>
  <c r="H207"/>
  <c r="O207" s="1"/>
  <c r="P207" s="1"/>
  <c r="O206" i="40"/>
  <c r="P206" s="1"/>
  <c r="K58" i="35"/>
  <c r="J58" i="36"/>
  <c r="O58" i="35"/>
  <c r="P58" s="1"/>
  <c r="H166" i="36"/>
  <c r="H167" i="35"/>
  <c r="H93"/>
  <c r="H94" i="36"/>
  <c r="O27" i="35"/>
  <c r="P27" s="1"/>
  <c r="J27" i="36"/>
  <c r="J29" i="35"/>
  <c r="K27"/>
  <c r="H27" i="39"/>
  <c r="H27" i="38"/>
  <c r="H27" i="40" s="1"/>
  <c r="I188" i="41"/>
  <c r="K188" s="1"/>
  <c r="L188" s="1"/>
  <c r="I187" i="40"/>
  <c r="K187" s="1"/>
  <c r="L187" s="1"/>
  <c r="I187" i="42"/>
  <c r="K187" s="1"/>
  <c r="L187" s="1"/>
  <c r="J153" i="37"/>
  <c r="K151" i="36"/>
  <c r="L151" s="1"/>
  <c r="O151"/>
  <c r="P151" s="1"/>
  <c r="J189"/>
  <c r="K188" i="35"/>
  <c r="J160" i="37"/>
  <c r="O158" i="36"/>
  <c r="P158" s="1"/>
  <c r="K158"/>
  <c r="L158" s="1"/>
  <c r="J157"/>
  <c r="J103"/>
  <c r="O103" i="35"/>
  <c r="P103" s="1"/>
  <c r="K103"/>
  <c r="L103" s="1"/>
  <c r="I158" i="41"/>
  <c r="K158" s="1"/>
  <c r="L158" s="1"/>
  <c r="I157" i="40"/>
  <c r="K157" s="1"/>
  <c r="L157" s="1"/>
  <c r="I157" i="42"/>
  <c r="K157" s="1"/>
  <c r="L157" s="1"/>
  <c r="I206" i="41"/>
  <c r="I205" i="40"/>
  <c r="I205" i="42"/>
  <c r="H76" i="36"/>
  <c r="H74" i="35"/>
  <c r="H164" i="42"/>
  <c r="H164" i="40"/>
  <c r="H165" i="41" s="1"/>
  <c r="J34" i="36"/>
  <c r="O34" i="35"/>
  <c r="P34" s="1"/>
  <c r="K34"/>
  <c r="H220"/>
  <c r="I223" s="1"/>
  <c r="I227" s="1"/>
  <c r="H88" i="36"/>
  <c r="H221" i="35"/>
  <c r="H87"/>
  <c r="K22"/>
  <c r="O22"/>
  <c r="P22" s="1"/>
  <c r="J22" i="36"/>
  <c r="J133" i="37"/>
  <c r="O133" i="36"/>
  <c r="P133" s="1"/>
  <c r="K133"/>
  <c r="I202" i="41"/>
  <c r="I201" i="42"/>
  <c r="K201" s="1"/>
  <c r="L201" s="1"/>
  <c r="I201" i="40"/>
  <c r="K201" s="1"/>
  <c r="L201" s="1"/>
  <c r="H208" i="41"/>
  <c r="O208" s="1"/>
  <c r="P208" s="1"/>
  <c r="O207" i="40"/>
  <c r="P207" s="1"/>
  <c r="J188" i="37"/>
  <c r="O186" i="36"/>
  <c r="P186" s="1"/>
  <c r="K186"/>
  <c r="L186" s="1"/>
  <c r="J36"/>
  <c r="O36" i="35"/>
  <c r="P36" s="1"/>
  <c r="J35"/>
  <c r="K36"/>
  <c r="L36" s="1"/>
  <c r="K116"/>
  <c r="J116" i="36"/>
  <c r="O116" i="35"/>
  <c r="P116" s="1"/>
  <c r="J115"/>
  <c r="J172" i="36"/>
  <c r="J173" i="35"/>
  <c r="K173" s="1"/>
  <c r="K171"/>
  <c r="H182" i="38"/>
  <c r="H183" i="39"/>
  <c r="O183" s="1"/>
  <c r="P183" s="1"/>
  <c r="H156" i="38"/>
  <c r="H157" i="39"/>
  <c r="O157" s="1"/>
  <c r="P157" s="1"/>
  <c r="K112" i="35"/>
  <c r="J112" i="36"/>
  <c r="O112" i="35"/>
  <c r="P112" s="1"/>
  <c r="J111"/>
  <c r="J188" i="36"/>
  <c r="O187" i="35"/>
  <c r="P187" s="1"/>
  <c r="J186"/>
  <c r="K186" s="1"/>
  <c r="L186" s="1"/>
  <c r="K187"/>
  <c r="I154" i="40"/>
  <c r="K154" s="1"/>
  <c r="L154" s="1"/>
  <c r="I154" i="42"/>
  <c r="K154" s="1"/>
  <c r="L154" s="1"/>
  <c r="I155" i="41"/>
  <c r="K155" s="1"/>
  <c r="L155" s="1"/>
  <c r="J130" i="36"/>
  <c r="O130" i="35"/>
  <c r="P130" s="1"/>
  <c r="K130"/>
  <c r="L130" s="1"/>
  <c r="I98" i="40"/>
  <c r="I98" i="41"/>
  <c r="I98" i="42"/>
  <c r="I93" i="35"/>
  <c r="K93" s="1"/>
  <c r="L93" s="1"/>
  <c r="I94" i="36"/>
  <c r="J195" i="37"/>
  <c r="K193" i="36"/>
  <c r="L193" s="1"/>
  <c r="O193"/>
  <c r="P193" s="1"/>
  <c r="J117"/>
  <c r="O117" i="35"/>
  <c r="P117" s="1"/>
  <c r="K117"/>
  <c r="K211" i="33"/>
  <c r="L211" s="1"/>
  <c r="T218" i="40"/>
  <c r="T219" i="41"/>
  <c r="T217" i="37"/>
  <c r="T218" i="42"/>
  <c r="T213" i="35"/>
  <c r="T218" i="38"/>
  <c r="T219" i="39"/>
  <c r="T215" i="36"/>
  <c r="Q211" i="34"/>
  <c r="I130" i="39"/>
  <c r="I130" i="38"/>
  <c r="I183" i="36"/>
  <c r="I181" i="35"/>
  <c r="H69" i="36"/>
  <c r="H71" i="35"/>
  <c r="J45" i="36"/>
  <c r="O45" i="35"/>
  <c r="P45" s="1"/>
  <c r="J47"/>
  <c r="K45"/>
  <c r="K57"/>
  <c r="J57" i="36"/>
  <c r="O57" i="35"/>
  <c r="P57" s="1"/>
  <c r="I148" i="37"/>
  <c r="I147" i="36"/>
  <c r="H111" i="37"/>
  <c r="K85" i="35"/>
  <c r="J85" i="36"/>
  <c r="O85" i="35"/>
  <c r="P85" s="1"/>
  <c r="I115" i="41"/>
  <c r="I115" i="42"/>
  <c r="I115" i="40"/>
  <c r="K165" i="35"/>
  <c r="J166" i="36"/>
  <c r="O165" i="35"/>
  <c r="P165" s="1"/>
  <c r="J167"/>
  <c r="K24"/>
  <c r="O24"/>
  <c r="P24" s="1"/>
  <c r="J24" i="36"/>
  <c r="J26" i="35"/>
  <c r="O26" s="1"/>
  <c r="P26" s="1"/>
  <c r="H12" i="37"/>
  <c r="H14" i="36"/>
  <c r="H147" i="37"/>
  <c r="H147" i="36"/>
  <c r="K76" i="35"/>
  <c r="J76" i="36"/>
  <c r="O76" i="35"/>
  <c r="P76" s="1"/>
  <c r="J74"/>
  <c r="K154"/>
  <c r="J155" i="36"/>
  <c r="O154" i="35"/>
  <c r="P154" s="1"/>
  <c r="J153"/>
  <c r="J214" i="36"/>
  <c r="O212" i="35"/>
  <c r="P212" s="1"/>
  <c r="J214"/>
  <c r="K212"/>
  <c r="L212" s="1"/>
  <c r="H22" i="42"/>
  <c r="O22" s="1"/>
  <c r="P22" s="1"/>
  <c r="H22" i="41"/>
  <c r="O22" s="1"/>
  <c r="P22" s="1"/>
  <c r="O22" i="40"/>
  <c r="P22" s="1"/>
  <c r="I38" i="39"/>
  <c r="I38" i="38"/>
  <c r="J15" i="36"/>
  <c r="O15" i="35"/>
  <c r="P15" s="1"/>
  <c r="K15"/>
  <c r="J200" i="36"/>
  <c r="O199" i="35"/>
  <c r="P199" s="1"/>
  <c r="K199"/>
  <c r="L199" s="1"/>
  <c r="I109" i="40"/>
  <c r="K109" s="1"/>
  <c r="L109" s="1"/>
  <c r="I109" i="42"/>
  <c r="K109" s="1"/>
  <c r="L109" s="1"/>
  <c r="I109" i="41"/>
  <c r="K109" s="1"/>
  <c r="L109" s="1"/>
  <c r="I162" i="42"/>
  <c r="I163" i="41"/>
  <c r="I162" i="40"/>
  <c r="I189"/>
  <c r="K189" s="1"/>
  <c r="L189" s="1"/>
  <c r="I190" i="41"/>
  <c r="K190" s="1"/>
  <c r="L190" s="1"/>
  <c r="I189" i="42"/>
  <c r="K189" s="1"/>
  <c r="L189" s="1"/>
  <c r="H196" i="41"/>
  <c r="I213" i="42"/>
  <c r="I214" i="41"/>
  <c r="I213" i="40"/>
  <c r="O191" i="42"/>
  <c r="P191" s="1"/>
  <c r="J192" i="36"/>
  <c r="O191" i="35"/>
  <c r="P191" s="1"/>
  <c r="K191"/>
  <c r="I144" i="36"/>
  <c r="I142" i="35"/>
  <c r="K177"/>
  <c r="J178" i="36"/>
  <c r="O177" i="35"/>
  <c r="P177" s="1"/>
  <c r="J91" i="37"/>
  <c r="K91" i="36"/>
  <c r="L91" s="1"/>
  <c r="O91"/>
  <c r="P91" s="1"/>
  <c r="I89" i="42"/>
  <c r="K89" s="1"/>
  <c r="L89" s="1"/>
  <c r="I89" i="40"/>
  <c r="K89" s="1"/>
  <c r="L89" s="1"/>
  <c r="I89" i="41"/>
  <c r="K89" s="1"/>
  <c r="L89" s="1"/>
  <c r="H116" i="37"/>
  <c r="H115" i="36"/>
  <c r="T97" i="38"/>
  <c r="T97" i="42"/>
  <c r="T97" i="40"/>
  <c r="T97" i="41"/>
  <c r="T97" i="37"/>
  <c r="T97" i="39"/>
  <c r="Q97" i="34"/>
  <c r="T97" i="35"/>
  <c r="T97" i="36"/>
  <c r="U53" i="42"/>
  <c r="U53" i="40"/>
  <c r="U53" i="41"/>
  <c r="U53" i="37"/>
  <c r="U53" i="38"/>
  <c r="U53" i="39"/>
  <c r="R53" i="34"/>
  <c r="U53" i="35"/>
  <c r="U53" i="36"/>
  <c r="K53" i="33"/>
  <c r="I92" i="41"/>
  <c r="I92" i="40"/>
  <c r="I92" i="42"/>
  <c r="J124" i="37"/>
  <c r="O124" i="36"/>
  <c r="P124" s="1"/>
  <c r="K124"/>
  <c r="L124" s="1"/>
  <c r="J30" i="35"/>
  <c r="J37" i="31"/>
  <c r="I139" i="34"/>
  <c r="I138" s="1"/>
  <c r="H53"/>
  <c r="O87"/>
  <c r="R87" i="35"/>
  <c r="R87" i="42"/>
  <c r="H164" i="35"/>
  <c r="O164" s="1"/>
  <c r="P164" s="1"/>
  <c r="O147"/>
  <c r="P147" s="1"/>
  <c r="E8" i="30"/>
  <c r="K121" i="31"/>
  <c r="L121" s="1"/>
  <c r="I139"/>
  <c r="R139" i="32" s="1"/>
  <c r="K188" i="31"/>
  <c r="L188" s="1"/>
  <c r="H41" i="35"/>
  <c r="R87" i="38"/>
  <c r="R87" i="41"/>
  <c r="I97" i="34"/>
  <c r="K123" i="35"/>
  <c r="L123" s="1"/>
  <c r="O31"/>
  <c r="P31" s="1"/>
  <c r="K179" i="34"/>
  <c r="L179" s="1"/>
  <c r="O94" i="35"/>
  <c r="P94" s="1"/>
  <c r="K155"/>
  <c r="J156" i="36"/>
  <c r="O155" i="35"/>
  <c r="P155" s="1"/>
  <c r="J128" i="37"/>
  <c r="K128" i="36"/>
  <c r="L128" s="1"/>
  <c r="O128"/>
  <c r="P128" s="1"/>
  <c r="H21" i="37"/>
  <c r="H23" i="36"/>
  <c r="O23" s="1"/>
  <c r="P23" s="1"/>
  <c r="I124" i="39"/>
  <c r="I124" i="38"/>
  <c r="H173"/>
  <c r="H174" i="39"/>
  <c r="O174" s="1"/>
  <c r="P174" s="1"/>
  <c r="J199" i="37"/>
  <c r="K197" i="36"/>
  <c r="L197" s="1"/>
  <c r="O197"/>
  <c r="P197" s="1"/>
  <c r="I123" i="38"/>
  <c r="I123" i="39"/>
  <c r="H60" i="36"/>
  <c r="H62" i="35"/>
  <c r="H194"/>
  <c r="O194" s="1"/>
  <c r="P194" s="1"/>
  <c r="H196" i="36"/>
  <c r="J199"/>
  <c r="O198" i="35"/>
  <c r="P198" s="1"/>
  <c r="K198"/>
  <c r="L198" s="1"/>
  <c r="J150" i="37"/>
  <c r="J224" i="36"/>
  <c r="K148"/>
  <c r="L148" s="1"/>
  <c r="O148"/>
  <c r="P148" s="1"/>
  <c r="I188" i="42"/>
  <c r="K188" s="1"/>
  <c r="L188" s="1"/>
  <c r="I189" i="41"/>
  <c r="K189" s="1"/>
  <c r="L189" s="1"/>
  <c r="I188" i="40"/>
  <c r="I151" i="38"/>
  <c r="I152" i="39"/>
  <c r="K152" s="1"/>
  <c r="L152" s="1"/>
  <c r="J198" i="36"/>
  <c r="O197" i="35"/>
  <c r="P197" s="1"/>
  <c r="K197"/>
  <c r="L197" s="1"/>
  <c r="H160" i="36"/>
  <c r="H158" i="35"/>
  <c r="H161"/>
  <c r="O161" s="1"/>
  <c r="P161" s="1"/>
  <c r="O19" i="41"/>
  <c r="P19" s="1"/>
  <c r="J155" i="37"/>
  <c r="K153" i="36"/>
  <c r="L153" s="1"/>
  <c r="O153"/>
  <c r="P153" s="1"/>
  <c r="K63" i="35"/>
  <c r="J63" i="36"/>
  <c r="O63" i="35"/>
  <c r="P63" s="1"/>
  <c r="J65"/>
  <c r="K163"/>
  <c r="J164" i="36"/>
  <c r="O163" i="35"/>
  <c r="P163" s="1"/>
  <c r="K60"/>
  <c r="J60" i="36"/>
  <c r="O60" i="35"/>
  <c r="P60" s="1"/>
  <c r="J62"/>
  <c r="J211" i="34"/>
  <c r="K211" s="1"/>
  <c r="L211" s="1"/>
  <c r="K212"/>
  <c r="L212" s="1"/>
  <c r="N221"/>
  <c r="H225"/>
  <c r="N225" s="1"/>
  <c r="K31" i="36"/>
  <c r="J31" i="37"/>
  <c r="I128" i="38"/>
  <c r="I128" i="39"/>
  <c r="K128" s="1"/>
  <c r="L128" s="1"/>
  <c r="K160" i="35"/>
  <c r="J161" i="36"/>
  <c r="O160" i="35"/>
  <c r="P160" s="1"/>
  <c r="H192" i="41"/>
  <c r="O191" i="40"/>
  <c r="P191" s="1"/>
  <c r="I90" i="42"/>
  <c r="K90" s="1"/>
  <c r="L90" s="1"/>
  <c r="I90" i="41"/>
  <c r="K90" s="1"/>
  <c r="L90" s="1"/>
  <c r="I90" i="40"/>
  <c r="K90" s="1"/>
  <c r="L90" s="1"/>
  <c r="O93" i="35"/>
  <c r="P93" s="1"/>
  <c r="I153" i="41"/>
  <c r="K153" s="1"/>
  <c r="L153" s="1"/>
  <c r="I152" i="42"/>
  <c r="K152" s="1"/>
  <c r="L152" s="1"/>
  <c r="I152" i="40"/>
  <c r="K152" s="1"/>
  <c r="L152" s="1"/>
  <c r="H169" i="36"/>
  <c r="H170" i="35"/>
  <c r="K100"/>
  <c r="J100" i="36"/>
  <c r="O100" i="35"/>
  <c r="P100" s="1"/>
  <c r="J99"/>
  <c r="I36" i="36"/>
  <c r="I35" i="35"/>
  <c r="I10" s="1"/>
  <c r="K118"/>
  <c r="J118" i="36"/>
  <c r="O118" i="35"/>
  <c r="P118" s="1"/>
  <c r="R87" i="36"/>
  <c r="R87" i="40"/>
  <c r="H10" i="34"/>
  <c r="H9" s="1"/>
  <c r="H8" s="1"/>
  <c r="H146" i="35"/>
  <c r="K104" i="34"/>
  <c r="L104" s="1"/>
  <c r="H209" i="30"/>
  <c r="I138" i="31"/>
  <c r="R138" i="32" s="1"/>
  <c r="Q138" i="33"/>
  <c r="K188"/>
  <c r="L188" s="1"/>
  <c r="U194" i="38"/>
  <c r="U193" i="37"/>
  <c r="U190" i="35"/>
  <c r="U191" i="36"/>
  <c r="R188" i="34"/>
  <c r="H205" i="38"/>
  <c r="J206" i="37"/>
  <c r="J207" i="38" s="1"/>
  <c r="O204" i="36"/>
  <c r="P204" s="1"/>
  <c r="K204"/>
  <c r="L204" s="1"/>
  <c r="H139" i="34"/>
  <c r="I138" i="33"/>
  <c r="Q139" i="34"/>
  <c r="T145" i="38"/>
  <c r="T144" i="37"/>
  <c r="T142" i="36"/>
  <c r="T141" i="35"/>
  <c r="J208" i="37"/>
  <c r="K206" i="36"/>
  <c r="L206" s="1"/>
  <c r="O206"/>
  <c r="P206" s="1"/>
  <c r="I203"/>
  <c r="I190" i="35"/>
  <c r="I141" s="1"/>
  <c r="I140" s="1"/>
  <c r="J205" i="37"/>
  <c r="O203" i="36"/>
  <c r="P203" s="1"/>
  <c r="K203"/>
  <c r="L203" s="1"/>
  <c r="K188" i="34"/>
  <c r="L188" s="1"/>
  <c r="O200" i="35"/>
  <c r="P200" s="1"/>
  <c r="H201" i="36"/>
  <c r="J207"/>
  <c r="O206" i="35"/>
  <c r="P206" s="1"/>
  <c r="K206"/>
  <c r="J207" i="37"/>
  <c r="O205" i="36"/>
  <c r="P205" s="1"/>
  <c r="K205"/>
  <c r="L205" s="1"/>
  <c r="T110" i="30"/>
  <c r="G97"/>
  <c r="T97"/>
  <c r="K87" i="31"/>
  <c r="L87" s="1"/>
  <c r="S87" i="32"/>
  <c r="O88"/>
  <c r="J88" i="33"/>
  <c r="O87"/>
  <c r="P87" i="32"/>
  <c r="O87" s="1"/>
  <c r="K88"/>
  <c r="L88" s="1"/>
  <c r="J219"/>
  <c r="J218"/>
  <c r="J87"/>
  <c r="R188" i="33"/>
  <c r="J139" i="31"/>
  <c r="J138" s="1"/>
  <c r="S188" i="32"/>
  <c r="J139" i="30"/>
  <c r="K139" s="1"/>
  <c r="L139" s="1"/>
  <c r="G154"/>
  <c r="T154"/>
  <c r="R10" i="33"/>
  <c r="S10" i="32"/>
  <c r="F9" i="30"/>
  <c r="G9" s="1"/>
  <c r="G10"/>
  <c r="F206" i="32"/>
  <c r="G205"/>
  <c r="E8" i="31"/>
  <c r="F139" i="30"/>
  <c r="F138" s="1"/>
  <c r="T188"/>
  <c r="T10"/>
  <c r="G139" i="31"/>
  <c r="J110"/>
  <c r="I8"/>
  <c r="R8" i="32" s="1"/>
  <c r="F97" i="31"/>
  <c r="G97" s="1"/>
  <c r="D205"/>
  <c r="D207" s="1"/>
  <c r="D213" s="1"/>
  <c r="H8"/>
  <c r="H205" s="1"/>
  <c r="H207" s="1"/>
  <c r="E205"/>
  <c r="K10"/>
  <c r="L10" s="1"/>
  <c r="J9"/>
  <c r="F138"/>
  <c r="G138" s="1"/>
  <c r="F9"/>
  <c r="J9" i="30"/>
  <c r="K10"/>
  <c r="L10" s="1"/>
  <c r="K209"/>
  <c r="L209" s="1"/>
  <c r="I213"/>
  <c r="K213" s="1"/>
  <c r="L213" s="1"/>
  <c r="G188"/>
  <c r="E205"/>
  <c r="E207" s="1"/>
  <c r="E209" s="1"/>
  <c r="D8"/>
  <c r="D205" s="1"/>
  <c r="D207" s="1"/>
  <c r="I224"/>
  <c r="H110" i="36" l="1"/>
  <c r="H97" s="1"/>
  <c r="K65" i="35"/>
  <c r="O65"/>
  <c r="P65" s="1"/>
  <c r="J124" i="38"/>
  <c r="J124" i="39"/>
  <c r="K124" i="37"/>
  <c r="L124" s="1"/>
  <c r="O124"/>
  <c r="P124" s="1"/>
  <c r="J15"/>
  <c r="O15" i="36"/>
  <c r="P15" s="1"/>
  <c r="K15"/>
  <c r="J157" i="37"/>
  <c r="K155" i="36"/>
  <c r="O155"/>
  <c r="P155" s="1"/>
  <c r="J154"/>
  <c r="J76" i="37"/>
  <c r="K76" i="36"/>
  <c r="O76"/>
  <c r="P76" s="1"/>
  <c r="J74"/>
  <c r="J24" i="37"/>
  <c r="J26" i="36"/>
  <c r="O26" s="1"/>
  <c r="P26" s="1"/>
  <c r="O24"/>
  <c r="P24" s="1"/>
  <c r="K24"/>
  <c r="I149" i="38"/>
  <c r="I150" i="39"/>
  <c r="I149" i="37"/>
  <c r="J112"/>
  <c r="J111" i="36"/>
  <c r="K112"/>
  <c r="O112"/>
  <c r="P112" s="1"/>
  <c r="J174" i="37"/>
  <c r="K172" i="36"/>
  <c r="J174"/>
  <c r="O172"/>
  <c r="P172" s="1"/>
  <c r="J22" i="37"/>
  <c r="K22" i="36"/>
  <c r="O22"/>
  <c r="P22" s="1"/>
  <c r="J191" i="37"/>
  <c r="K189" i="36"/>
  <c r="H27" i="42"/>
  <c r="H27" i="41"/>
  <c r="H146" i="37"/>
  <c r="H143" i="36"/>
  <c r="J185" i="37"/>
  <c r="K183" i="36"/>
  <c r="L183" s="1"/>
  <c r="J182"/>
  <c r="O183"/>
  <c r="P183" s="1"/>
  <c r="H15" i="37"/>
  <c r="H17" i="36"/>
  <c r="O17" s="1"/>
  <c r="P17" s="1"/>
  <c r="J81" i="37"/>
  <c r="O81" i="36"/>
  <c r="P81" s="1"/>
  <c r="K81"/>
  <c r="J187" i="37"/>
  <c r="K185" i="36"/>
  <c r="L185" s="1"/>
  <c r="O185"/>
  <c r="P185" s="1"/>
  <c r="H159" i="40"/>
  <c r="H159" i="42"/>
  <c r="O159" s="1"/>
  <c r="P159" s="1"/>
  <c r="J13" i="37"/>
  <c r="K13" i="36"/>
  <c r="O13"/>
  <c r="P13" s="1"/>
  <c r="O195"/>
  <c r="P195" s="1"/>
  <c r="K25"/>
  <c r="J25" i="37"/>
  <c r="O25" i="36"/>
  <c r="P25" s="1"/>
  <c r="U72" i="42"/>
  <c r="U72" i="41"/>
  <c r="U72" i="40"/>
  <c r="U72" i="37"/>
  <c r="U72" i="36"/>
  <c r="U72" i="38"/>
  <c r="U72" i="39"/>
  <c r="J72" i="34"/>
  <c r="R72"/>
  <c r="U72" i="35"/>
  <c r="K72" i="33"/>
  <c r="L72" s="1"/>
  <c r="H95" i="36"/>
  <c r="O95" s="1"/>
  <c r="P95" s="1"/>
  <c r="H96" i="37"/>
  <c r="O96" i="36"/>
  <c r="P96" s="1"/>
  <c r="K33"/>
  <c r="J33" i="37"/>
  <c r="O33" i="36"/>
  <c r="P33" s="1"/>
  <c r="K146" i="35"/>
  <c r="O146"/>
  <c r="P146" s="1"/>
  <c r="K64" i="36"/>
  <c r="J64" i="37"/>
  <c r="O64" i="36"/>
  <c r="P64" s="1"/>
  <c r="K44" i="35"/>
  <c r="O44"/>
  <c r="P44" s="1"/>
  <c r="J175" i="37"/>
  <c r="K173" i="36"/>
  <c r="O173"/>
  <c r="P173" s="1"/>
  <c r="J126" i="37"/>
  <c r="K126" i="36"/>
  <c r="L126" s="1"/>
  <c r="O126"/>
  <c r="P126" s="1"/>
  <c r="K12"/>
  <c r="J12" i="37"/>
  <c r="O12" i="36"/>
  <c r="P12" s="1"/>
  <c r="J11"/>
  <c r="J14"/>
  <c r="K14" s="1"/>
  <c r="J16" i="37"/>
  <c r="K16" i="36"/>
  <c r="O16"/>
  <c r="P16" s="1"/>
  <c r="I88" i="37"/>
  <c r="I87" i="36"/>
  <c r="J121" i="35"/>
  <c r="K119" i="33"/>
  <c r="L119" s="1"/>
  <c r="U119" i="41"/>
  <c r="U119" i="39"/>
  <c r="U119" i="40"/>
  <c r="U119" i="42"/>
  <c r="U119" i="38"/>
  <c r="U119" i="37"/>
  <c r="U119" i="36"/>
  <c r="R119" i="34"/>
  <c r="U119" i="35"/>
  <c r="J208" i="38"/>
  <c r="J209" i="39"/>
  <c r="J118" i="37"/>
  <c r="K118" i="36"/>
  <c r="O118"/>
  <c r="P118" s="1"/>
  <c r="K31" i="37"/>
  <c r="J31" i="38"/>
  <c r="K60" i="36"/>
  <c r="J60" i="37"/>
  <c r="O60" i="36"/>
  <c r="P60" s="1"/>
  <c r="J62"/>
  <c r="H162" i="37"/>
  <c r="H159" i="36"/>
  <c r="H162"/>
  <c r="O162" s="1"/>
  <c r="P162" s="1"/>
  <c r="H198" i="37"/>
  <c r="H195" i="36"/>
  <c r="J200" i="38"/>
  <c r="K199" i="37"/>
  <c r="L199" s="1"/>
  <c r="O199"/>
  <c r="P199" s="1"/>
  <c r="J45"/>
  <c r="O45" i="36"/>
  <c r="P45" s="1"/>
  <c r="J47"/>
  <c r="K45"/>
  <c r="J189" i="38"/>
  <c r="J190" i="39"/>
  <c r="O188" i="37"/>
  <c r="P188" s="1"/>
  <c r="K188"/>
  <c r="L188" s="1"/>
  <c r="J154" i="38"/>
  <c r="O153" i="37"/>
  <c r="P153" s="1"/>
  <c r="K153"/>
  <c r="L153" s="1"/>
  <c r="K29" i="35"/>
  <c r="O29"/>
  <c r="P29" s="1"/>
  <c r="K174"/>
  <c r="L174" s="1"/>
  <c r="O174"/>
  <c r="P174" s="1"/>
  <c r="H149" i="38"/>
  <c r="H150" i="39"/>
  <c r="O150" s="1"/>
  <c r="P150" s="1"/>
  <c r="H81" i="37"/>
  <c r="H83" i="36"/>
  <c r="O83" s="1"/>
  <c r="P83" s="1"/>
  <c r="J169" i="37"/>
  <c r="O167" i="36"/>
  <c r="P167" s="1"/>
  <c r="K167"/>
  <c r="H181" i="42"/>
  <c r="H181" i="40"/>
  <c r="H182" i="41" s="1"/>
  <c r="I198" i="37"/>
  <c r="K198" s="1"/>
  <c r="L198" s="1"/>
  <c r="I195" i="36"/>
  <c r="I191" s="1"/>
  <c r="I142" s="1"/>
  <c r="I141" s="1"/>
  <c r="J199" i="38"/>
  <c r="O198" i="37"/>
  <c r="P198" s="1"/>
  <c r="H216"/>
  <c r="H216" i="36"/>
  <c r="H215" s="1"/>
  <c r="J165" i="37"/>
  <c r="O163" i="36"/>
  <c r="P163" s="1"/>
  <c r="K163"/>
  <c r="J134" i="37"/>
  <c r="K134" i="36"/>
  <c r="L134" s="1"/>
  <c r="O134"/>
  <c r="P134" s="1"/>
  <c r="J19" i="37"/>
  <c r="O19" i="36"/>
  <c r="P19" s="1"/>
  <c r="K19"/>
  <c r="J78" i="37"/>
  <c r="K78" i="36"/>
  <c r="O78"/>
  <c r="P78" s="1"/>
  <c r="J113" i="37"/>
  <c r="K113" i="36"/>
  <c r="O113"/>
  <c r="P113" s="1"/>
  <c r="K61"/>
  <c r="J61" i="37"/>
  <c r="O61" i="36"/>
  <c r="P61" s="1"/>
  <c r="J82" i="37"/>
  <c r="K82" i="36"/>
  <c r="O82"/>
  <c r="P82" s="1"/>
  <c r="J49" i="37"/>
  <c r="K49" i="36"/>
  <c r="O49"/>
  <c r="P49" s="1"/>
  <c r="H166" i="38"/>
  <c r="H167" i="39"/>
  <c r="H169" s="1"/>
  <c r="O169" s="1"/>
  <c r="P169" s="1"/>
  <c r="H167" i="37"/>
  <c r="O167" s="1"/>
  <c r="P167" s="1"/>
  <c r="K41" i="35"/>
  <c r="O41"/>
  <c r="P41" s="1"/>
  <c r="H54" i="37"/>
  <c r="H51" i="36"/>
  <c r="H53" s="1"/>
  <c r="H56"/>
  <c r="J186" i="37"/>
  <c r="K184" i="36"/>
  <c r="L184" s="1"/>
  <c r="O184"/>
  <c r="P184" s="1"/>
  <c r="K73" i="35"/>
  <c r="O73"/>
  <c r="P73" s="1"/>
  <c r="O43" i="36"/>
  <c r="P43" s="1"/>
  <c r="J43" i="37"/>
  <c r="K43" i="36"/>
  <c r="H42" i="39"/>
  <c r="H42" i="38"/>
  <c r="H41" i="37"/>
  <c r="H44"/>
  <c r="K120" i="31"/>
  <c r="L120" s="1"/>
  <c r="I120" i="32"/>
  <c r="R120"/>
  <c r="J46" i="37"/>
  <c r="K46" i="36"/>
  <c r="O46"/>
  <c r="P46" s="1"/>
  <c r="J66" i="37"/>
  <c r="K66" i="36"/>
  <c r="O66"/>
  <c r="P66" s="1"/>
  <c r="J68"/>
  <c r="H100" i="38"/>
  <c r="H100" i="39"/>
  <c r="H99" s="1"/>
  <c r="H99" i="37"/>
  <c r="I37" i="33"/>
  <c r="Q37"/>
  <c r="I9" i="32"/>
  <c r="U88" i="42"/>
  <c r="U88" i="41"/>
  <c r="U88" i="40"/>
  <c r="U88" i="37"/>
  <c r="U88" i="39"/>
  <c r="J88" i="34"/>
  <c r="U88" i="38"/>
  <c r="U88" i="35"/>
  <c r="R88" i="34"/>
  <c r="U88" i="36"/>
  <c r="T145" i="41"/>
  <c r="T144" i="42"/>
  <c r="T144" i="40"/>
  <c r="T145" i="39"/>
  <c r="H205" i="42"/>
  <c r="H205" i="40"/>
  <c r="H206" i="41" s="1"/>
  <c r="J100" i="37"/>
  <c r="J99" i="36"/>
  <c r="K99" s="1"/>
  <c r="L99" s="1"/>
  <c r="O100"/>
  <c r="P100" s="1"/>
  <c r="K100"/>
  <c r="J163" i="37"/>
  <c r="O161" i="36"/>
  <c r="P161" s="1"/>
  <c r="K161"/>
  <c r="K62" i="35"/>
  <c r="O62"/>
  <c r="P62" s="1"/>
  <c r="K188" i="40"/>
  <c r="L188" s="1"/>
  <c r="H173" i="42"/>
  <c r="H173" i="40"/>
  <c r="H174" i="41" s="1"/>
  <c r="H21" i="39"/>
  <c r="H23" s="1"/>
  <c r="H21" i="38"/>
  <c r="H23" i="37"/>
  <c r="O23" s="1"/>
  <c r="P23" s="1"/>
  <c r="K37" i="31"/>
  <c r="L37" s="1"/>
  <c r="R37" i="33"/>
  <c r="S37" i="32"/>
  <c r="J202" i="37"/>
  <c r="K200" i="36"/>
  <c r="L200" s="1"/>
  <c r="O200"/>
  <c r="P200" s="1"/>
  <c r="I38" i="42"/>
  <c r="I38" i="40"/>
  <c r="I38" i="41"/>
  <c r="J216" i="37"/>
  <c r="J216" i="36"/>
  <c r="O214"/>
  <c r="P214" s="1"/>
  <c r="K214"/>
  <c r="L214" s="1"/>
  <c r="J168" i="37"/>
  <c r="O166" i="36"/>
  <c r="P166" s="1"/>
  <c r="J168"/>
  <c r="K166"/>
  <c r="K47" i="35"/>
  <c r="O47"/>
  <c r="P47" s="1"/>
  <c r="H69" i="37"/>
  <c r="H71" i="36"/>
  <c r="J197" i="39"/>
  <c r="J196" i="38"/>
  <c r="K195" i="37"/>
  <c r="L195" s="1"/>
  <c r="O195"/>
  <c r="P195" s="1"/>
  <c r="J190"/>
  <c r="O188" i="36"/>
  <c r="P188" s="1"/>
  <c r="J187"/>
  <c r="K187" s="1"/>
  <c r="L187" s="1"/>
  <c r="K188"/>
  <c r="H182" i="42"/>
  <c r="O182" s="1"/>
  <c r="P182" s="1"/>
  <c r="H182" i="40"/>
  <c r="K115" i="35"/>
  <c r="L115" s="1"/>
  <c r="O115"/>
  <c r="P115" s="1"/>
  <c r="H222" i="36"/>
  <c r="I225" s="1"/>
  <c r="I229" s="1"/>
  <c r="H88" i="37"/>
  <c r="H87" i="36"/>
  <c r="H223"/>
  <c r="K34"/>
  <c r="J34" i="37"/>
  <c r="O34" i="36"/>
  <c r="P34" s="1"/>
  <c r="H76" i="37"/>
  <c r="H74" i="36"/>
  <c r="H168" i="37"/>
  <c r="H168" i="36"/>
  <c r="J125" i="33"/>
  <c r="J110" s="1"/>
  <c r="K125" i="32"/>
  <c r="L125" s="1"/>
  <c r="H45" i="37"/>
  <c r="H47" i="36"/>
  <c r="K93"/>
  <c r="L93" s="1"/>
  <c r="O181" i="35"/>
  <c r="P181" s="1"/>
  <c r="K181"/>
  <c r="L181" s="1"/>
  <c r="J39" i="37"/>
  <c r="K39" i="36"/>
  <c r="O39"/>
  <c r="P39" s="1"/>
  <c r="J178" i="37"/>
  <c r="O176" i="36"/>
  <c r="P176" s="1"/>
  <c r="K176"/>
  <c r="J175"/>
  <c r="J102" i="37"/>
  <c r="O102" i="36"/>
  <c r="P102" s="1"/>
  <c r="K102"/>
  <c r="K67"/>
  <c r="J67" i="37"/>
  <c r="O67" i="36"/>
  <c r="P67" s="1"/>
  <c r="J90" i="38"/>
  <c r="J90" i="39"/>
  <c r="O90" i="37"/>
  <c r="P90" s="1"/>
  <c r="K90"/>
  <c r="L90" s="1"/>
  <c r="J54"/>
  <c r="K54" i="36"/>
  <c r="J56"/>
  <c r="J51"/>
  <c r="O54"/>
  <c r="P54" s="1"/>
  <c r="K40" i="35"/>
  <c r="O40"/>
  <c r="P40" s="1"/>
  <c r="K170"/>
  <c r="O170"/>
  <c r="P170" s="1"/>
  <c r="H184" i="42"/>
  <c r="H183" s="1"/>
  <c r="O183" s="1"/>
  <c r="P183" s="1"/>
  <c r="H184" i="40"/>
  <c r="H183" i="38"/>
  <c r="O183" s="1"/>
  <c r="P183" s="1"/>
  <c r="J204" i="37"/>
  <c r="K202" i="36"/>
  <c r="O202"/>
  <c r="P202" s="1"/>
  <c r="J151" i="37"/>
  <c r="O149" i="36"/>
  <c r="P149" s="1"/>
  <c r="K149"/>
  <c r="L149" s="1"/>
  <c r="H170" i="42"/>
  <c r="H170" i="40"/>
  <c r="H171" i="41" s="1"/>
  <c r="H150" i="37"/>
  <c r="H224" i="36"/>
  <c r="H225" s="1"/>
  <c r="J123" i="39"/>
  <c r="J123" i="38"/>
  <c r="O123" i="37"/>
  <c r="P123" s="1"/>
  <c r="K123"/>
  <c r="L123" s="1"/>
  <c r="H160"/>
  <c r="H157" i="36"/>
  <c r="O157" s="1"/>
  <c r="P157" s="1"/>
  <c r="J55" i="37"/>
  <c r="J52" i="36"/>
  <c r="K55"/>
  <c r="O55"/>
  <c r="P55" s="1"/>
  <c r="J172" i="37"/>
  <c r="O170" i="36"/>
  <c r="P170" s="1"/>
  <c r="K170"/>
  <c r="J84" i="37"/>
  <c r="K84" i="36"/>
  <c r="O84"/>
  <c r="P84" s="1"/>
  <c r="H48" i="38"/>
  <c r="H48" i="39"/>
  <c r="H50" i="37"/>
  <c r="J153" i="38"/>
  <c r="K152" i="37"/>
  <c r="L152" s="1"/>
  <c r="O152"/>
  <c r="P152" s="1"/>
  <c r="J18"/>
  <c r="O18" i="36"/>
  <c r="P18" s="1"/>
  <c r="K18"/>
  <c r="I135" i="42"/>
  <c r="I135" i="40"/>
  <c r="I135" i="41"/>
  <c r="I216" i="37"/>
  <c r="I216" i="36"/>
  <c r="I215" s="1"/>
  <c r="I157"/>
  <c r="K157" s="1"/>
  <c r="L157" s="1"/>
  <c r="I160" i="37"/>
  <c r="J106"/>
  <c r="K106" i="36"/>
  <c r="L106" s="1"/>
  <c r="O106"/>
  <c r="P106" s="1"/>
  <c r="J114" i="37"/>
  <c r="K114" i="36"/>
  <c r="O114"/>
  <c r="P114" s="1"/>
  <c r="J137" i="37"/>
  <c r="K137" i="36"/>
  <c r="L137" s="1"/>
  <c r="O137"/>
  <c r="P137" s="1"/>
  <c r="J75" i="37"/>
  <c r="K75" i="36"/>
  <c r="O75"/>
  <c r="P75" s="1"/>
  <c r="J73"/>
  <c r="K14" i="35"/>
  <c r="H63" i="37"/>
  <c r="H65" i="36"/>
  <c r="J146" i="37"/>
  <c r="J143" i="36"/>
  <c r="K144"/>
  <c r="L144" s="1"/>
  <c r="O144"/>
  <c r="P144" s="1"/>
  <c r="H78" i="37"/>
  <c r="H80" i="36"/>
  <c r="O80" s="1"/>
  <c r="P80" s="1"/>
  <c r="H55" i="37"/>
  <c r="H52" i="36"/>
  <c r="I45" i="37"/>
  <c r="I41" i="36"/>
  <c r="J162" i="37"/>
  <c r="J162" i="36"/>
  <c r="K162" s="1"/>
  <c r="K160"/>
  <c r="O160"/>
  <c r="P160" s="1"/>
  <c r="J159"/>
  <c r="J119" i="34"/>
  <c r="J120" i="35"/>
  <c r="H190"/>
  <c r="O190" s="1"/>
  <c r="P190" s="1"/>
  <c r="H11" i="36"/>
  <c r="K196"/>
  <c r="L196" s="1"/>
  <c r="J210" i="39"/>
  <c r="J209" i="38"/>
  <c r="H171" i="37"/>
  <c r="H171" i="36"/>
  <c r="I128" i="42"/>
  <c r="I128" i="41"/>
  <c r="I128" i="40"/>
  <c r="I151" i="42"/>
  <c r="K151" s="1"/>
  <c r="L151" s="1"/>
  <c r="I152" i="41"/>
  <c r="K152" s="1"/>
  <c r="L152" s="1"/>
  <c r="I151" i="40"/>
  <c r="K151" s="1"/>
  <c r="L151" s="1"/>
  <c r="I123"/>
  <c r="I123" i="41"/>
  <c r="I123" i="42"/>
  <c r="K128" i="37"/>
  <c r="L128" s="1"/>
  <c r="J128" i="38"/>
  <c r="O128" i="37"/>
  <c r="P128" s="1"/>
  <c r="H116" i="39"/>
  <c r="H115" s="1"/>
  <c r="H116" i="38"/>
  <c r="H115" i="37"/>
  <c r="J180"/>
  <c r="K178" i="36"/>
  <c r="O178"/>
  <c r="P178" s="1"/>
  <c r="I130" i="42"/>
  <c r="K130" s="1"/>
  <c r="L130" s="1"/>
  <c r="I130" i="41"/>
  <c r="K130" s="1"/>
  <c r="L130" s="1"/>
  <c r="I130" i="40"/>
  <c r="K130" s="1"/>
  <c r="L130" s="1"/>
  <c r="J36" i="37"/>
  <c r="J35" i="36"/>
  <c r="K36"/>
  <c r="L36" s="1"/>
  <c r="O36"/>
  <c r="P36" s="1"/>
  <c r="K202" i="41"/>
  <c r="L202" s="1"/>
  <c r="J27" i="37"/>
  <c r="O27" i="36"/>
  <c r="P27" s="1"/>
  <c r="K27"/>
  <c r="J29"/>
  <c r="J131" i="37"/>
  <c r="K131" i="36"/>
  <c r="L131" s="1"/>
  <c r="O131"/>
  <c r="P131" s="1"/>
  <c r="J94" i="38"/>
  <c r="J93" i="37"/>
  <c r="J105"/>
  <c r="O105" i="36"/>
  <c r="P105" s="1"/>
  <c r="K105"/>
  <c r="L105" s="1"/>
  <c r="J104"/>
  <c r="I95"/>
  <c r="K95" s="1"/>
  <c r="L95" s="1"/>
  <c r="I96" i="37"/>
  <c r="K96" i="36"/>
  <c r="L96" s="1"/>
  <c r="J214" i="37"/>
  <c r="K212" i="36"/>
  <c r="L212" s="1"/>
  <c r="O212"/>
  <c r="P212" s="1"/>
  <c r="I133" i="42"/>
  <c r="I133" i="41"/>
  <c r="I133" i="40"/>
  <c r="J132" i="39"/>
  <c r="J132" i="38"/>
  <c r="O132" i="37"/>
  <c r="P132" s="1"/>
  <c r="K132"/>
  <c r="H168" i="38"/>
  <c r="O168" s="1"/>
  <c r="P168" s="1"/>
  <c r="H167" i="42"/>
  <c r="H167" i="40"/>
  <c r="H189" i="41"/>
  <c r="O189" s="1"/>
  <c r="P189" s="1"/>
  <c r="O188" i="40"/>
  <c r="P188" s="1"/>
  <c r="H98"/>
  <c r="H227" i="35"/>
  <c r="N227" s="1"/>
  <c r="N223"/>
  <c r="K21" i="36"/>
  <c r="J21" i="37"/>
  <c r="O21" i="36"/>
  <c r="P21" s="1"/>
  <c r="K71" i="35"/>
  <c r="O71"/>
  <c r="P71" s="1"/>
  <c r="H84" i="37"/>
  <c r="H86" i="36"/>
  <c r="O86" s="1"/>
  <c r="P86" s="1"/>
  <c r="J32" i="37"/>
  <c r="J30" s="1"/>
  <c r="O32" i="36"/>
  <c r="P32" s="1"/>
  <c r="K32"/>
  <c r="J148" i="37"/>
  <c r="O146" i="36"/>
  <c r="P146" s="1"/>
  <c r="K146"/>
  <c r="J10" i="35"/>
  <c r="K11"/>
  <c r="L11" s="1"/>
  <c r="K197" i="41"/>
  <c r="L197" s="1"/>
  <c r="H28" i="37"/>
  <c r="H29" i="36"/>
  <c r="J207" i="39"/>
  <c r="J206" i="38"/>
  <c r="O206" s="1"/>
  <c r="P206" s="1"/>
  <c r="K99" i="35"/>
  <c r="L99" s="1"/>
  <c r="O99"/>
  <c r="P99" s="1"/>
  <c r="O192" i="41"/>
  <c r="P192" s="1"/>
  <c r="O150" i="37"/>
  <c r="P150" s="1"/>
  <c r="J151" i="38"/>
  <c r="J226" i="37"/>
  <c r="K150"/>
  <c r="L150" s="1"/>
  <c r="I146"/>
  <c r="I143" i="36"/>
  <c r="J213" i="35"/>
  <c r="O214"/>
  <c r="P214" s="1"/>
  <c r="K214"/>
  <c r="L214" s="1"/>
  <c r="H149" i="37"/>
  <c r="H148" i="38"/>
  <c r="H149" i="39"/>
  <c r="K167" i="35"/>
  <c r="O167"/>
  <c r="P167" s="1"/>
  <c r="J85" i="37"/>
  <c r="O85" i="36"/>
  <c r="P85" s="1"/>
  <c r="K85"/>
  <c r="I185" i="37"/>
  <c r="I182" i="36"/>
  <c r="H156" i="42"/>
  <c r="O156" s="1"/>
  <c r="P156" s="1"/>
  <c r="H156" i="40"/>
  <c r="J116" i="37"/>
  <c r="K116" i="36"/>
  <c r="O116"/>
  <c r="P116" s="1"/>
  <c r="J115"/>
  <c r="J133" i="39"/>
  <c r="J133" i="38"/>
  <c r="O133" i="37"/>
  <c r="P133" s="1"/>
  <c r="K133"/>
  <c r="K58" i="36"/>
  <c r="J58" i="37"/>
  <c r="O58" i="36"/>
  <c r="P58" s="1"/>
  <c r="K10" i="34"/>
  <c r="L10" s="1"/>
  <c r="H120" i="37"/>
  <c r="H119" i="36"/>
  <c r="J127" i="37"/>
  <c r="K127" i="36"/>
  <c r="L127" s="1"/>
  <c r="O127"/>
  <c r="P127" s="1"/>
  <c r="I104" i="41"/>
  <c r="I104" i="42"/>
  <c r="I104" i="40"/>
  <c r="K56" i="35"/>
  <c r="O56"/>
  <c r="P56" s="1"/>
  <c r="J38" i="37"/>
  <c r="K38" i="36"/>
  <c r="L38" s="1"/>
  <c r="O38"/>
  <c r="P38" s="1"/>
  <c r="J40"/>
  <c r="H154" i="37"/>
  <c r="O152" i="36"/>
  <c r="P152" s="1"/>
  <c r="J109" i="33"/>
  <c r="K109" i="32"/>
  <c r="L109" s="1"/>
  <c r="H75" i="37"/>
  <c r="H73" i="36"/>
  <c r="H72" s="1"/>
  <c r="H77"/>
  <c r="O77" s="1"/>
  <c r="P77" s="1"/>
  <c r="J171" i="37"/>
  <c r="J171" i="36"/>
  <c r="K169"/>
  <c r="O169"/>
  <c r="P169" s="1"/>
  <c r="U98" i="40"/>
  <c r="U98" i="42"/>
  <c r="U98" i="41"/>
  <c r="U98" i="37"/>
  <c r="U98" i="39"/>
  <c r="U98" i="38"/>
  <c r="U98" i="36"/>
  <c r="U98" i="35"/>
  <c r="J98" i="34"/>
  <c r="R98"/>
  <c r="K98" i="33"/>
  <c r="L98" s="1"/>
  <c r="J155" i="40"/>
  <c r="J156" i="41"/>
  <c r="K52" i="35"/>
  <c r="O52"/>
  <c r="P52" s="1"/>
  <c r="H66" i="37"/>
  <c r="H68" i="36"/>
  <c r="H174" i="37"/>
  <c r="H174" i="36"/>
  <c r="H157" i="37"/>
  <c r="H154" i="36"/>
  <c r="J183" i="37"/>
  <c r="K181" i="36"/>
  <c r="O181"/>
  <c r="P181" s="1"/>
  <c r="K196" i="42"/>
  <c r="L196" s="1"/>
  <c r="H31" i="37"/>
  <c r="H30" i="36"/>
  <c r="K158" i="35"/>
  <c r="L158" s="1"/>
  <c r="O158"/>
  <c r="P158" s="1"/>
  <c r="I35" i="36"/>
  <c r="I10" s="1"/>
  <c r="I36" i="37"/>
  <c r="J166"/>
  <c r="O164" i="36"/>
  <c r="P164" s="1"/>
  <c r="K164"/>
  <c r="J63" i="37"/>
  <c r="O63" i="36"/>
  <c r="P63" s="1"/>
  <c r="J65"/>
  <c r="K63"/>
  <c r="J156" i="38"/>
  <c r="K155" i="37"/>
  <c r="L155" s="1"/>
  <c r="O155"/>
  <c r="P155" s="1"/>
  <c r="J200"/>
  <c r="O198" i="36"/>
  <c r="P198" s="1"/>
  <c r="K198"/>
  <c r="L198" s="1"/>
  <c r="J201" i="37"/>
  <c r="K199" i="36"/>
  <c r="L199" s="1"/>
  <c r="O199"/>
  <c r="P199" s="1"/>
  <c r="H60" i="37"/>
  <c r="H62" i="36"/>
  <c r="I124" i="42"/>
  <c r="I124" i="41"/>
  <c r="I124" i="40"/>
  <c r="J158" i="37"/>
  <c r="K156" i="36"/>
  <c r="O156"/>
  <c r="P156" s="1"/>
  <c r="K30" i="35"/>
  <c r="L30" s="1"/>
  <c r="O30"/>
  <c r="P30" s="1"/>
  <c r="J91" i="39"/>
  <c r="J91" i="38"/>
  <c r="O91" i="37"/>
  <c r="P91" s="1"/>
  <c r="K91"/>
  <c r="L91" s="1"/>
  <c r="J194"/>
  <c r="K192" i="36"/>
  <c r="O192"/>
  <c r="P192" s="1"/>
  <c r="K153" i="35"/>
  <c r="L153" s="1"/>
  <c r="O153"/>
  <c r="P153" s="1"/>
  <c r="K74"/>
  <c r="O74"/>
  <c r="P74" s="1"/>
  <c r="H12" i="38"/>
  <c r="H12" i="40" s="1"/>
  <c r="H12" i="39"/>
  <c r="H14" i="37"/>
  <c r="H111" i="39"/>
  <c r="H111" i="38"/>
  <c r="H111" i="40" s="1"/>
  <c r="K57" i="36"/>
  <c r="J57" i="37"/>
  <c r="O57" i="36"/>
  <c r="P57" s="1"/>
  <c r="J117" i="37"/>
  <c r="K117" i="36"/>
  <c r="O117"/>
  <c r="P117" s="1"/>
  <c r="I94" i="37"/>
  <c r="I93" i="36"/>
  <c r="J130" i="37"/>
  <c r="O130" i="36"/>
  <c r="P130" s="1"/>
  <c r="K130"/>
  <c r="L130" s="1"/>
  <c r="K111" i="35"/>
  <c r="L111" s="1"/>
  <c r="O111"/>
  <c r="P111" s="1"/>
  <c r="K35"/>
  <c r="L35" s="1"/>
  <c r="O35"/>
  <c r="P35" s="1"/>
  <c r="J103" i="37"/>
  <c r="K103" i="36"/>
  <c r="L103" s="1"/>
  <c r="O103"/>
  <c r="P103" s="1"/>
  <c r="J161" i="38"/>
  <c r="K160" i="37"/>
  <c r="L160" s="1"/>
  <c r="J159"/>
  <c r="O160"/>
  <c r="P160" s="1"/>
  <c r="H93" i="36"/>
  <c r="O93" s="1"/>
  <c r="P93" s="1"/>
  <c r="H94" i="37"/>
  <c r="J89" i="39"/>
  <c r="J89" i="38"/>
  <c r="K89" i="37"/>
  <c r="L89" s="1"/>
  <c r="O89"/>
  <c r="P89" s="1"/>
  <c r="J135"/>
  <c r="K135" i="36"/>
  <c r="O135"/>
  <c r="P135" s="1"/>
  <c r="H105" i="39"/>
  <c r="H105" i="38"/>
  <c r="H104" i="37"/>
  <c r="J179"/>
  <c r="K177" i="36"/>
  <c r="O177"/>
  <c r="P177" s="1"/>
  <c r="O104" i="35"/>
  <c r="P104" s="1"/>
  <c r="K104"/>
  <c r="L104" s="1"/>
  <c r="J176" i="33"/>
  <c r="K176" i="32"/>
  <c r="L176" s="1"/>
  <c r="J139"/>
  <c r="J136" i="37"/>
  <c r="K136" i="36"/>
  <c r="L136" s="1"/>
  <c r="O136"/>
  <c r="P136" s="1"/>
  <c r="J192" i="37"/>
  <c r="O190" i="36"/>
  <c r="P190" s="1"/>
  <c r="K190"/>
  <c r="I111" i="37"/>
  <c r="I110" i="36"/>
  <c r="I97" s="1"/>
  <c r="H18" i="37"/>
  <c r="H20" i="36"/>
  <c r="O20" s="1"/>
  <c r="P20" s="1"/>
  <c r="K28"/>
  <c r="J28" i="37"/>
  <c r="O28" i="36"/>
  <c r="P28" s="1"/>
  <c r="O51" i="35"/>
  <c r="P51" s="1"/>
  <c r="K51"/>
  <c r="J53"/>
  <c r="I132" i="42"/>
  <c r="I132" i="41"/>
  <c r="I132" i="40"/>
  <c r="H38" i="37"/>
  <c r="H40" i="36"/>
  <c r="J79" i="37"/>
  <c r="K79" i="36"/>
  <c r="O79"/>
  <c r="P79" s="1"/>
  <c r="H57" i="37"/>
  <c r="H59" i="36"/>
  <c r="O59" s="1"/>
  <c r="P59" s="1"/>
  <c r="H35"/>
  <c r="H36" i="37"/>
  <c r="H24" i="39"/>
  <c r="H26" s="1"/>
  <c r="H24" i="38"/>
  <c r="H26" i="37"/>
  <c r="J101"/>
  <c r="O101" i="36"/>
  <c r="P101" s="1"/>
  <c r="K101"/>
  <c r="J198" i="39"/>
  <c r="J197" i="38"/>
  <c r="K196" i="37"/>
  <c r="L196" s="1"/>
  <c r="O196"/>
  <c r="P196" s="1"/>
  <c r="J147"/>
  <c r="J147" i="36"/>
  <c r="K147" s="1"/>
  <c r="O145"/>
  <c r="P145" s="1"/>
  <c r="K145"/>
  <c r="L145" s="1"/>
  <c r="J69" i="37"/>
  <c r="O69" i="36"/>
  <c r="P69" s="1"/>
  <c r="K69"/>
  <c r="J71"/>
  <c r="K42"/>
  <c r="J42" i="37"/>
  <c r="J41" i="36"/>
  <c r="O42"/>
  <c r="P42" s="1"/>
  <c r="J44"/>
  <c r="K44" s="1"/>
  <c r="K70"/>
  <c r="J70" i="37"/>
  <c r="O70" i="36"/>
  <c r="P70" s="1"/>
  <c r="J107" i="37"/>
  <c r="K107" i="36"/>
  <c r="L107" s="1"/>
  <c r="O107"/>
  <c r="P107" s="1"/>
  <c r="H185" i="37"/>
  <c r="H182" i="36"/>
  <c r="J50" i="32"/>
  <c r="K50" s="1"/>
  <c r="J48" i="33"/>
  <c r="K48" i="32"/>
  <c r="J37"/>
  <c r="Q121" i="33"/>
  <c r="I121"/>
  <c r="K121" i="32"/>
  <c r="L121" s="1"/>
  <c r="K68" i="35"/>
  <c r="O68"/>
  <c r="P68" s="1"/>
  <c r="J92" i="38"/>
  <c r="O92" s="1"/>
  <c r="P92" s="1"/>
  <c r="O92" i="37"/>
  <c r="P92" s="1"/>
  <c r="K196" i="40"/>
  <c r="L196" s="1"/>
  <c r="I11" i="38"/>
  <c r="I11" i="39"/>
  <c r="J203" i="37"/>
  <c r="K201" i="36"/>
  <c r="L201" s="1"/>
  <c r="O14"/>
  <c r="P14" s="1"/>
  <c r="J30"/>
  <c r="O94"/>
  <c r="P94" s="1"/>
  <c r="O196"/>
  <c r="P196" s="1"/>
  <c r="O173" i="35"/>
  <c r="P173" s="1"/>
  <c r="H53"/>
  <c r="H41" i="36"/>
  <c r="H37" s="1"/>
  <c r="K142" i="35"/>
  <c r="L142" s="1"/>
  <c r="H203" i="37"/>
  <c r="O201" i="36"/>
  <c r="P201" s="1"/>
  <c r="H191"/>
  <c r="J209" i="37"/>
  <c r="K207" i="36"/>
  <c r="O207"/>
  <c r="P207" s="1"/>
  <c r="K208" i="38"/>
  <c r="L208" s="1"/>
  <c r="O208"/>
  <c r="P208" s="1"/>
  <c r="I205" i="37"/>
  <c r="I207" i="39" s="1"/>
  <c r="O208" i="37"/>
  <c r="P208" s="1"/>
  <c r="K208"/>
  <c r="L208" s="1"/>
  <c r="I205" i="31"/>
  <c r="K207" i="37"/>
  <c r="L207" s="1"/>
  <c r="O207"/>
  <c r="P207" s="1"/>
  <c r="K209" i="38"/>
  <c r="L209" s="1"/>
  <c r="O209"/>
  <c r="P209" s="1"/>
  <c r="O188" i="35"/>
  <c r="P188" s="1"/>
  <c r="H189" i="36"/>
  <c r="H186" i="35"/>
  <c r="O207" i="38"/>
  <c r="P207" s="1"/>
  <c r="K207"/>
  <c r="L207" s="1"/>
  <c r="K205" i="37"/>
  <c r="L205" s="1"/>
  <c r="O205"/>
  <c r="P205" s="1"/>
  <c r="Q138" i="34"/>
  <c r="T144" i="38"/>
  <c r="T143" i="37"/>
  <c r="T140" i="35"/>
  <c r="T141" i="36"/>
  <c r="H139" i="35"/>
  <c r="H138" i="34"/>
  <c r="O206" i="37"/>
  <c r="P206" s="1"/>
  <c r="K206"/>
  <c r="L206" s="1"/>
  <c r="K190" i="35"/>
  <c r="L190" s="1"/>
  <c r="J191" i="36"/>
  <c r="K110" i="31"/>
  <c r="L110" s="1"/>
  <c r="R110" i="33"/>
  <c r="S110" i="32"/>
  <c r="J97" i="31"/>
  <c r="J8" s="1"/>
  <c r="P8" i="32" s="1"/>
  <c r="K139" i="31"/>
  <c r="L139" s="1"/>
  <c r="S139" i="32"/>
  <c r="R139" i="33"/>
  <c r="F8" i="30"/>
  <c r="F205" s="1"/>
  <c r="F206" s="1"/>
  <c r="G206" s="1"/>
  <c r="K87" i="32"/>
  <c r="L87" s="1"/>
  <c r="O88" i="33"/>
  <c r="J218"/>
  <c r="J219"/>
  <c r="K88"/>
  <c r="L88" s="1"/>
  <c r="J87"/>
  <c r="J138" i="30"/>
  <c r="K138" s="1"/>
  <c r="L138" s="1"/>
  <c r="K138" i="31"/>
  <c r="L138" s="1"/>
  <c r="R138" i="33"/>
  <c r="S138" i="32"/>
  <c r="R9" i="33"/>
  <c r="S9" i="32"/>
  <c r="G206"/>
  <c r="F207"/>
  <c r="E207" i="31"/>
  <c r="G138" i="30"/>
  <c r="G139"/>
  <c r="T139"/>
  <c r="T9"/>
  <c r="D209" i="31"/>
  <c r="H209" s="1"/>
  <c r="H209" i="32" s="1"/>
  <c r="H209" i="33" s="1"/>
  <c r="H209" i="34" s="1"/>
  <c r="H211" i="35" s="1"/>
  <c r="H213" i="36" s="1"/>
  <c r="H215" i="37" s="1"/>
  <c r="H213" i="31"/>
  <c r="G9"/>
  <c r="F8"/>
  <c r="O8" s="1"/>
  <c r="K9"/>
  <c r="L9" s="1"/>
  <c r="J8" i="30"/>
  <c r="K9"/>
  <c r="L9" s="1"/>
  <c r="E213"/>
  <c r="G213" s="1"/>
  <c r="G209"/>
  <c r="D209"/>
  <c r="D213"/>
  <c r="U110" i="41" l="1"/>
  <c r="U110" i="40"/>
  <c r="U110" i="42"/>
  <c r="U110" i="39"/>
  <c r="U110" i="36"/>
  <c r="U110" i="37"/>
  <c r="R110" i="34"/>
  <c r="U110" i="38"/>
  <c r="U110" i="35"/>
  <c r="K110" i="33"/>
  <c r="L110" s="1"/>
  <c r="J97"/>
  <c r="K30" i="37"/>
  <c r="L30" s="1"/>
  <c r="I11" i="42"/>
  <c r="K11" s="1"/>
  <c r="L11" s="1"/>
  <c r="I11" i="41"/>
  <c r="I11" i="40"/>
  <c r="K37" i="32"/>
  <c r="L37" s="1"/>
  <c r="J9"/>
  <c r="J107" i="38"/>
  <c r="K107" i="37"/>
  <c r="L107" s="1"/>
  <c r="O107"/>
  <c r="P107" s="1"/>
  <c r="J148" i="38"/>
  <c r="J149" i="37"/>
  <c r="K147"/>
  <c r="L147" s="1"/>
  <c r="O147"/>
  <c r="P147" s="1"/>
  <c r="J29"/>
  <c r="K29" s="1"/>
  <c r="J28" i="38"/>
  <c r="J28" i="39"/>
  <c r="K28" s="1"/>
  <c r="K28" i="37"/>
  <c r="K139" i="32"/>
  <c r="L139" s="1"/>
  <c r="J138"/>
  <c r="I93" i="37"/>
  <c r="K93" s="1"/>
  <c r="L93" s="1"/>
  <c r="I94" i="38"/>
  <c r="I94" i="39"/>
  <c r="H12" i="42"/>
  <c r="H12" i="41"/>
  <c r="H14" i="40"/>
  <c r="J159" i="38"/>
  <c r="O158" i="37"/>
  <c r="P158" s="1"/>
  <c r="K158"/>
  <c r="H175" i="38"/>
  <c r="H176" i="39"/>
  <c r="H178" s="1"/>
  <c r="H176" i="37"/>
  <c r="O176" s="1"/>
  <c r="P176" s="1"/>
  <c r="K58"/>
  <c r="J58" i="38"/>
  <c r="O58" i="37"/>
  <c r="P58" s="1"/>
  <c r="O115" i="36"/>
  <c r="P115" s="1"/>
  <c r="K115"/>
  <c r="L115" s="1"/>
  <c r="I148" i="39"/>
  <c r="I147" s="1"/>
  <c r="I147" i="38"/>
  <c r="I145" i="37"/>
  <c r="K10" i="35"/>
  <c r="L10" s="1"/>
  <c r="J93" i="38"/>
  <c r="K29" i="36"/>
  <c r="O29"/>
  <c r="P29" s="1"/>
  <c r="O35"/>
  <c r="P35" s="1"/>
  <c r="K35"/>
  <c r="L35" s="1"/>
  <c r="J128" i="40"/>
  <c r="J128" i="42"/>
  <c r="J128" i="41"/>
  <c r="K128" i="38"/>
  <c r="L128" s="1"/>
  <c r="O128"/>
  <c r="P128" s="1"/>
  <c r="H173" i="39"/>
  <c r="H175" s="1"/>
  <c r="H172" i="38"/>
  <c r="H173" i="37"/>
  <c r="H78" i="39"/>
  <c r="H78" i="38"/>
  <c r="H80" i="37"/>
  <c r="O80" s="1"/>
  <c r="P80" s="1"/>
  <c r="K75"/>
  <c r="J75" i="38"/>
  <c r="O75" i="37"/>
  <c r="P75" s="1"/>
  <c r="J73"/>
  <c r="J84" i="38"/>
  <c r="K84" i="37"/>
  <c r="O84"/>
  <c r="P84" s="1"/>
  <c r="J123" i="42"/>
  <c r="J123" i="40"/>
  <c r="J123" i="41"/>
  <c r="O123" i="38"/>
  <c r="P123" s="1"/>
  <c r="K123"/>
  <c r="L123" s="1"/>
  <c r="O51" i="36"/>
  <c r="P51" s="1"/>
  <c r="K51"/>
  <c r="J53"/>
  <c r="H76" i="39"/>
  <c r="H76" i="38"/>
  <c r="H74" i="37"/>
  <c r="J164" i="38"/>
  <c r="O163" i="37"/>
  <c r="P163" s="1"/>
  <c r="K163"/>
  <c r="J100" i="39"/>
  <c r="J100" i="38"/>
  <c r="J99" i="37"/>
  <c r="O100"/>
  <c r="P100" s="1"/>
  <c r="K100"/>
  <c r="T37" i="41"/>
  <c r="T37" i="42"/>
  <c r="T37" i="40"/>
  <c r="T37" i="37"/>
  <c r="T37" i="39"/>
  <c r="T37" i="38"/>
  <c r="T37" i="35"/>
  <c r="I37" i="34"/>
  <c r="T37" i="36"/>
  <c r="Q37" i="34"/>
  <c r="I9" i="33"/>
  <c r="H42" i="40"/>
  <c r="H44" i="38"/>
  <c r="H54" i="39"/>
  <c r="H54" i="38"/>
  <c r="H51" i="37"/>
  <c r="H53" s="1"/>
  <c r="H56"/>
  <c r="O56" s="1"/>
  <c r="P56" s="1"/>
  <c r="K49"/>
  <c r="J49" i="38"/>
  <c r="O49" i="37"/>
  <c r="P49" s="1"/>
  <c r="H81" i="39"/>
  <c r="H81" i="38"/>
  <c r="H83" i="37"/>
  <c r="O83" s="1"/>
  <c r="P83" s="1"/>
  <c r="K190" i="39"/>
  <c r="L190" s="1"/>
  <c r="O190"/>
  <c r="P190" s="1"/>
  <c r="K200" i="38"/>
  <c r="L200" s="1"/>
  <c r="O200"/>
  <c r="P200" s="1"/>
  <c r="J60" i="39"/>
  <c r="J60" i="38"/>
  <c r="O60" i="37"/>
  <c r="P60" s="1"/>
  <c r="J62"/>
  <c r="K60"/>
  <c r="J118" i="39"/>
  <c r="J118" i="38"/>
  <c r="K118" i="37"/>
  <c r="O118"/>
  <c r="P118" s="1"/>
  <c r="K33"/>
  <c r="J33" i="38"/>
  <c r="O33" i="37"/>
  <c r="P33" s="1"/>
  <c r="K72" i="34"/>
  <c r="L72" s="1"/>
  <c r="J72" i="35"/>
  <c r="J192" i="38"/>
  <c r="K191" i="37"/>
  <c r="K101"/>
  <c r="J101" i="39"/>
  <c r="J101" i="38"/>
  <c r="O101" i="37"/>
  <c r="P101" s="1"/>
  <c r="H35"/>
  <c r="H36" i="38"/>
  <c r="H36" i="39"/>
  <c r="H18"/>
  <c r="H20" s="1"/>
  <c r="H18" i="38"/>
  <c r="H18" i="40" s="1"/>
  <c r="H20" i="37"/>
  <c r="O20" s="1"/>
  <c r="P20" s="1"/>
  <c r="J136" i="38"/>
  <c r="K136" i="37"/>
  <c r="L136" s="1"/>
  <c r="O136"/>
  <c r="P136" s="1"/>
  <c r="K179"/>
  <c r="J180" i="38"/>
  <c r="O179" i="37"/>
  <c r="P179" s="1"/>
  <c r="H111" i="42"/>
  <c r="H111" i="41"/>
  <c r="O91" i="39"/>
  <c r="P91" s="1"/>
  <c r="K91"/>
  <c r="L91" s="1"/>
  <c r="J201" i="38"/>
  <c r="K200" i="37"/>
  <c r="L200" s="1"/>
  <c r="O200"/>
  <c r="P200" s="1"/>
  <c r="H31" i="39"/>
  <c r="H31" i="38"/>
  <c r="H30" i="37"/>
  <c r="O30" s="1"/>
  <c r="P30" s="1"/>
  <c r="U109" i="42"/>
  <c r="U109" i="41"/>
  <c r="U109" i="40"/>
  <c r="U109" i="36"/>
  <c r="U109" i="38"/>
  <c r="U109" i="39"/>
  <c r="U109" i="37"/>
  <c r="R109" i="34"/>
  <c r="U109" i="35"/>
  <c r="J109" i="34"/>
  <c r="K109" i="33"/>
  <c r="L109" s="1"/>
  <c r="K40" i="36"/>
  <c r="O40"/>
  <c r="P40" s="1"/>
  <c r="K133" i="39"/>
  <c r="O133"/>
  <c r="P133" s="1"/>
  <c r="I186" i="38"/>
  <c r="I187" i="39"/>
  <c r="I184" i="37"/>
  <c r="J227" i="38"/>
  <c r="K151"/>
  <c r="L151" s="1"/>
  <c r="J131"/>
  <c r="J131" i="39"/>
  <c r="O131" i="37"/>
  <c r="P131" s="1"/>
  <c r="K131"/>
  <c r="L131" s="1"/>
  <c r="J27" i="39"/>
  <c r="J27" i="38"/>
  <c r="K27" i="37"/>
  <c r="O27"/>
  <c r="P27" s="1"/>
  <c r="J182" i="39"/>
  <c r="J181" i="38"/>
  <c r="O180" i="37"/>
  <c r="P180" s="1"/>
  <c r="K180"/>
  <c r="J119" i="35"/>
  <c r="O120"/>
  <c r="P120" s="1"/>
  <c r="J120" i="36"/>
  <c r="O143"/>
  <c r="P143" s="1"/>
  <c r="K143"/>
  <c r="L143" s="1"/>
  <c r="J137" i="38"/>
  <c r="K137" i="37"/>
  <c r="L137" s="1"/>
  <c r="O137"/>
  <c r="P137" s="1"/>
  <c r="K18"/>
  <c r="J18" i="38"/>
  <c r="J18" i="39"/>
  <c r="O18" i="37"/>
  <c r="P18" s="1"/>
  <c r="K172"/>
  <c r="J173" i="38"/>
  <c r="O172" i="37"/>
  <c r="P172" s="1"/>
  <c r="J55" i="38"/>
  <c r="O55" i="37"/>
  <c r="P55" s="1"/>
  <c r="J52"/>
  <c r="K55"/>
  <c r="H152" i="39"/>
  <c r="O152" s="1"/>
  <c r="P152" s="1"/>
  <c r="H151" i="38"/>
  <c r="J205"/>
  <c r="J206" i="39"/>
  <c r="K204" i="37"/>
  <c r="O204"/>
  <c r="P204" s="1"/>
  <c r="K54"/>
  <c r="J54" i="39"/>
  <c r="J54" i="38"/>
  <c r="J51" i="37"/>
  <c r="J56"/>
  <c r="K56" s="1"/>
  <c r="O54"/>
  <c r="P54" s="1"/>
  <c r="O90" i="38"/>
  <c r="P90" s="1"/>
  <c r="K90"/>
  <c r="L90" s="1"/>
  <c r="J191"/>
  <c r="J189" i="37"/>
  <c r="K189" s="1"/>
  <c r="L189" s="1"/>
  <c r="O190"/>
  <c r="P190" s="1"/>
  <c r="K190"/>
  <c r="O197" i="39"/>
  <c r="P197" s="1"/>
  <c r="K197"/>
  <c r="L197" s="1"/>
  <c r="J170"/>
  <c r="J169" i="38"/>
  <c r="O168" i="37"/>
  <c r="P168" s="1"/>
  <c r="J170"/>
  <c r="K168"/>
  <c r="J218" i="39"/>
  <c r="J217" i="38"/>
  <c r="J218" i="37"/>
  <c r="K216"/>
  <c r="L216" s="1"/>
  <c r="H100" i="40"/>
  <c r="H99" i="38"/>
  <c r="K66" i="37"/>
  <c r="J66" i="39"/>
  <c r="J66" i="38"/>
  <c r="O66" i="37"/>
  <c r="P66" s="1"/>
  <c r="J68"/>
  <c r="J43" i="39"/>
  <c r="J43" i="38"/>
  <c r="O43" i="37"/>
  <c r="P43" s="1"/>
  <c r="K43"/>
  <c r="J82" i="38"/>
  <c r="K82" i="37"/>
  <c r="O82"/>
  <c r="P82" s="1"/>
  <c r="K19"/>
  <c r="J19" i="38"/>
  <c r="K19" s="1"/>
  <c r="O19" i="37"/>
  <c r="P19" s="1"/>
  <c r="O216"/>
  <c r="P216" s="1"/>
  <c r="H218" i="39"/>
  <c r="H220" s="1"/>
  <c r="H219" s="1"/>
  <c r="H218" i="37"/>
  <c r="H217" s="1"/>
  <c r="H217" i="38"/>
  <c r="J198"/>
  <c r="K199"/>
  <c r="L199" s="1"/>
  <c r="K47" i="36"/>
  <c r="O47"/>
  <c r="P47" s="1"/>
  <c r="O121" i="35"/>
  <c r="P121" s="1"/>
  <c r="J121" i="36"/>
  <c r="K175" i="37"/>
  <c r="J176" i="38"/>
  <c r="O175" i="37"/>
  <c r="P175" s="1"/>
  <c r="K64"/>
  <c r="J64" i="39"/>
  <c r="J64" i="38"/>
  <c r="O64" i="37"/>
  <c r="P64" s="1"/>
  <c r="H95"/>
  <c r="O95" s="1"/>
  <c r="P95" s="1"/>
  <c r="H96" i="39"/>
  <c r="H96" i="38"/>
  <c r="O96" i="37"/>
  <c r="P96" s="1"/>
  <c r="K13"/>
  <c r="J13" i="38"/>
  <c r="K13" s="1"/>
  <c r="O13" i="37"/>
  <c r="P13" s="1"/>
  <c r="K81"/>
  <c r="J81" i="38"/>
  <c r="O81" i="37"/>
  <c r="P81" s="1"/>
  <c r="O182" i="36"/>
  <c r="P182" s="1"/>
  <c r="K182"/>
  <c r="L182" s="1"/>
  <c r="H148" i="39"/>
  <c r="H147" s="1"/>
  <c r="H147" i="38"/>
  <c r="H145" i="37"/>
  <c r="K22"/>
  <c r="J22" i="38"/>
  <c r="O22" i="37"/>
  <c r="P22" s="1"/>
  <c r="J176" i="39"/>
  <c r="J175" i="38"/>
  <c r="K174" i="37"/>
  <c r="O174"/>
  <c r="P174" s="1"/>
  <c r="J176"/>
  <c r="K176" s="1"/>
  <c r="J112" i="38"/>
  <c r="K112" i="37"/>
  <c r="O112"/>
  <c r="P112" s="1"/>
  <c r="J111"/>
  <c r="O74" i="36"/>
  <c r="P74" s="1"/>
  <c r="K74"/>
  <c r="K154"/>
  <c r="L154" s="1"/>
  <c r="O154"/>
  <c r="P154" s="1"/>
  <c r="T121" i="40"/>
  <c r="T121" i="42"/>
  <c r="T121" i="41"/>
  <c r="T121" i="38"/>
  <c r="T121" i="37"/>
  <c r="T121" i="39"/>
  <c r="Q121" i="34"/>
  <c r="I121"/>
  <c r="T121" i="36"/>
  <c r="T121" i="35"/>
  <c r="K121" i="33"/>
  <c r="L121" s="1"/>
  <c r="K48"/>
  <c r="U48" i="42"/>
  <c r="U48" i="41"/>
  <c r="U48" i="40"/>
  <c r="U48" i="39"/>
  <c r="U48" i="37"/>
  <c r="U48" i="38"/>
  <c r="U48" i="36"/>
  <c r="J50" i="33"/>
  <c r="U48" i="35"/>
  <c r="R48" i="34"/>
  <c r="J48"/>
  <c r="J37" i="33"/>
  <c r="K70" i="37"/>
  <c r="J70" i="38"/>
  <c r="O70" i="37"/>
  <c r="P70" s="1"/>
  <c r="K41" i="36"/>
  <c r="O41"/>
  <c r="P41" s="1"/>
  <c r="H57" i="39"/>
  <c r="H59" s="1"/>
  <c r="H57" i="38"/>
  <c r="H59" i="37"/>
  <c r="O59" s="1"/>
  <c r="P59" s="1"/>
  <c r="K176" i="33"/>
  <c r="L176" s="1"/>
  <c r="U182" i="42"/>
  <c r="U182" i="40"/>
  <c r="U183" i="41"/>
  <c r="U183" i="39"/>
  <c r="U182" i="38"/>
  <c r="U179" i="36"/>
  <c r="U181" i="37"/>
  <c r="R176" i="34"/>
  <c r="J176"/>
  <c r="U178" i="35"/>
  <c r="J139" i="33"/>
  <c r="O105" i="39"/>
  <c r="P105" s="1"/>
  <c r="H104"/>
  <c r="H94" i="38"/>
  <c r="H94" i="39"/>
  <c r="H93" i="37"/>
  <c r="J103" i="38"/>
  <c r="J103" i="39"/>
  <c r="O103" i="37"/>
  <c r="P103" s="1"/>
  <c r="K103"/>
  <c r="L103" s="1"/>
  <c r="K130"/>
  <c r="L130" s="1"/>
  <c r="O130"/>
  <c r="P130" s="1"/>
  <c r="J130" i="39"/>
  <c r="J130" i="38"/>
  <c r="K91"/>
  <c r="L91" s="1"/>
  <c r="O91"/>
  <c r="P91" s="1"/>
  <c r="K156"/>
  <c r="L156" s="1"/>
  <c r="O156"/>
  <c r="P156" s="1"/>
  <c r="J63"/>
  <c r="J63" i="39"/>
  <c r="O63" i="37"/>
  <c r="P63" s="1"/>
  <c r="K63"/>
  <c r="J65"/>
  <c r="I35"/>
  <c r="I10" s="1"/>
  <c r="I36" i="39"/>
  <c r="I36" i="38"/>
  <c r="H159" i="39"/>
  <c r="H158" i="38"/>
  <c r="H156" i="37"/>
  <c r="H66" i="39"/>
  <c r="H68" s="1"/>
  <c r="H66" i="38"/>
  <c r="H68" i="37"/>
  <c r="J98" i="35"/>
  <c r="K98" i="34"/>
  <c r="L98" s="1"/>
  <c r="J173" i="39"/>
  <c r="J172" i="38"/>
  <c r="O171" i="37"/>
  <c r="P171" s="1"/>
  <c r="J173"/>
  <c r="K171"/>
  <c r="J38" i="38"/>
  <c r="J38" i="39"/>
  <c r="K38" i="37"/>
  <c r="L38" s="1"/>
  <c r="J40"/>
  <c r="O38"/>
  <c r="P38" s="1"/>
  <c r="J127" i="39"/>
  <c r="J127" i="38"/>
  <c r="K127" i="37"/>
  <c r="L127" s="1"/>
  <c r="O127"/>
  <c r="P127" s="1"/>
  <c r="J133" i="41"/>
  <c r="J133" i="40"/>
  <c r="J133" i="42"/>
  <c r="K133" i="38"/>
  <c r="O133"/>
  <c r="P133" s="1"/>
  <c r="K85" i="37"/>
  <c r="J85" i="38"/>
  <c r="O85" i="37"/>
  <c r="P85" s="1"/>
  <c r="H148" i="42"/>
  <c r="H148" i="40"/>
  <c r="H150" i="38"/>
  <c r="O213" i="35"/>
  <c r="P213" s="1"/>
  <c r="K213"/>
  <c r="L213" s="1"/>
  <c r="O207" i="39"/>
  <c r="P207" s="1"/>
  <c r="K207"/>
  <c r="L207" s="1"/>
  <c r="H98" i="41"/>
  <c r="H98" i="42"/>
  <c r="J132"/>
  <c r="J132" i="41"/>
  <c r="J132" i="40"/>
  <c r="O132" i="38"/>
  <c r="P132" s="1"/>
  <c r="K132"/>
  <c r="O210" i="39"/>
  <c r="P210" s="1"/>
  <c r="K210"/>
  <c r="L210" s="1"/>
  <c r="O159" i="36"/>
  <c r="P159" s="1"/>
  <c r="K159"/>
  <c r="L159" s="1"/>
  <c r="K162" i="37"/>
  <c r="J164" i="39"/>
  <c r="J163" i="38"/>
  <c r="J164" i="37"/>
  <c r="J161"/>
  <c r="O162"/>
  <c r="P162" s="1"/>
  <c r="H55" i="38"/>
  <c r="H55" i="39"/>
  <c r="H52" i="37"/>
  <c r="H63" i="39"/>
  <c r="H65" s="1"/>
  <c r="H63" i="38"/>
  <c r="H65" i="37"/>
  <c r="K114"/>
  <c r="J114" i="39"/>
  <c r="J114" i="38"/>
  <c r="O114" i="37"/>
  <c r="P114" s="1"/>
  <c r="I162" i="39"/>
  <c r="I161" i="38"/>
  <c r="I159" i="37"/>
  <c r="K153" i="38"/>
  <c r="L153" s="1"/>
  <c r="O153"/>
  <c r="P153" s="1"/>
  <c r="O52" i="36"/>
  <c r="P52" s="1"/>
  <c r="K52"/>
  <c r="H229"/>
  <c r="N229" s="1"/>
  <c r="N225"/>
  <c r="K90" i="39"/>
  <c r="L90" s="1"/>
  <c r="O90"/>
  <c r="P90" s="1"/>
  <c r="K175" i="36"/>
  <c r="L175" s="1"/>
  <c r="O175"/>
  <c r="P175" s="1"/>
  <c r="H45" i="39"/>
  <c r="H45" i="38"/>
  <c r="H47" i="37"/>
  <c r="H170" i="39"/>
  <c r="H172" s="1"/>
  <c r="H169" i="38"/>
  <c r="H170" i="37"/>
  <c r="J34" i="38"/>
  <c r="J34" i="39"/>
  <c r="O34" i="37"/>
  <c r="P34" s="1"/>
  <c r="K34"/>
  <c r="H224"/>
  <c r="I227" s="1"/>
  <c r="H88" i="39"/>
  <c r="H225" i="37"/>
  <c r="H88" i="38"/>
  <c r="H87" i="37"/>
  <c r="H183" i="41"/>
  <c r="O183" s="1"/>
  <c r="P183" s="1"/>
  <c r="O182" i="40"/>
  <c r="P182" s="1"/>
  <c r="K196" i="38"/>
  <c r="L196" s="1"/>
  <c r="O196"/>
  <c r="P196" s="1"/>
  <c r="K216" i="36"/>
  <c r="L216" s="1"/>
  <c r="O216"/>
  <c r="P216" s="1"/>
  <c r="J215"/>
  <c r="H21" i="40"/>
  <c r="H23" i="38"/>
  <c r="Q9" i="33"/>
  <c r="I8" i="32"/>
  <c r="K46" i="37"/>
  <c r="J46" i="38"/>
  <c r="O46" i="37"/>
  <c r="P46" s="1"/>
  <c r="J134" i="38"/>
  <c r="O134" i="37"/>
  <c r="P134" s="1"/>
  <c r="K134"/>
  <c r="L134" s="1"/>
  <c r="J170" i="38"/>
  <c r="O169" i="37"/>
  <c r="P169" s="1"/>
  <c r="K169"/>
  <c r="H149" i="42"/>
  <c r="O149" s="1"/>
  <c r="P149" s="1"/>
  <c r="H149" i="40"/>
  <c r="H199" i="38"/>
  <c r="H200" i="39"/>
  <c r="O200" s="1"/>
  <c r="P200" s="1"/>
  <c r="H197" i="37"/>
  <c r="K62" i="36"/>
  <c r="O62"/>
  <c r="P62" s="1"/>
  <c r="J208" i="42"/>
  <c r="J209" i="41"/>
  <c r="J208" i="40"/>
  <c r="K11" i="36"/>
  <c r="L11" s="1"/>
  <c r="O11"/>
  <c r="P11" s="1"/>
  <c r="J10"/>
  <c r="O111"/>
  <c r="P111" s="1"/>
  <c r="K111"/>
  <c r="L111" s="1"/>
  <c r="I149" i="42"/>
  <c r="I149" i="40"/>
  <c r="I150" i="41"/>
  <c r="I150" i="38"/>
  <c r="J24"/>
  <c r="J24" i="39"/>
  <c r="J26" i="37"/>
  <c r="O26" s="1"/>
  <c r="P26" s="1"/>
  <c r="O24"/>
  <c r="P24" s="1"/>
  <c r="K24"/>
  <c r="J76" i="38"/>
  <c r="K76" i="37"/>
  <c r="O76"/>
  <c r="P76" s="1"/>
  <c r="J74"/>
  <c r="J158" i="38"/>
  <c r="J156" i="37"/>
  <c r="K157"/>
  <c r="O157"/>
  <c r="P157" s="1"/>
  <c r="O147" i="36"/>
  <c r="P147" s="1"/>
  <c r="O99"/>
  <c r="P99" s="1"/>
  <c r="H11" i="37"/>
  <c r="O94"/>
  <c r="P94" s="1"/>
  <c r="O31"/>
  <c r="P31" s="1"/>
  <c r="U225" i="42"/>
  <c r="U226" i="41"/>
  <c r="U225" i="40"/>
  <c r="U225" i="38"/>
  <c r="U224" i="37"/>
  <c r="U226" i="39"/>
  <c r="U222" i="36"/>
  <c r="U220" i="35"/>
  <c r="R218" i="34"/>
  <c r="K69" i="37"/>
  <c r="J69" i="38"/>
  <c r="O69" i="37"/>
  <c r="P69" s="1"/>
  <c r="J71"/>
  <c r="K198" i="39"/>
  <c r="L198" s="1"/>
  <c r="O198"/>
  <c r="P198" s="1"/>
  <c r="H38"/>
  <c r="H38" i="38"/>
  <c r="H40" i="37"/>
  <c r="K53" i="35"/>
  <c r="O53"/>
  <c r="P53" s="1"/>
  <c r="J193" i="38"/>
  <c r="K192" i="37"/>
  <c r="O192"/>
  <c r="P192" s="1"/>
  <c r="O89" i="38"/>
  <c r="P89" s="1"/>
  <c r="K89"/>
  <c r="L89" s="1"/>
  <c r="J202"/>
  <c r="K201" i="37"/>
  <c r="L201" s="1"/>
  <c r="O201"/>
  <c r="P201" s="1"/>
  <c r="O65" i="36"/>
  <c r="P65" s="1"/>
  <c r="K65"/>
  <c r="K183" i="37"/>
  <c r="J185" i="39"/>
  <c r="J184" i="38"/>
  <c r="O183" i="37"/>
  <c r="P183" s="1"/>
  <c r="H119"/>
  <c r="H120" i="38"/>
  <c r="H120" i="39"/>
  <c r="H119" s="1"/>
  <c r="H110" s="1"/>
  <c r="O156" i="40"/>
  <c r="P156" s="1"/>
  <c r="H157" i="41"/>
  <c r="O157" s="1"/>
  <c r="P157" s="1"/>
  <c r="O28" i="37"/>
  <c r="P28" s="1"/>
  <c r="H28" i="38"/>
  <c r="H28" i="39"/>
  <c r="H29" i="37"/>
  <c r="O29" s="1"/>
  <c r="P29" s="1"/>
  <c r="J149" i="38"/>
  <c r="K148" i="37"/>
  <c r="O148"/>
  <c r="P148" s="1"/>
  <c r="J105" i="38"/>
  <c r="K105" i="37"/>
  <c r="L105" s="1"/>
  <c r="J104"/>
  <c r="O105"/>
  <c r="P105" s="1"/>
  <c r="I41"/>
  <c r="I45" i="42"/>
  <c r="I45" i="41"/>
  <c r="I45" i="40"/>
  <c r="I45" i="39"/>
  <c r="I45" i="38"/>
  <c r="I41" s="1"/>
  <c r="J148" i="39"/>
  <c r="J147" i="38"/>
  <c r="K146" i="37"/>
  <c r="L146" s="1"/>
  <c r="O146"/>
  <c r="P146" s="1"/>
  <c r="J145"/>
  <c r="H50" i="39"/>
  <c r="O50" s="1"/>
  <c r="P50" s="1"/>
  <c r="O48"/>
  <c r="P48" s="1"/>
  <c r="J152" i="38"/>
  <c r="O151" i="37"/>
  <c r="P151" s="1"/>
  <c r="K151"/>
  <c r="L151" s="1"/>
  <c r="J39" i="38"/>
  <c r="J39" i="39"/>
  <c r="K39" i="37"/>
  <c r="O39"/>
  <c r="P39" s="1"/>
  <c r="U125" i="42"/>
  <c r="U125" i="40"/>
  <c r="U125" i="41"/>
  <c r="U125" i="37"/>
  <c r="U125" i="38"/>
  <c r="U125" i="39"/>
  <c r="J125" i="34"/>
  <c r="R125"/>
  <c r="U125" i="36"/>
  <c r="U125" i="35"/>
  <c r="K125" i="33"/>
  <c r="L125" s="1"/>
  <c r="J219" i="34"/>
  <c r="J88" i="35"/>
  <c r="J218" i="34"/>
  <c r="O88"/>
  <c r="J87"/>
  <c r="K87" s="1"/>
  <c r="L87" s="1"/>
  <c r="K88"/>
  <c r="L88" s="1"/>
  <c r="K68" i="36"/>
  <c r="O68"/>
  <c r="P68" s="1"/>
  <c r="I120" i="33"/>
  <c r="Q120"/>
  <c r="K120" i="32"/>
  <c r="L120" s="1"/>
  <c r="K78" i="37"/>
  <c r="J78" i="38"/>
  <c r="O78" i="37"/>
  <c r="P78" s="1"/>
  <c r="K31" i="38"/>
  <c r="K16" i="37"/>
  <c r="J16" i="38"/>
  <c r="K16" s="1"/>
  <c r="O16" i="37"/>
  <c r="P16" s="1"/>
  <c r="J12" i="38"/>
  <c r="J12" i="39"/>
  <c r="K12" i="37"/>
  <c r="J11"/>
  <c r="O12"/>
  <c r="P12" s="1"/>
  <c r="J14"/>
  <c r="J126" i="39"/>
  <c r="J126" i="38"/>
  <c r="O126" i="37"/>
  <c r="P126" s="1"/>
  <c r="K126"/>
  <c r="L126" s="1"/>
  <c r="J188" i="38"/>
  <c r="K187" i="37"/>
  <c r="L187" s="1"/>
  <c r="O187"/>
  <c r="P187" s="1"/>
  <c r="O124" i="39"/>
  <c r="P124" s="1"/>
  <c r="K124"/>
  <c r="L124" s="1"/>
  <c r="H217"/>
  <c r="H216" i="38"/>
  <c r="U227" i="41"/>
  <c r="U226" i="40"/>
  <c r="U226" i="42"/>
  <c r="U226" i="38"/>
  <c r="U225" i="37"/>
  <c r="U227" i="39"/>
  <c r="U221" i="35"/>
  <c r="R219" i="34"/>
  <c r="U223" i="36"/>
  <c r="K30"/>
  <c r="L30" s="1"/>
  <c r="O30"/>
  <c r="P30" s="1"/>
  <c r="J42" i="39"/>
  <c r="J42" i="38"/>
  <c r="K42" i="37"/>
  <c r="J41"/>
  <c r="J44"/>
  <c r="O42"/>
  <c r="P42" s="1"/>
  <c r="K197" i="38"/>
  <c r="L197" s="1"/>
  <c r="O197"/>
  <c r="P197" s="1"/>
  <c r="K161"/>
  <c r="L161" s="1"/>
  <c r="J160"/>
  <c r="J117"/>
  <c r="O117" i="37"/>
  <c r="P117" s="1"/>
  <c r="K117"/>
  <c r="H14" i="39"/>
  <c r="J196"/>
  <c r="J195" i="38"/>
  <c r="O194" i="37"/>
  <c r="P194" s="1"/>
  <c r="K194"/>
  <c r="K116"/>
  <c r="J116" i="39"/>
  <c r="J116" i="38"/>
  <c r="J115" i="37"/>
  <c r="O116"/>
  <c r="P116" s="1"/>
  <c r="K32"/>
  <c r="J32" i="38"/>
  <c r="O32" i="37"/>
  <c r="P32" s="1"/>
  <c r="K132" i="39"/>
  <c r="O132"/>
  <c r="P132" s="1"/>
  <c r="I96"/>
  <c r="I95" i="37"/>
  <c r="K95" s="1"/>
  <c r="L95" s="1"/>
  <c r="I96" i="38"/>
  <c r="K96" i="37"/>
  <c r="L96" s="1"/>
  <c r="O93"/>
  <c r="P93" s="1"/>
  <c r="U87" i="41"/>
  <c r="U87" i="40"/>
  <c r="U87" i="42"/>
  <c r="U87" i="38"/>
  <c r="U87" i="37"/>
  <c r="U87" i="35"/>
  <c r="U87" i="39"/>
  <c r="U87" i="36"/>
  <c r="R87" i="34"/>
  <c r="J193" i="37"/>
  <c r="J210" i="38"/>
  <c r="J211" i="39"/>
  <c r="J204" i="38"/>
  <c r="J205" i="39"/>
  <c r="K203" i="37"/>
  <c r="L203" s="1"/>
  <c r="H187" i="39"/>
  <c r="H186" i="38"/>
  <c r="H184" i="37"/>
  <c r="K71" i="36"/>
  <c r="O71"/>
  <c r="P71" s="1"/>
  <c r="H24" i="40"/>
  <c r="H26" i="38"/>
  <c r="K79" i="37"/>
  <c r="J79" i="38"/>
  <c r="O79" i="37"/>
  <c r="P79" s="1"/>
  <c r="I111" i="39"/>
  <c r="I110" s="1"/>
  <c r="I97" s="1"/>
  <c r="I111" i="38"/>
  <c r="I110" i="37"/>
  <c r="I97" s="1"/>
  <c r="H105" i="40"/>
  <c r="H104" i="38"/>
  <c r="J135" i="39"/>
  <c r="J135" i="38"/>
  <c r="O135" i="37"/>
  <c r="P135" s="1"/>
  <c r="K135"/>
  <c r="O89" i="39"/>
  <c r="P89" s="1"/>
  <c r="K89"/>
  <c r="L89" s="1"/>
  <c r="K159" i="37"/>
  <c r="L159" s="1"/>
  <c r="J57" i="38"/>
  <c r="J57" i="39"/>
  <c r="O57" i="37"/>
  <c r="P57" s="1"/>
  <c r="K57"/>
  <c r="H60" i="39"/>
  <c r="H62" s="1"/>
  <c r="H60" i="38"/>
  <c r="H62" i="37"/>
  <c r="K166"/>
  <c r="J168" i="39"/>
  <c r="J167" i="38"/>
  <c r="O166" i="37"/>
  <c r="P166" s="1"/>
  <c r="O171" i="36"/>
  <c r="P171" s="1"/>
  <c r="K171"/>
  <c r="H75" i="38"/>
  <c r="H75" i="39"/>
  <c r="H77" i="37"/>
  <c r="O77" s="1"/>
  <c r="P77" s="1"/>
  <c r="H73"/>
  <c r="H72" s="1"/>
  <c r="H156" i="39"/>
  <c r="O156" s="1"/>
  <c r="P156" s="1"/>
  <c r="H155" i="38"/>
  <c r="O154" i="37"/>
  <c r="P154" s="1"/>
  <c r="O149" i="39"/>
  <c r="P149" s="1"/>
  <c r="H151"/>
  <c r="O151" s="1"/>
  <c r="P151" s="1"/>
  <c r="H84"/>
  <c r="H84" i="38"/>
  <c r="H86" i="37"/>
  <c r="O86" s="1"/>
  <c r="P86" s="1"/>
  <c r="K21"/>
  <c r="J21" i="39"/>
  <c r="J21" i="38"/>
  <c r="O21" i="37"/>
  <c r="P21" s="1"/>
  <c r="H168" i="41"/>
  <c r="J215" i="38"/>
  <c r="J216" i="39"/>
  <c r="K214" i="37"/>
  <c r="L214" s="1"/>
  <c r="O214"/>
  <c r="P214" s="1"/>
  <c r="K104" i="36"/>
  <c r="L104" s="1"/>
  <c r="O104"/>
  <c r="P104" s="1"/>
  <c r="J36" i="38"/>
  <c r="J35" i="37"/>
  <c r="O36"/>
  <c r="P36" s="1"/>
  <c r="K36"/>
  <c r="L36" s="1"/>
  <c r="H116" i="40"/>
  <c r="H115" i="38"/>
  <c r="J209" i="42"/>
  <c r="J209" i="40"/>
  <c r="J210" i="41"/>
  <c r="K119" i="34"/>
  <c r="L119" s="1"/>
  <c r="J110"/>
  <c r="K110" s="1"/>
  <c r="L110" s="1"/>
  <c r="O73" i="36"/>
  <c r="P73" s="1"/>
  <c r="K73"/>
  <c r="J106" i="38"/>
  <c r="O106" i="37"/>
  <c r="P106" s="1"/>
  <c r="K106"/>
  <c r="L106" s="1"/>
  <c r="I218" i="39"/>
  <c r="I220" s="1"/>
  <c r="I219" s="1"/>
  <c r="I217" i="38"/>
  <c r="I218" i="37"/>
  <c r="I217" s="1"/>
  <c r="H48" i="40"/>
  <c r="H50" i="38"/>
  <c r="H159" i="37"/>
  <c r="O159" s="1"/>
  <c r="P159" s="1"/>
  <c r="H161" i="38"/>
  <c r="O161" s="1"/>
  <c r="P161" s="1"/>
  <c r="H162" i="39"/>
  <c r="O123"/>
  <c r="P123" s="1"/>
  <c r="K123"/>
  <c r="L123" s="1"/>
  <c r="H183" i="40"/>
  <c r="O183" s="1"/>
  <c r="P183" s="1"/>
  <c r="H185" i="41"/>
  <c r="H184" s="1"/>
  <c r="O184" s="1"/>
  <c r="P184" s="1"/>
  <c r="K56" i="36"/>
  <c r="O56"/>
  <c r="P56" s="1"/>
  <c r="J67" i="38"/>
  <c r="J67" i="39"/>
  <c r="K67" i="37"/>
  <c r="O67"/>
  <c r="P67" s="1"/>
  <c r="K102"/>
  <c r="J102" i="38"/>
  <c r="J102" i="39"/>
  <c r="O102" i="37"/>
  <c r="P102" s="1"/>
  <c r="K178"/>
  <c r="J179" i="38"/>
  <c r="O178" i="37"/>
  <c r="P178" s="1"/>
  <c r="J177"/>
  <c r="H69" i="39"/>
  <c r="H69" i="38"/>
  <c r="H71" i="37"/>
  <c r="K168" i="36"/>
  <c r="O168"/>
  <c r="P168" s="1"/>
  <c r="J204" i="39"/>
  <c r="J203" i="38"/>
  <c r="O202" i="37"/>
  <c r="P202" s="1"/>
  <c r="K202"/>
  <c r="L202" s="1"/>
  <c r="H41" i="39"/>
  <c r="H44"/>
  <c r="J187" i="38"/>
  <c r="O186" i="37"/>
  <c r="P186" s="1"/>
  <c r="K186"/>
  <c r="L186" s="1"/>
  <c r="H166" i="42"/>
  <c r="H168" s="1"/>
  <c r="O168" s="1"/>
  <c r="P168" s="1"/>
  <c r="H166" i="40"/>
  <c r="K61" i="37"/>
  <c r="J61" i="38"/>
  <c r="O61" i="37"/>
  <c r="P61" s="1"/>
  <c r="J113" i="38"/>
  <c r="K113" i="37"/>
  <c r="O113"/>
  <c r="P113" s="1"/>
  <c r="J166" i="38"/>
  <c r="J167" i="39"/>
  <c r="O165" i="37"/>
  <c r="P165" s="1"/>
  <c r="K165"/>
  <c r="I200" i="39"/>
  <c r="I199" i="38"/>
  <c r="I197" i="37"/>
  <c r="I193" s="1"/>
  <c r="O154" i="38"/>
  <c r="P154" s="1"/>
  <c r="K154"/>
  <c r="L154" s="1"/>
  <c r="K189"/>
  <c r="L189" s="1"/>
  <c r="O189"/>
  <c r="P189" s="1"/>
  <c r="J45"/>
  <c r="J47" i="37"/>
  <c r="O45"/>
  <c r="P45" s="1"/>
  <c r="K45"/>
  <c r="H161"/>
  <c r="H163" i="38"/>
  <c r="H164" i="39"/>
  <c r="H164" i="37"/>
  <c r="O209" i="39"/>
  <c r="P209" s="1"/>
  <c r="K209"/>
  <c r="L209" s="1"/>
  <c r="I88" i="38"/>
  <c r="I88" i="39"/>
  <c r="I87" s="1"/>
  <c r="I87" i="37"/>
  <c r="K25"/>
  <c r="J25" i="38"/>
  <c r="J25" i="39"/>
  <c r="O25" i="37"/>
  <c r="P25" s="1"/>
  <c r="H160" i="41"/>
  <c r="O160" s="1"/>
  <c r="P160" s="1"/>
  <c r="O159" i="40"/>
  <c r="P159" s="1"/>
  <c r="H15" i="38"/>
  <c r="H15" i="40" s="1"/>
  <c r="H11" s="1"/>
  <c r="H15" i="39"/>
  <c r="H17" s="1"/>
  <c r="H17" i="37"/>
  <c r="O17" s="1"/>
  <c r="P17" s="1"/>
  <c r="J186" i="38"/>
  <c r="O185" i="37"/>
  <c r="P185" s="1"/>
  <c r="K185"/>
  <c r="L185" s="1"/>
  <c r="J184"/>
  <c r="K174" i="36"/>
  <c r="O174"/>
  <c r="P174" s="1"/>
  <c r="K150" i="39"/>
  <c r="I151"/>
  <c r="K151" s="1"/>
  <c r="K15" i="37"/>
  <c r="J15" i="39"/>
  <c r="J15" i="38"/>
  <c r="O15" i="37"/>
  <c r="P15" s="1"/>
  <c r="J124" i="42"/>
  <c r="J124" i="41"/>
  <c r="J124" i="40"/>
  <c r="O124" i="38"/>
  <c r="P124" s="1"/>
  <c r="K124"/>
  <c r="L124" s="1"/>
  <c r="H110" i="37"/>
  <c r="H97" s="1"/>
  <c r="H10" i="36"/>
  <c r="H9" s="1"/>
  <c r="H8" s="1"/>
  <c r="K195"/>
  <c r="L195" s="1"/>
  <c r="O44"/>
  <c r="P44" s="1"/>
  <c r="K94" i="37"/>
  <c r="L94" s="1"/>
  <c r="J197"/>
  <c r="I207" i="31"/>
  <c r="R205" i="32"/>
  <c r="I206" i="38"/>
  <c r="H204"/>
  <c r="O203" i="37"/>
  <c r="P203" s="1"/>
  <c r="H193"/>
  <c r="O191" i="36"/>
  <c r="P191" s="1"/>
  <c r="K191"/>
  <c r="L191" s="1"/>
  <c r="H138" i="35"/>
  <c r="H205" i="34"/>
  <c r="H207" s="1"/>
  <c r="H213" s="1"/>
  <c r="O210" i="38"/>
  <c r="P210" s="1"/>
  <c r="K210"/>
  <c r="H191" i="37"/>
  <c r="H193" i="39" s="1"/>
  <c r="H187" i="36"/>
  <c r="O189"/>
  <c r="P189" s="1"/>
  <c r="K209" i="37"/>
  <c r="O209"/>
  <c r="P209" s="1"/>
  <c r="O139" i="35"/>
  <c r="P139" s="1"/>
  <c r="H139" i="36"/>
  <c r="O186" i="35"/>
  <c r="P186" s="1"/>
  <c r="H141"/>
  <c r="K97" i="31"/>
  <c r="L97" s="1"/>
  <c r="R97" i="33"/>
  <c r="S97" i="32"/>
  <c r="T138" i="30"/>
  <c r="G8"/>
  <c r="O7"/>
  <c r="K87" i="33"/>
  <c r="L87" s="1"/>
  <c r="R8"/>
  <c r="S8" i="32"/>
  <c r="G207"/>
  <c r="E209" i="31"/>
  <c r="K8" i="30"/>
  <c r="L8" s="1"/>
  <c r="T8"/>
  <c r="G8" i="31"/>
  <c r="F205"/>
  <c r="J205"/>
  <c r="K8"/>
  <c r="L8" s="1"/>
  <c r="J205" i="30"/>
  <c r="F207"/>
  <c r="G207" s="1"/>
  <c r="G205"/>
  <c r="O225"/>
  <c r="H221"/>
  <c r="N226"/>
  <c r="I221"/>
  <c r="I225" s="1"/>
  <c r="H204" i="42" l="1"/>
  <c r="H204" i="40"/>
  <c r="H205" i="41" s="1"/>
  <c r="O124"/>
  <c r="P124" s="1"/>
  <c r="K124"/>
  <c r="L124" s="1"/>
  <c r="K15" i="39"/>
  <c r="J17"/>
  <c r="O15"/>
  <c r="P15" s="1"/>
  <c r="H71"/>
  <c r="O71" s="1"/>
  <c r="P71" s="1"/>
  <c r="O69"/>
  <c r="P69" s="1"/>
  <c r="J67" i="42"/>
  <c r="J67" i="40"/>
  <c r="J67" i="41"/>
  <c r="O67" i="38"/>
  <c r="P67" s="1"/>
  <c r="K67"/>
  <c r="J216" i="41"/>
  <c r="J215" i="40"/>
  <c r="K215" i="38"/>
  <c r="L215" s="1"/>
  <c r="O215"/>
  <c r="P215" s="1"/>
  <c r="H84" i="42"/>
  <c r="H84" i="40"/>
  <c r="H86" s="1"/>
  <c r="O86" s="1"/>
  <c r="P86" s="1"/>
  <c r="H84" i="41"/>
  <c r="H86" s="1"/>
  <c r="O86" s="1"/>
  <c r="P86" s="1"/>
  <c r="H86" i="38"/>
  <c r="O86" s="1"/>
  <c r="P86" s="1"/>
  <c r="J195" i="42"/>
  <c r="J195" i="40"/>
  <c r="J196" i="41"/>
  <c r="K195" i="38"/>
  <c r="O195"/>
  <c r="P195" s="1"/>
  <c r="J194"/>
  <c r="O12" i="39"/>
  <c r="P12" s="1"/>
  <c r="K12"/>
  <c r="J14"/>
  <c r="J11"/>
  <c r="R88" i="35"/>
  <c r="J221"/>
  <c r="J220"/>
  <c r="J88" i="36"/>
  <c r="J87" i="35"/>
  <c r="K88"/>
  <c r="L88" s="1"/>
  <c r="O88"/>
  <c r="P88" s="1"/>
  <c r="J39" i="42"/>
  <c r="J39" i="41"/>
  <c r="J39" i="40"/>
  <c r="K39" i="38"/>
  <c r="O39"/>
  <c r="P39" s="1"/>
  <c r="J194" i="41"/>
  <c r="J193" i="40"/>
  <c r="K193" i="38"/>
  <c r="O193"/>
  <c r="P193" s="1"/>
  <c r="K134"/>
  <c r="L134" s="1"/>
  <c r="J134" i="40"/>
  <c r="J134" i="41"/>
  <c r="J134" i="42"/>
  <c r="O134" i="38"/>
  <c r="P134" s="1"/>
  <c r="H88" i="40"/>
  <c r="H225" i="38"/>
  <c r="I228" s="1"/>
  <c r="H226"/>
  <c r="H87"/>
  <c r="H45" i="40"/>
  <c r="H47" i="38"/>
  <c r="H55" i="40"/>
  <c r="H52" i="38"/>
  <c r="J127" i="41"/>
  <c r="J127" i="42"/>
  <c r="J127" i="40"/>
  <c r="O127" i="38"/>
  <c r="P127" s="1"/>
  <c r="K127"/>
  <c r="L127" s="1"/>
  <c r="K40" i="37"/>
  <c r="O40"/>
  <c r="P40" s="1"/>
  <c r="J175" i="39"/>
  <c r="K175" s="1"/>
  <c r="K173"/>
  <c r="O173"/>
  <c r="P173" s="1"/>
  <c r="H158" i="42"/>
  <c r="H158" i="40"/>
  <c r="H157" i="38"/>
  <c r="K63" i="39"/>
  <c r="O63"/>
  <c r="P63" s="1"/>
  <c r="J65"/>
  <c r="H94" i="40"/>
  <c r="H93" i="38"/>
  <c r="O93" s="1"/>
  <c r="P93" s="1"/>
  <c r="J50" i="34"/>
  <c r="K50" s="1"/>
  <c r="J48" i="35"/>
  <c r="K48" i="34"/>
  <c r="J37"/>
  <c r="H147" i="42"/>
  <c r="H147" i="40"/>
  <c r="H146" i="38"/>
  <c r="O96" i="39"/>
  <c r="P96" s="1"/>
  <c r="H95"/>
  <c r="O95" s="1"/>
  <c r="P95" s="1"/>
  <c r="K170" i="37"/>
  <c r="O170"/>
  <c r="P170" s="1"/>
  <c r="J52" i="38"/>
  <c r="O55"/>
  <c r="P55" s="1"/>
  <c r="K55"/>
  <c r="K119" i="35"/>
  <c r="L119" s="1"/>
  <c r="O119"/>
  <c r="P119" s="1"/>
  <c r="J29" i="39"/>
  <c r="K29" s="1"/>
  <c r="O27"/>
  <c r="P27" s="1"/>
  <c r="K27"/>
  <c r="K109" i="34"/>
  <c r="L109" s="1"/>
  <c r="J109" i="35"/>
  <c r="O31" i="39"/>
  <c r="P31" s="1"/>
  <c r="H30"/>
  <c r="H18" i="42"/>
  <c r="H20" s="1"/>
  <c r="H20" i="40"/>
  <c r="H18" i="41"/>
  <c r="H20" s="1"/>
  <c r="K60" i="39"/>
  <c r="J62"/>
  <c r="O60"/>
  <c r="P60" s="1"/>
  <c r="J164" i="42"/>
  <c r="J164" i="40"/>
  <c r="J165" i="41"/>
  <c r="K164" i="38"/>
  <c r="O164"/>
  <c r="P164" s="1"/>
  <c r="O124" i="40"/>
  <c r="P124" s="1"/>
  <c r="K124"/>
  <c r="L124" s="1"/>
  <c r="O204" i="39"/>
  <c r="P204" s="1"/>
  <c r="K204"/>
  <c r="L204" s="1"/>
  <c r="H161"/>
  <c r="O161" s="1"/>
  <c r="P161" s="1"/>
  <c r="O162"/>
  <c r="P162" s="1"/>
  <c r="K209" i="40"/>
  <c r="L209" s="1"/>
  <c r="O209"/>
  <c r="P209" s="1"/>
  <c r="K216" i="39"/>
  <c r="L216" s="1"/>
  <c r="O216"/>
  <c r="P216" s="1"/>
  <c r="I111" i="40"/>
  <c r="I110" s="1"/>
  <c r="I97" s="1"/>
  <c r="I111" i="42"/>
  <c r="I110" s="1"/>
  <c r="I111" i="41"/>
  <c r="I110" s="1"/>
  <c r="I97" s="1"/>
  <c r="I110" i="38"/>
  <c r="I97" s="1"/>
  <c r="J210" i="42"/>
  <c r="J211" i="41"/>
  <c r="J210" i="40"/>
  <c r="I95" i="39"/>
  <c r="K95" s="1"/>
  <c r="L95" s="1"/>
  <c r="K96"/>
  <c r="L96" s="1"/>
  <c r="O188" i="38"/>
  <c r="P188" s="1"/>
  <c r="K188"/>
  <c r="L188" s="1"/>
  <c r="K126" i="39"/>
  <c r="L126" s="1"/>
  <c r="O126"/>
  <c r="P126" s="1"/>
  <c r="K39"/>
  <c r="O39"/>
  <c r="P39" s="1"/>
  <c r="K45" i="42"/>
  <c r="I41"/>
  <c r="O69" i="38"/>
  <c r="P69" s="1"/>
  <c r="K69"/>
  <c r="J71"/>
  <c r="O208" i="42"/>
  <c r="P208" s="1"/>
  <c r="K208"/>
  <c r="L208" s="1"/>
  <c r="H52" i="39"/>
  <c r="O55"/>
  <c r="P55" s="1"/>
  <c r="K164" i="37"/>
  <c r="O164"/>
  <c r="P164" s="1"/>
  <c r="O133" i="42"/>
  <c r="P133" s="1"/>
  <c r="K133"/>
  <c r="J174" i="38"/>
  <c r="K172"/>
  <c r="O172"/>
  <c r="P172" s="1"/>
  <c r="I35" i="39"/>
  <c r="K36"/>
  <c r="L36" s="1"/>
  <c r="J138" i="33"/>
  <c r="U145" i="42"/>
  <c r="U145" i="40"/>
  <c r="U146" i="41"/>
  <c r="U146" i="39"/>
  <c r="U141" i="35"/>
  <c r="R139" i="34"/>
  <c r="U145" i="38"/>
  <c r="U144" i="37"/>
  <c r="K139" i="33"/>
  <c r="L139" s="1"/>
  <c r="U142" i="36"/>
  <c r="U50" i="42"/>
  <c r="U50" i="38"/>
  <c r="U50" i="41"/>
  <c r="U50" i="40"/>
  <c r="U50" i="39"/>
  <c r="U50" i="37"/>
  <c r="U50" i="36"/>
  <c r="U50" i="35"/>
  <c r="R50" i="34"/>
  <c r="K50" i="33"/>
  <c r="J64" i="40"/>
  <c r="J64" i="41"/>
  <c r="J64" i="42"/>
  <c r="O64" i="38"/>
  <c r="P64" s="1"/>
  <c r="K64"/>
  <c r="K68" i="37"/>
  <c r="O68"/>
  <c r="P68" s="1"/>
  <c r="K51"/>
  <c r="J53"/>
  <c r="O51"/>
  <c r="P51" s="1"/>
  <c r="H151" i="42"/>
  <c r="O151" s="1"/>
  <c r="P151" s="1"/>
  <c r="H151" i="40"/>
  <c r="J27" i="41"/>
  <c r="J27" i="40"/>
  <c r="J27" i="42"/>
  <c r="K27" i="38"/>
  <c r="O27"/>
  <c r="P27" s="1"/>
  <c r="J29"/>
  <c r="O131" i="39"/>
  <c r="P131" s="1"/>
  <c r="K131"/>
  <c r="L131" s="1"/>
  <c r="H31" i="40"/>
  <c r="H30" i="38"/>
  <c r="H35"/>
  <c r="H36" i="40"/>
  <c r="K72" i="35"/>
  <c r="L72" s="1"/>
  <c r="O72"/>
  <c r="P72" s="1"/>
  <c r="J72" i="36"/>
  <c r="K118" i="39"/>
  <c r="O118"/>
  <c r="P118" s="1"/>
  <c r="J60" i="42"/>
  <c r="J60" i="40"/>
  <c r="J60" i="41"/>
  <c r="O60" i="38"/>
  <c r="P60" s="1"/>
  <c r="J62"/>
  <c r="K60"/>
  <c r="H83" i="39"/>
  <c r="O83" s="1"/>
  <c r="P83" s="1"/>
  <c r="O81"/>
  <c r="P81" s="1"/>
  <c r="O123" i="42"/>
  <c r="P123" s="1"/>
  <c r="K123"/>
  <c r="L123" s="1"/>
  <c r="H172"/>
  <c r="H172" i="40"/>
  <c r="H174" i="38"/>
  <c r="K128" i="41"/>
  <c r="L128" s="1"/>
  <c r="O128"/>
  <c r="P128" s="1"/>
  <c r="K93" i="38"/>
  <c r="L93" s="1"/>
  <c r="I93"/>
  <c r="I94" i="40"/>
  <c r="I94" i="41"/>
  <c r="I94" i="42"/>
  <c r="K97" i="33"/>
  <c r="L97" s="1"/>
  <c r="U97" i="41"/>
  <c r="U97" i="42"/>
  <c r="U97" i="40"/>
  <c r="U97" i="39"/>
  <c r="R97" i="34"/>
  <c r="U97" i="37"/>
  <c r="U97" i="36"/>
  <c r="U97" i="38"/>
  <c r="U97" i="35"/>
  <c r="K124" i="42"/>
  <c r="L124" s="1"/>
  <c r="O124"/>
  <c r="P124" s="1"/>
  <c r="J185" i="38"/>
  <c r="K186"/>
  <c r="L186" s="1"/>
  <c r="O186"/>
  <c r="P186" s="1"/>
  <c r="J25" i="42"/>
  <c r="J25" i="41"/>
  <c r="J25" i="40"/>
  <c r="K25" i="38"/>
  <c r="O25"/>
  <c r="P25" s="1"/>
  <c r="I88" i="42"/>
  <c r="I88" i="40"/>
  <c r="I88" i="41"/>
  <c r="I87" i="38"/>
  <c r="H166" i="39"/>
  <c r="O166" s="1"/>
  <c r="P166" s="1"/>
  <c r="H163"/>
  <c r="O163" s="1"/>
  <c r="P163" s="1"/>
  <c r="I199" i="42"/>
  <c r="I200" i="41"/>
  <c r="I199" i="40"/>
  <c r="I198" i="38"/>
  <c r="K198" s="1"/>
  <c r="L198" s="1"/>
  <c r="K167" i="39"/>
  <c r="O167"/>
  <c r="P167" s="1"/>
  <c r="K113" i="38"/>
  <c r="O113"/>
  <c r="P113" s="1"/>
  <c r="O166" i="40"/>
  <c r="P166" s="1"/>
  <c r="H167" i="41"/>
  <c r="O187" i="38"/>
  <c r="P187" s="1"/>
  <c r="K187"/>
  <c r="L187" s="1"/>
  <c r="O177" i="37"/>
  <c r="P177" s="1"/>
  <c r="K177"/>
  <c r="L177" s="1"/>
  <c r="I218" i="41"/>
  <c r="I220" s="1"/>
  <c r="I219" s="1"/>
  <c r="I217" i="40"/>
  <c r="I219" s="1"/>
  <c r="I218" s="1"/>
  <c r="I217" i="42"/>
  <c r="I219" i="38"/>
  <c r="I218" s="1"/>
  <c r="K106"/>
  <c r="L106" s="1"/>
  <c r="O106"/>
  <c r="P106" s="1"/>
  <c r="K35" i="37"/>
  <c r="L35" s="1"/>
  <c r="O35"/>
  <c r="P35" s="1"/>
  <c r="O21" i="39"/>
  <c r="P21" s="1"/>
  <c r="K21"/>
  <c r="J23"/>
  <c r="O84"/>
  <c r="P84" s="1"/>
  <c r="H86"/>
  <c r="O86" s="1"/>
  <c r="P86" s="1"/>
  <c r="O155" i="38"/>
  <c r="P155" s="1"/>
  <c r="H155" i="42"/>
  <c r="O155" s="1"/>
  <c r="P155" s="1"/>
  <c r="H155" i="40"/>
  <c r="H73" i="39"/>
  <c r="O75"/>
  <c r="P75" s="1"/>
  <c r="H77"/>
  <c r="O77" s="1"/>
  <c r="P77" s="1"/>
  <c r="H105" i="41"/>
  <c r="H105" i="42"/>
  <c r="O105" i="40"/>
  <c r="P105" s="1"/>
  <c r="H104"/>
  <c r="H24" i="41"/>
  <c r="H26" s="1"/>
  <c r="H24" i="42"/>
  <c r="H26" s="1"/>
  <c r="H26" i="40"/>
  <c r="H186" i="42"/>
  <c r="H186" i="40"/>
  <c r="H185" i="38"/>
  <c r="J205" i="41"/>
  <c r="J204" i="42"/>
  <c r="J204" i="40"/>
  <c r="K204" i="38"/>
  <c r="L204" s="1"/>
  <c r="I95"/>
  <c r="K95" s="1"/>
  <c r="L95" s="1"/>
  <c r="I96" i="42"/>
  <c r="I96" i="41"/>
  <c r="I96" i="40"/>
  <c r="K96" i="38"/>
  <c r="L96" s="1"/>
  <c r="O196" i="39"/>
  <c r="P196" s="1"/>
  <c r="K196"/>
  <c r="K44" i="37"/>
  <c r="O44"/>
  <c r="P44" s="1"/>
  <c r="J44" i="39"/>
  <c r="K42"/>
  <c r="J41"/>
  <c r="O42"/>
  <c r="P42" s="1"/>
  <c r="H216" i="40"/>
  <c r="H217" i="41" s="1"/>
  <c r="H216" i="42"/>
  <c r="J12" i="40"/>
  <c r="J14" i="38"/>
  <c r="K14" s="1"/>
  <c r="K12"/>
  <c r="J11"/>
  <c r="K78"/>
  <c r="J78" i="41"/>
  <c r="J78" i="42"/>
  <c r="J78" i="40"/>
  <c r="O78" i="38"/>
  <c r="P78" s="1"/>
  <c r="T120" i="40"/>
  <c r="T120" i="42"/>
  <c r="T120" i="39"/>
  <c r="T120" i="37"/>
  <c r="T120" i="41"/>
  <c r="T120" i="38"/>
  <c r="T120" i="35"/>
  <c r="I120" i="34"/>
  <c r="Q120"/>
  <c r="T120" i="36"/>
  <c r="K120" i="33"/>
  <c r="L120" s="1"/>
  <c r="J147" i="40"/>
  <c r="J148" i="41"/>
  <c r="K147" i="38"/>
  <c r="L147" s="1"/>
  <c r="J146"/>
  <c r="O147"/>
  <c r="P147" s="1"/>
  <c r="K45" i="40"/>
  <c r="I41"/>
  <c r="O28" i="39"/>
  <c r="P28" s="1"/>
  <c r="H29"/>
  <c r="O29" s="1"/>
  <c r="P29" s="1"/>
  <c r="K202" i="38"/>
  <c r="L202" s="1"/>
  <c r="O202"/>
  <c r="P202" s="1"/>
  <c r="H38" i="40"/>
  <c r="H40" i="38"/>
  <c r="K71" i="37"/>
  <c r="O71"/>
  <c r="P71" s="1"/>
  <c r="K158" i="38"/>
  <c r="O158"/>
  <c r="P158" s="1"/>
  <c r="J157"/>
  <c r="J76" i="41"/>
  <c r="J76" i="40"/>
  <c r="J76" i="42"/>
  <c r="J74" i="38"/>
  <c r="O76"/>
  <c r="P76" s="1"/>
  <c r="K76"/>
  <c r="J26" i="39"/>
  <c r="O26" s="1"/>
  <c r="P26" s="1"/>
  <c r="K24"/>
  <c r="O24"/>
  <c r="P24" s="1"/>
  <c r="K149" i="40"/>
  <c r="I150"/>
  <c r="K150" s="1"/>
  <c r="O208"/>
  <c r="P208" s="1"/>
  <c r="K208"/>
  <c r="L208" s="1"/>
  <c r="H150" i="41"/>
  <c r="O150" s="1"/>
  <c r="P150" s="1"/>
  <c r="O149" i="40"/>
  <c r="P149" s="1"/>
  <c r="K170" i="38"/>
  <c r="J171" i="41"/>
  <c r="J170" i="40"/>
  <c r="J170" i="42"/>
  <c r="O170" i="38"/>
  <c r="P170" s="1"/>
  <c r="H169" i="42"/>
  <c r="H169" i="40"/>
  <c r="H171" i="38"/>
  <c r="H47" i="39"/>
  <c r="O47" s="1"/>
  <c r="P47" s="1"/>
  <c r="O45"/>
  <c r="P45" s="1"/>
  <c r="I160" i="38"/>
  <c r="I162" i="41"/>
  <c r="I161" i="42"/>
  <c r="I161" i="40"/>
  <c r="J111" i="39"/>
  <c r="K114"/>
  <c r="O114"/>
  <c r="P114" s="1"/>
  <c r="J166"/>
  <c r="K166" s="1"/>
  <c r="J163"/>
  <c r="K163" s="1"/>
  <c r="L163" s="1"/>
  <c r="K164"/>
  <c r="O164"/>
  <c r="P164" s="1"/>
  <c r="K132" i="40"/>
  <c r="O132"/>
  <c r="P132" s="1"/>
  <c r="H150" i="42"/>
  <c r="O150" s="1"/>
  <c r="P150" s="1"/>
  <c r="O148"/>
  <c r="P148" s="1"/>
  <c r="K133" i="41"/>
  <c r="O133"/>
  <c r="P133" s="1"/>
  <c r="K127" i="39"/>
  <c r="L127" s="1"/>
  <c r="O127"/>
  <c r="P127" s="1"/>
  <c r="O173" i="37"/>
  <c r="P173" s="1"/>
  <c r="K173"/>
  <c r="H66" i="40"/>
  <c r="H68" i="38"/>
  <c r="O159" i="39"/>
  <c r="P159" s="1"/>
  <c r="H158"/>
  <c r="O158" s="1"/>
  <c r="P158" s="1"/>
  <c r="K65" i="37"/>
  <c r="O65"/>
  <c r="P65" s="1"/>
  <c r="J63" i="42"/>
  <c r="J63" i="41"/>
  <c r="J63" i="40"/>
  <c r="O63" i="38"/>
  <c r="P63" s="1"/>
  <c r="J65"/>
  <c r="K63"/>
  <c r="J103" i="42"/>
  <c r="J103" i="41"/>
  <c r="J103" i="40"/>
  <c r="O103" i="38"/>
  <c r="P103" s="1"/>
  <c r="K103"/>
  <c r="L103" s="1"/>
  <c r="O104" i="39"/>
  <c r="P104" s="1"/>
  <c r="H97"/>
  <c r="J178" i="35"/>
  <c r="K176" i="34"/>
  <c r="L176" s="1"/>
  <c r="J139"/>
  <c r="O70" i="38"/>
  <c r="P70" s="1"/>
  <c r="K70"/>
  <c r="K22"/>
  <c r="O22"/>
  <c r="P22" s="1"/>
  <c r="J81" i="42"/>
  <c r="J81" i="41"/>
  <c r="J81" i="40"/>
  <c r="K81" i="38"/>
  <c r="J121" i="37"/>
  <c r="O121" i="36"/>
  <c r="P121" s="1"/>
  <c r="H217" i="42"/>
  <c r="H217" i="40"/>
  <c r="H219" i="38"/>
  <c r="H218" s="1"/>
  <c r="K43"/>
  <c r="J43" i="42"/>
  <c r="J43" i="41"/>
  <c r="J43" i="40"/>
  <c r="O43" i="38"/>
  <c r="P43" s="1"/>
  <c r="K66"/>
  <c r="J66" i="42"/>
  <c r="J66" i="41"/>
  <c r="J66" i="40"/>
  <c r="J68" i="38"/>
  <c r="O66"/>
  <c r="P66" s="1"/>
  <c r="H100" i="41"/>
  <c r="H99" s="1"/>
  <c r="H100" i="42"/>
  <c r="H99" s="1"/>
  <c r="H99" i="40"/>
  <c r="J218" i="41"/>
  <c r="J217" i="40"/>
  <c r="K217" i="38"/>
  <c r="L217" s="1"/>
  <c r="J219"/>
  <c r="O217"/>
  <c r="P217" s="1"/>
  <c r="J56" i="39"/>
  <c r="K56" s="1"/>
  <c r="O54"/>
  <c r="P54" s="1"/>
  <c r="K54"/>
  <c r="J51"/>
  <c r="K206"/>
  <c r="O206"/>
  <c r="P206" s="1"/>
  <c r="J20"/>
  <c r="K20" s="1"/>
  <c r="O18"/>
  <c r="P18" s="1"/>
  <c r="K18"/>
  <c r="I186"/>
  <c r="K186" s="1"/>
  <c r="L186" s="1"/>
  <c r="K187"/>
  <c r="L187" s="1"/>
  <c r="K62" i="37"/>
  <c r="O62"/>
  <c r="P62" s="1"/>
  <c r="O49" i="38"/>
  <c r="P49" s="1"/>
  <c r="K49"/>
  <c r="H54" i="40"/>
  <c r="H56" i="38"/>
  <c r="H51"/>
  <c r="H53" s="1"/>
  <c r="H42" i="42"/>
  <c r="H42" i="41"/>
  <c r="H44" i="40"/>
  <c r="H41"/>
  <c r="I37" i="35"/>
  <c r="I9" i="34"/>
  <c r="I8" s="1"/>
  <c r="I205" s="1"/>
  <c r="I207" s="1"/>
  <c r="O100" i="39"/>
  <c r="P100" s="1"/>
  <c r="K100"/>
  <c r="J99"/>
  <c r="K123" i="41"/>
  <c r="L123" s="1"/>
  <c r="O123"/>
  <c r="P123" s="1"/>
  <c r="K75" i="38"/>
  <c r="J75" i="42"/>
  <c r="J75" i="40"/>
  <c r="J75" i="41"/>
  <c r="O75" i="38"/>
  <c r="P75" s="1"/>
  <c r="J73"/>
  <c r="O78" i="39"/>
  <c r="P78" s="1"/>
  <c r="H80"/>
  <c r="O80" s="1"/>
  <c r="P80" s="1"/>
  <c r="O128" i="40"/>
  <c r="P128" s="1"/>
  <c r="K128"/>
  <c r="L128" s="1"/>
  <c r="I147" i="42"/>
  <c r="I148" i="41"/>
  <c r="I147" s="1"/>
  <c r="I147" i="40"/>
  <c r="I146" s="1"/>
  <c r="I146" i="38"/>
  <c r="K159"/>
  <c r="O159"/>
  <c r="P159" s="1"/>
  <c r="H14" i="42"/>
  <c r="O14" s="1"/>
  <c r="P14" s="1"/>
  <c r="O12"/>
  <c r="P12" s="1"/>
  <c r="K138" i="32"/>
  <c r="L138" s="1"/>
  <c r="O138"/>
  <c r="K28" i="38"/>
  <c r="J28" i="42"/>
  <c r="J28" i="40"/>
  <c r="J28" i="41"/>
  <c r="K28" s="1"/>
  <c r="O28" i="38"/>
  <c r="P28" s="1"/>
  <c r="O149" i="37"/>
  <c r="P149" s="1"/>
  <c r="K149"/>
  <c r="K107" i="38"/>
  <c r="L107" s="1"/>
  <c r="J107" i="42"/>
  <c r="J107" i="41"/>
  <c r="J107" i="40"/>
  <c r="O107" i="38"/>
  <c r="P107" s="1"/>
  <c r="O175" i="39"/>
  <c r="P175" s="1"/>
  <c r="O94" i="38"/>
  <c r="P94" s="1"/>
  <c r="H11" i="39"/>
  <c r="H37" i="37"/>
  <c r="H41" i="38"/>
  <c r="K197" i="37"/>
  <c r="L197" s="1"/>
  <c r="H110" i="38"/>
  <c r="H97" s="1"/>
  <c r="O31"/>
  <c r="P31" s="1"/>
  <c r="J97" i="34"/>
  <c r="K97" s="1"/>
  <c r="L97" s="1"/>
  <c r="O151" i="38"/>
  <c r="P151" s="1"/>
  <c r="O20" i="39"/>
  <c r="P20" s="1"/>
  <c r="H15" i="41"/>
  <c r="H17" s="1"/>
  <c r="H15" i="42"/>
  <c r="H17" i="40"/>
  <c r="K25" i="39"/>
  <c r="O25"/>
  <c r="P25" s="1"/>
  <c r="H160" i="38"/>
  <c r="H161" i="42"/>
  <c r="H161" i="40"/>
  <c r="K209" i="42"/>
  <c r="L209" s="1"/>
  <c r="O209"/>
  <c r="P209" s="1"/>
  <c r="O21" i="38"/>
  <c r="P21" s="1"/>
  <c r="J21" i="42"/>
  <c r="J21" i="40"/>
  <c r="J21" i="41"/>
  <c r="J23" i="38"/>
  <c r="K21"/>
  <c r="K205" i="39"/>
  <c r="L205" s="1"/>
  <c r="O205"/>
  <c r="P205" s="1"/>
  <c r="K116"/>
  <c r="J115"/>
  <c r="O116"/>
  <c r="P116" s="1"/>
  <c r="J42" i="42"/>
  <c r="J42" i="41"/>
  <c r="J42" i="40"/>
  <c r="J44" i="38"/>
  <c r="J41"/>
  <c r="K42"/>
  <c r="O42"/>
  <c r="P42" s="1"/>
  <c r="O14" i="37"/>
  <c r="P14" s="1"/>
  <c r="K14"/>
  <c r="I41" i="39"/>
  <c r="K45"/>
  <c r="K105" i="38"/>
  <c r="L105" s="1"/>
  <c r="O105"/>
  <c r="P105" s="1"/>
  <c r="J104"/>
  <c r="K156" i="37"/>
  <c r="L156" s="1"/>
  <c r="O156"/>
  <c r="P156" s="1"/>
  <c r="K150" i="41"/>
  <c r="I151"/>
  <c r="K151" s="1"/>
  <c r="H198" i="38"/>
  <c r="O198" s="1"/>
  <c r="P198" s="1"/>
  <c r="H199" i="42"/>
  <c r="H199" i="40"/>
  <c r="Q8" i="33"/>
  <c r="I205" i="32"/>
  <c r="O215" i="36"/>
  <c r="P215" s="1"/>
  <c r="K215"/>
  <c r="L215" s="1"/>
  <c r="J114" i="42"/>
  <c r="J114" i="41"/>
  <c r="J114" i="40"/>
  <c r="K114" i="38"/>
  <c r="O114"/>
  <c r="P114" s="1"/>
  <c r="H63" i="40"/>
  <c r="H65" i="38"/>
  <c r="J163" i="40"/>
  <c r="J165" i="38"/>
  <c r="K165" s="1"/>
  <c r="J162"/>
  <c r="K162" s="1"/>
  <c r="L162" s="1"/>
  <c r="K163"/>
  <c r="O163"/>
  <c r="P163" s="1"/>
  <c r="H149" i="41"/>
  <c r="O148" i="40"/>
  <c r="P148" s="1"/>
  <c r="H150"/>
  <c r="O150" s="1"/>
  <c r="P150" s="1"/>
  <c r="K133"/>
  <c r="O133"/>
  <c r="P133" s="1"/>
  <c r="K103" i="39"/>
  <c r="L103" s="1"/>
  <c r="O103"/>
  <c r="P103" s="1"/>
  <c r="H57" i="40"/>
  <c r="H59" i="38"/>
  <c r="O59" s="1"/>
  <c r="P59" s="1"/>
  <c r="K64" i="39"/>
  <c r="O64"/>
  <c r="P64" s="1"/>
  <c r="J52"/>
  <c r="K218" i="37"/>
  <c r="L218" s="1"/>
  <c r="J217"/>
  <c r="O218"/>
  <c r="P218" s="1"/>
  <c r="J54" i="41"/>
  <c r="J54" i="42"/>
  <c r="J54" i="40"/>
  <c r="K54" i="38"/>
  <c r="J56"/>
  <c r="O54"/>
  <c r="P54" s="1"/>
  <c r="J51"/>
  <c r="K182" i="39"/>
  <c r="J179"/>
  <c r="O182"/>
  <c r="P182" s="1"/>
  <c r="J131" i="42"/>
  <c r="J131" i="40"/>
  <c r="J131" i="41"/>
  <c r="O131" i="38"/>
  <c r="P131" s="1"/>
  <c r="K131"/>
  <c r="L131" s="1"/>
  <c r="K100"/>
  <c r="J100" i="41"/>
  <c r="J100" i="42"/>
  <c r="J100" i="40"/>
  <c r="J99" i="38"/>
  <c r="O53" i="36"/>
  <c r="P53" s="1"/>
  <c r="K53"/>
  <c r="H78" i="42"/>
  <c r="H80" s="1"/>
  <c r="O80" s="1"/>
  <c r="P80" s="1"/>
  <c r="H78" i="41"/>
  <c r="H80" s="1"/>
  <c r="O80" s="1"/>
  <c r="P80" s="1"/>
  <c r="H78" i="40"/>
  <c r="H80" s="1"/>
  <c r="O80" s="1"/>
  <c r="P80" s="1"/>
  <c r="H80" i="38"/>
  <c r="O80" s="1"/>
  <c r="P80" s="1"/>
  <c r="O128" i="42"/>
  <c r="P128" s="1"/>
  <c r="K128"/>
  <c r="L128" s="1"/>
  <c r="H14" i="41"/>
  <c r="J15" i="40"/>
  <c r="J17" i="38"/>
  <c r="K17" s="1"/>
  <c r="K15"/>
  <c r="J47"/>
  <c r="O45"/>
  <c r="P45" s="1"/>
  <c r="K45"/>
  <c r="K61"/>
  <c r="O61"/>
  <c r="P61" s="1"/>
  <c r="H69" i="40"/>
  <c r="H71" i="38"/>
  <c r="K179"/>
  <c r="O179"/>
  <c r="P179" s="1"/>
  <c r="J178"/>
  <c r="J102" i="42"/>
  <c r="J102" i="40"/>
  <c r="J102" i="41"/>
  <c r="K102" i="38"/>
  <c r="O102"/>
  <c r="P102" s="1"/>
  <c r="O67" i="39"/>
  <c r="P67" s="1"/>
  <c r="K67"/>
  <c r="H48" i="42"/>
  <c r="H48" i="41"/>
  <c r="H50" i="40"/>
  <c r="O50" s="1"/>
  <c r="P50" s="1"/>
  <c r="O48"/>
  <c r="P48" s="1"/>
  <c r="K168" i="39"/>
  <c r="O168"/>
  <c r="P168" s="1"/>
  <c r="K57" i="38"/>
  <c r="J57" i="41"/>
  <c r="J57" i="42"/>
  <c r="J57" i="40"/>
  <c r="O57" i="38"/>
  <c r="P57" s="1"/>
  <c r="K135" i="39"/>
  <c r="O135"/>
  <c r="P135" s="1"/>
  <c r="O32" i="38"/>
  <c r="P32" s="1"/>
  <c r="K32"/>
  <c r="J116" i="42"/>
  <c r="J116" i="41"/>
  <c r="J116" i="40"/>
  <c r="K116" i="38"/>
  <c r="J115"/>
  <c r="O116"/>
  <c r="P116" s="1"/>
  <c r="K160"/>
  <c r="L160" s="1"/>
  <c r="O160"/>
  <c r="P160" s="1"/>
  <c r="K152"/>
  <c r="L152" s="1"/>
  <c r="O152"/>
  <c r="P152" s="1"/>
  <c r="K149"/>
  <c r="O149"/>
  <c r="P149" s="1"/>
  <c r="H119"/>
  <c r="H120" i="40"/>
  <c r="O185" i="39"/>
  <c r="P185" s="1"/>
  <c r="K185"/>
  <c r="H21" i="41"/>
  <c r="H23" s="1"/>
  <c r="H21" i="42"/>
  <c r="H23" s="1"/>
  <c r="H23" i="40"/>
  <c r="I231" i="37"/>
  <c r="N231" s="1"/>
  <c r="N227"/>
  <c r="J34" i="42"/>
  <c r="J34" i="41"/>
  <c r="J34" i="40"/>
  <c r="K34" i="38"/>
  <c r="O34"/>
  <c r="P34" s="1"/>
  <c r="O132" i="42"/>
  <c r="P132" s="1"/>
  <c r="K132"/>
  <c r="K85" i="38"/>
  <c r="J85" i="42"/>
  <c r="J85" i="41"/>
  <c r="J85" i="40"/>
  <c r="O85" i="38"/>
  <c r="P85" s="1"/>
  <c r="J38" i="41"/>
  <c r="J38" i="40"/>
  <c r="J38" i="42"/>
  <c r="O38" i="38"/>
  <c r="P38" s="1"/>
  <c r="K38"/>
  <c r="L38" s="1"/>
  <c r="J40"/>
  <c r="J98" i="36"/>
  <c r="O98" i="35"/>
  <c r="P98" s="1"/>
  <c r="K98"/>
  <c r="L98" s="1"/>
  <c r="K130" i="39"/>
  <c r="L130" s="1"/>
  <c r="O130"/>
  <c r="P130" s="1"/>
  <c r="H93"/>
  <c r="O93" s="1"/>
  <c r="P93" s="1"/>
  <c r="O94"/>
  <c r="P94" s="1"/>
  <c r="K37" i="33"/>
  <c r="L37" s="1"/>
  <c r="U37" i="40"/>
  <c r="U37" i="37"/>
  <c r="U37" i="39"/>
  <c r="U37" i="42"/>
  <c r="U37" i="41"/>
  <c r="U37" i="38"/>
  <c r="R37" i="34"/>
  <c r="U37" i="36"/>
  <c r="U37" i="35"/>
  <c r="J9" i="33"/>
  <c r="I121" i="35"/>
  <c r="K121" i="34"/>
  <c r="L121" s="1"/>
  <c r="O111" i="37"/>
  <c r="P111" s="1"/>
  <c r="K111"/>
  <c r="L111" s="1"/>
  <c r="J178" i="39"/>
  <c r="K178" s="1"/>
  <c r="K176"/>
  <c r="O176"/>
  <c r="P176" s="1"/>
  <c r="H96" i="40"/>
  <c r="H95" i="38"/>
  <c r="O95" s="1"/>
  <c r="P95" s="1"/>
  <c r="O96"/>
  <c r="P96" s="1"/>
  <c r="K176"/>
  <c r="J176" i="42"/>
  <c r="J177" i="41"/>
  <c r="J176" i="40"/>
  <c r="O176" i="38"/>
  <c r="P176" s="1"/>
  <c r="K170" i="39"/>
  <c r="O170"/>
  <c r="P170" s="1"/>
  <c r="J172"/>
  <c r="J181" i="42"/>
  <c r="J182" i="41"/>
  <c r="J181" i="40"/>
  <c r="K181" i="38"/>
  <c r="O181"/>
  <c r="P181" s="1"/>
  <c r="K201"/>
  <c r="L201" s="1"/>
  <c r="O201"/>
  <c r="P201" s="1"/>
  <c r="K101" i="39"/>
  <c r="O101"/>
  <c r="P101" s="1"/>
  <c r="O99" i="37"/>
  <c r="P99" s="1"/>
  <c r="K99"/>
  <c r="L99" s="1"/>
  <c r="O76" i="39"/>
  <c r="P76" s="1"/>
  <c r="H74"/>
  <c r="O74" s="1"/>
  <c r="P74" s="1"/>
  <c r="O73" i="37"/>
  <c r="P73" s="1"/>
  <c r="K73"/>
  <c r="I207" i="41"/>
  <c r="K207" s="1"/>
  <c r="L207" s="1"/>
  <c r="I206" i="40"/>
  <c r="K206" s="1"/>
  <c r="L206" s="1"/>
  <c r="I206" i="42"/>
  <c r="K206" s="1"/>
  <c r="L206" s="1"/>
  <c r="O184" i="37"/>
  <c r="P184" s="1"/>
  <c r="K184"/>
  <c r="L184" s="1"/>
  <c r="H165" i="38"/>
  <c r="H162"/>
  <c r="O162" s="1"/>
  <c r="P162" s="1"/>
  <c r="H163" i="40"/>
  <c r="H163" i="42"/>
  <c r="O47" i="37"/>
  <c r="P47" s="1"/>
  <c r="K47"/>
  <c r="K200" i="39"/>
  <c r="L200" s="1"/>
  <c r="I199"/>
  <c r="K166" i="38"/>
  <c r="J166" i="42"/>
  <c r="J167" i="41"/>
  <c r="K167" s="1"/>
  <c r="J166" i="40"/>
  <c r="K166" s="1"/>
  <c r="O166" i="38"/>
  <c r="P166" s="1"/>
  <c r="J203" i="42"/>
  <c r="J204" i="41"/>
  <c r="J203" i="40"/>
  <c r="O203" i="38"/>
  <c r="P203" s="1"/>
  <c r="K203"/>
  <c r="L203" s="1"/>
  <c r="K102" i="39"/>
  <c r="O102"/>
  <c r="P102" s="1"/>
  <c r="K210" i="41"/>
  <c r="L210" s="1"/>
  <c r="O210"/>
  <c r="P210" s="1"/>
  <c r="H116"/>
  <c r="H115" s="1"/>
  <c r="H116" i="42"/>
  <c r="H115" s="1"/>
  <c r="H115" i="40"/>
  <c r="J35" i="38"/>
  <c r="O36"/>
  <c r="P36" s="1"/>
  <c r="K36"/>
  <c r="L36" s="1"/>
  <c r="H77"/>
  <c r="O77" s="1"/>
  <c r="P77" s="1"/>
  <c r="H75" i="42"/>
  <c r="H75" i="40"/>
  <c r="H75" i="41"/>
  <c r="H73" i="38"/>
  <c r="H72" s="1"/>
  <c r="J167" i="42"/>
  <c r="J168" i="41"/>
  <c r="J167" i="40"/>
  <c r="K167" i="38"/>
  <c r="O167"/>
  <c r="P167" s="1"/>
  <c r="H60" i="40"/>
  <c r="H62" i="38"/>
  <c r="K57" i="39"/>
  <c r="J59"/>
  <c r="K59" s="1"/>
  <c r="O57"/>
  <c r="P57" s="1"/>
  <c r="J135" i="40"/>
  <c r="J135" i="41"/>
  <c r="J135" i="42"/>
  <c r="O135" i="38"/>
  <c r="P135" s="1"/>
  <c r="K135"/>
  <c r="J79" i="42"/>
  <c r="J79" i="40"/>
  <c r="J79" i="41"/>
  <c r="O79" i="38"/>
  <c r="P79" s="1"/>
  <c r="K79"/>
  <c r="O187" i="39"/>
  <c r="P187" s="1"/>
  <c r="H186"/>
  <c r="O186" s="1"/>
  <c r="P186" s="1"/>
  <c r="O211"/>
  <c r="P211" s="1"/>
  <c r="K211"/>
  <c r="O115" i="37"/>
  <c r="P115" s="1"/>
  <c r="K115"/>
  <c r="L115" s="1"/>
  <c r="O117" i="38"/>
  <c r="P117" s="1"/>
  <c r="K117"/>
  <c r="K41" i="37"/>
  <c r="O41"/>
  <c r="P41" s="1"/>
  <c r="O126" i="38"/>
  <c r="P126" s="1"/>
  <c r="K126"/>
  <c r="L126" s="1"/>
  <c r="K11" i="37"/>
  <c r="L11" s="1"/>
  <c r="J10"/>
  <c r="O11"/>
  <c r="P11" s="1"/>
  <c r="J125" i="35"/>
  <c r="J110" s="1"/>
  <c r="K125" i="34"/>
  <c r="L125" s="1"/>
  <c r="O145" i="37"/>
  <c r="P145" s="1"/>
  <c r="K145"/>
  <c r="L145" s="1"/>
  <c r="O148" i="39"/>
  <c r="P148" s="1"/>
  <c r="K148"/>
  <c r="L148" s="1"/>
  <c r="J147"/>
  <c r="I41" i="41"/>
  <c r="K45"/>
  <c r="O104" i="37"/>
  <c r="P104" s="1"/>
  <c r="K104"/>
  <c r="L104" s="1"/>
  <c r="H29" i="38"/>
  <c r="H28" i="40"/>
  <c r="K184" i="38"/>
  <c r="J185" i="41"/>
  <c r="J184" i="40"/>
  <c r="J184" i="42"/>
  <c r="O184" i="38"/>
  <c r="P184" s="1"/>
  <c r="H40" i="39"/>
  <c r="O74" i="37"/>
  <c r="P74" s="1"/>
  <c r="K74"/>
  <c r="J24" i="41"/>
  <c r="J24" i="40"/>
  <c r="J24" i="42"/>
  <c r="K24" i="38"/>
  <c r="J26"/>
  <c r="O26" s="1"/>
  <c r="P26" s="1"/>
  <c r="O24"/>
  <c r="P24" s="1"/>
  <c r="K149" i="42"/>
  <c r="I150"/>
  <c r="K150" s="1"/>
  <c r="K10" i="36"/>
  <c r="L10" s="1"/>
  <c r="O10"/>
  <c r="P10" s="1"/>
  <c r="O209" i="41"/>
  <c r="P209" s="1"/>
  <c r="K209"/>
  <c r="L209" s="1"/>
  <c r="K46" i="38"/>
  <c r="O46"/>
  <c r="P46" s="1"/>
  <c r="H227" i="39"/>
  <c r="H226"/>
  <c r="I229" s="1"/>
  <c r="H87"/>
  <c r="J30"/>
  <c r="K34"/>
  <c r="O34"/>
  <c r="P34" s="1"/>
  <c r="I161"/>
  <c r="K161" s="1"/>
  <c r="L161" s="1"/>
  <c r="K162"/>
  <c r="L162" s="1"/>
  <c r="O161" i="37"/>
  <c r="P161" s="1"/>
  <c r="K161"/>
  <c r="L161" s="1"/>
  <c r="K132" i="41"/>
  <c r="O132"/>
  <c r="P132" s="1"/>
  <c r="K38" i="39"/>
  <c r="L38" s="1"/>
  <c r="O38"/>
  <c r="P38" s="1"/>
  <c r="J40"/>
  <c r="J37"/>
  <c r="I35" i="38"/>
  <c r="I10" s="1"/>
  <c r="I36" i="42"/>
  <c r="I36" i="40"/>
  <c r="I36" i="41"/>
  <c r="O130" i="38"/>
  <c r="P130" s="1"/>
  <c r="K130"/>
  <c r="L130" s="1"/>
  <c r="O112"/>
  <c r="P112" s="1"/>
  <c r="K112"/>
  <c r="J111"/>
  <c r="K175"/>
  <c r="O175"/>
  <c r="P175" s="1"/>
  <c r="J177"/>
  <c r="K177" s="1"/>
  <c r="J82" i="42"/>
  <c r="J82" i="41"/>
  <c r="J82" i="40"/>
  <c r="K82" i="38"/>
  <c r="O82"/>
  <c r="P82" s="1"/>
  <c r="K43" i="39"/>
  <c r="O43"/>
  <c r="P43" s="1"/>
  <c r="K66"/>
  <c r="O66"/>
  <c r="P66" s="1"/>
  <c r="J68"/>
  <c r="J220"/>
  <c r="K218"/>
  <c r="L218" s="1"/>
  <c r="O218"/>
  <c r="P218" s="1"/>
  <c r="J171" i="38"/>
  <c r="O169"/>
  <c r="P169" s="1"/>
  <c r="K169"/>
  <c r="J190"/>
  <c r="K190" s="1"/>
  <c r="L190" s="1"/>
  <c r="K191"/>
  <c r="O191"/>
  <c r="P191" s="1"/>
  <c r="J205" i="42"/>
  <c r="J206" i="41"/>
  <c r="J205" i="40"/>
  <c r="K205" i="38"/>
  <c r="O205"/>
  <c r="P205" s="1"/>
  <c r="K52" i="37"/>
  <c r="O52"/>
  <c r="P52" s="1"/>
  <c r="J174" i="41"/>
  <c r="J173" i="42"/>
  <c r="J173" i="40"/>
  <c r="O173" i="38"/>
  <c r="P173" s="1"/>
  <c r="K173"/>
  <c r="K18"/>
  <c r="J18" i="40"/>
  <c r="J20" i="38"/>
  <c r="K20" s="1"/>
  <c r="J137" i="42"/>
  <c r="J137" i="40"/>
  <c r="J137" i="41"/>
  <c r="O137" i="38"/>
  <c r="P137" s="1"/>
  <c r="K137"/>
  <c r="L137" s="1"/>
  <c r="J119" i="36"/>
  <c r="O120"/>
  <c r="P120" s="1"/>
  <c r="J120" i="37"/>
  <c r="I186" i="42"/>
  <c r="I187" i="41"/>
  <c r="I186" i="40"/>
  <c r="I185" i="38"/>
  <c r="K180"/>
  <c r="O180"/>
  <c r="P180" s="1"/>
  <c r="O136"/>
  <c r="P136" s="1"/>
  <c r="K136"/>
  <c r="L136" s="1"/>
  <c r="H35" i="39"/>
  <c r="O35" s="1"/>
  <c r="P35" s="1"/>
  <c r="O36"/>
  <c r="P36" s="1"/>
  <c r="O101" i="38"/>
  <c r="P101" s="1"/>
  <c r="K101"/>
  <c r="J193" i="41"/>
  <c r="J192" i="42"/>
  <c r="J192" i="40"/>
  <c r="K192" i="38"/>
  <c r="O33"/>
  <c r="P33" s="1"/>
  <c r="K33"/>
  <c r="K118"/>
  <c r="J118" i="40"/>
  <c r="J118" i="41"/>
  <c r="J118" i="42"/>
  <c r="O118" i="38"/>
  <c r="P118" s="1"/>
  <c r="O81"/>
  <c r="P81" s="1"/>
  <c r="H81" i="42"/>
  <c r="H83" s="1"/>
  <c r="O83" s="1"/>
  <c r="P83" s="1"/>
  <c r="H81" i="40"/>
  <c r="H83" s="1"/>
  <c r="O83" s="1"/>
  <c r="P83" s="1"/>
  <c r="H81" i="41"/>
  <c r="H83" s="1"/>
  <c r="O83" s="1"/>
  <c r="P83" s="1"/>
  <c r="H83" i="38"/>
  <c r="O83" s="1"/>
  <c r="P83" s="1"/>
  <c r="H51" i="39"/>
  <c r="H53" s="1"/>
  <c r="H56"/>
  <c r="O56" s="1"/>
  <c r="P56" s="1"/>
  <c r="T9" i="42"/>
  <c r="T9" i="41"/>
  <c r="T9" i="37"/>
  <c r="T9" i="38"/>
  <c r="T9" i="39"/>
  <c r="T9" i="35"/>
  <c r="T9" i="40"/>
  <c r="Q9" i="34"/>
  <c r="T9" i="36"/>
  <c r="I8" i="33"/>
  <c r="H76" i="41"/>
  <c r="H74" s="1"/>
  <c r="H76" i="42"/>
  <c r="H74" s="1"/>
  <c r="H76" i="40"/>
  <c r="H74" s="1"/>
  <c r="H74" i="38"/>
  <c r="K123" i="40"/>
  <c r="L123" s="1"/>
  <c r="O123"/>
  <c r="P123" s="1"/>
  <c r="K84" i="38"/>
  <c r="J84" i="42"/>
  <c r="J84" i="41"/>
  <c r="J84" i="40"/>
  <c r="O84" i="38"/>
  <c r="P84" s="1"/>
  <c r="K58"/>
  <c r="J58" i="42"/>
  <c r="J58" i="40"/>
  <c r="J58" i="41"/>
  <c r="O58" i="38"/>
  <c r="P58" s="1"/>
  <c r="H175" i="42"/>
  <c r="H175" i="40"/>
  <c r="H177" i="38"/>
  <c r="O177" s="1"/>
  <c r="P177" s="1"/>
  <c r="K94" i="39"/>
  <c r="L94" s="1"/>
  <c r="I93"/>
  <c r="K93" s="1"/>
  <c r="L93" s="1"/>
  <c r="K148" i="38"/>
  <c r="L148" s="1"/>
  <c r="J150"/>
  <c r="O148"/>
  <c r="P148" s="1"/>
  <c r="K9" i="32"/>
  <c r="L9" s="1"/>
  <c r="J8"/>
  <c r="H10" i="37"/>
  <c r="H9" s="1"/>
  <c r="H8" s="1"/>
  <c r="O193"/>
  <c r="P193" s="1"/>
  <c r="H168" i="40"/>
  <c r="O168" s="1"/>
  <c r="P168" s="1"/>
  <c r="J30" i="38"/>
  <c r="O197" i="37"/>
  <c r="P197" s="1"/>
  <c r="O199" i="38"/>
  <c r="P199" s="1"/>
  <c r="O100"/>
  <c r="P100" s="1"/>
  <c r="J195" i="39"/>
  <c r="K94" i="38"/>
  <c r="L94" s="1"/>
  <c r="H191" i="39"/>
  <c r="O193"/>
  <c r="P193" s="1"/>
  <c r="O139" i="36"/>
  <c r="P139" s="1"/>
  <c r="O204" i="38"/>
  <c r="P204" s="1"/>
  <c r="H194"/>
  <c r="O194" s="1"/>
  <c r="P194" s="1"/>
  <c r="H140" i="35"/>
  <c r="H192" i="38"/>
  <c r="O191" i="37"/>
  <c r="P191" s="1"/>
  <c r="H189"/>
  <c r="I209" i="31"/>
  <c r="R207" i="32"/>
  <c r="I213" i="31"/>
  <c r="K193" i="37"/>
  <c r="L193" s="1"/>
  <c r="I144"/>
  <c r="I143" s="1"/>
  <c r="H142" i="36"/>
  <c r="H141" s="1"/>
  <c r="H209" s="1"/>
  <c r="H211" s="1"/>
  <c r="H217" s="1"/>
  <c r="O187"/>
  <c r="P187" s="1"/>
  <c r="O138" i="35"/>
  <c r="P138" s="1"/>
  <c r="H138" i="36"/>
  <c r="K206" i="38"/>
  <c r="L206" s="1"/>
  <c r="R205" i="33"/>
  <c r="S205" i="32"/>
  <c r="G209" i="31"/>
  <c r="E213"/>
  <c r="T205" i="30"/>
  <c r="G205" i="31"/>
  <c r="F206"/>
  <c r="K205"/>
  <c r="L205" s="1"/>
  <c r="J206" i="30"/>
  <c r="J207" s="1"/>
  <c r="K205"/>
  <c r="L205" s="1"/>
  <c r="N221"/>
  <c r="H225"/>
  <c r="N225" s="1"/>
  <c r="K110" i="35" l="1"/>
  <c r="L110" s="1"/>
  <c r="O110"/>
  <c r="P110" s="1"/>
  <c r="J97"/>
  <c r="J205" i="32"/>
  <c r="K205" s="1"/>
  <c r="L205" s="1"/>
  <c r="K8"/>
  <c r="L8" s="1"/>
  <c r="J52" i="40"/>
  <c r="K58"/>
  <c r="O58"/>
  <c r="P58" s="1"/>
  <c r="J18" i="41"/>
  <c r="J18" i="42"/>
  <c r="K18" i="40"/>
  <c r="J20"/>
  <c r="O18"/>
  <c r="P18" s="1"/>
  <c r="K206" i="41"/>
  <c r="O206"/>
  <c r="P206" s="1"/>
  <c r="K111" i="38"/>
  <c r="L111" s="1"/>
  <c r="O111"/>
  <c r="P111" s="1"/>
  <c r="K79" i="40"/>
  <c r="O79"/>
  <c r="P79" s="1"/>
  <c r="K135" i="42"/>
  <c r="O135"/>
  <c r="P135" s="1"/>
  <c r="K167"/>
  <c r="O167"/>
  <c r="P167" s="1"/>
  <c r="K166"/>
  <c r="J162"/>
  <c r="O166"/>
  <c r="P166" s="1"/>
  <c r="H95" i="40"/>
  <c r="O95" s="1"/>
  <c r="P95" s="1"/>
  <c r="H96" i="42"/>
  <c r="H96" i="41"/>
  <c r="O96" i="40"/>
  <c r="P96" s="1"/>
  <c r="I121" i="36"/>
  <c r="K121" i="35"/>
  <c r="L121" s="1"/>
  <c r="K131" i="41"/>
  <c r="L131" s="1"/>
  <c r="O131"/>
  <c r="P131" s="1"/>
  <c r="O56" i="38"/>
  <c r="P56" s="1"/>
  <c r="K56"/>
  <c r="O52" i="39"/>
  <c r="P52" s="1"/>
  <c r="K52"/>
  <c r="H198" i="40"/>
  <c r="H200" i="41"/>
  <c r="O199" i="40"/>
  <c r="P199" s="1"/>
  <c r="O42" i="42"/>
  <c r="P42" s="1"/>
  <c r="K42"/>
  <c r="J41"/>
  <c r="J44"/>
  <c r="H17"/>
  <c r="O17" s="1"/>
  <c r="P17" s="1"/>
  <c r="O15"/>
  <c r="P15" s="1"/>
  <c r="J68" i="40"/>
  <c r="K68" s="1"/>
  <c r="O66"/>
  <c r="P66" s="1"/>
  <c r="K66"/>
  <c r="K81"/>
  <c r="O81"/>
  <c r="P81" s="1"/>
  <c r="O103" i="42"/>
  <c r="P103" s="1"/>
  <c r="K103"/>
  <c r="L103" s="1"/>
  <c r="H66"/>
  <c r="H68" s="1"/>
  <c r="H66" i="41"/>
  <c r="H68" s="1"/>
  <c r="H68" i="40"/>
  <c r="O68" s="1"/>
  <c r="P68" s="1"/>
  <c r="K162" i="41"/>
  <c r="L162" s="1"/>
  <c r="I161"/>
  <c r="K161" s="1"/>
  <c r="L161" s="1"/>
  <c r="K148"/>
  <c r="L148" s="1"/>
  <c r="J147"/>
  <c r="K78"/>
  <c r="O78"/>
  <c r="P78" s="1"/>
  <c r="K25" i="40"/>
  <c r="O25"/>
  <c r="P25" s="1"/>
  <c r="I93"/>
  <c r="K93" s="1"/>
  <c r="L93" s="1"/>
  <c r="K94"/>
  <c r="L94" s="1"/>
  <c r="H152" i="41"/>
  <c r="O152" s="1"/>
  <c r="P152" s="1"/>
  <c r="O151" i="40"/>
  <c r="P151" s="1"/>
  <c r="K211" i="41"/>
  <c r="O211"/>
  <c r="P211" s="1"/>
  <c r="K164" i="42"/>
  <c r="O164"/>
  <c r="P164" s="1"/>
  <c r="J165"/>
  <c r="K165" s="1"/>
  <c r="K127" i="41"/>
  <c r="L127" s="1"/>
  <c r="O127"/>
  <c r="P127" s="1"/>
  <c r="H88"/>
  <c r="H225" i="40"/>
  <c r="I228" s="1"/>
  <c r="H226"/>
  <c r="H88" i="42"/>
  <c r="H87" i="40"/>
  <c r="O87" s="1"/>
  <c r="P87" s="1"/>
  <c r="O88"/>
  <c r="P88" s="1"/>
  <c r="K134"/>
  <c r="L134" s="1"/>
  <c r="O134"/>
  <c r="P134" s="1"/>
  <c r="O193"/>
  <c r="P193" s="1"/>
  <c r="K193"/>
  <c r="K14" i="39"/>
  <c r="O14"/>
  <c r="P14" s="1"/>
  <c r="K195" i="42"/>
  <c r="O195"/>
  <c r="P195" s="1"/>
  <c r="J194"/>
  <c r="H73"/>
  <c r="H72" s="1"/>
  <c r="O72" s="1"/>
  <c r="P72" s="1"/>
  <c r="H86"/>
  <c r="O86" s="1"/>
  <c r="P86" s="1"/>
  <c r="J220" i="41"/>
  <c r="O216"/>
  <c r="P216" s="1"/>
  <c r="K216"/>
  <c r="L216" s="1"/>
  <c r="K67" i="40"/>
  <c r="O67"/>
  <c r="P67" s="1"/>
  <c r="K192"/>
  <c r="J190"/>
  <c r="O192"/>
  <c r="P192" s="1"/>
  <c r="K186"/>
  <c r="L186" s="1"/>
  <c r="I185"/>
  <c r="K185" s="1"/>
  <c r="L185" s="1"/>
  <c r="K171" i="38"/>
  <c r="O171"/>
  <c r="P171" s="1"/>
  <c r="K79" i="41"/>
  <c r="O79"/>
  <c r="P79" s="1"/>
  <c r="K168"/>
  <c r="O168"/>
  <c r="P168" s="1"/>
  <c r="H73" i="40"/>
  <c r="H72" s="1"/>
  <c r="O72" s="1"/>
  <c r="P72" s="1"/>
  <c r="H77"/>
  <c r="O77" s="1"/>
  <c r="P77" s="1"/>
  <c r="H165"/>
  <c r="O165" s="1"/>
  <c r="P165" s="1"/>
  <c r="H164" i="41"/>
  <c r="H162" i="40"/>
  <c r="J178" i="41"/>
  <c r="K178" s="1"/>
  <c r="K177"/>
  <c r="O177"/>
  <c r="P177" s="1"/>
  <c r="K116" i="42"/>
  <c r="J115"/>
  <c r="O116"/>
  <c r="P116" s="1"/>
  <c r="K57" i="41"/>
  <c r="K102"/>
  <c r="O102"/>
  <c r="P102" s="1"/>
  <c r="K47" i="38"/>
  <c r="O47"/>
  <c r="P47" s="1"/>
  <c r="K100" i="42"/>
  <c r="O100"/>
  <c r="P100" s="1"/>
  <c r="J99"/>
  <c r="K54"/>
  <c r="J51"/>
  <c r="J56"/>
  <c r="H151" i="41"/>
  <c r="O151" s="1"/>
  <c r="P151" s="1"/>
  <c r="O149"/>
  <c r="P149" s="1"/>
  <c r="K114" i="42"/>
  <c r="J111"/>
  <c r="O114"/>
  <c r="P114" s="1"/>
  <c r="K104" i="38"/>
  <c r="L104" s="1"/>
  <c r="O104"/>
  <c r="P104" s="1"/>
  <c r="K42" i="41"/>
  <c r="J41"/>
  <c r="J44"/>
  <c r="K44" s="1"/>
  <c r="K23" i="38"/>
  <c r="O23"/>
  <c r="P23" s="1"/>
  <c r="H160" i="42"/>
  <c r="O160" s="1"/>
  <c r="P160" s="1"/>
  <c r="O161"/>
  <c r="P161" s="1"/>
  <c r="K107"/>
  <c r="L107" s="1"/>
  <c r="O107"/>
  <c r="P107" s="1"/>
  <c r="J104"/>
  <c r="K73" i="38"/>
  <c r="O73"/>
  <c r="P73" s="1"/>
  <c r="O75" i="42"/>
  <c r="P75" s="1"/>
  <c r="J73"/>
  <c r="K75"/>
  <c r="K99" i="39"/>
  <c r="L99" s="1"/>
  <c r="O99"/>
  <c r="P99" s="1"/>
  <c r="I37" i="36"/>
  <c r="I9" i="35"/>
  <c r="I8" s="1"/>
  <c r="I207" s="1"/>
  <c r="I209" s="1"/>
  <c r="H44" i="42"/>
  <c r="J218" i="38"/>
  <c r="K218" s="1"/>
  <c r="L218" s="1"/>
  <c r="K219"/>
  <c r="L219" s="1"/>
  <c r="O219"/>
  <c r="P219" s="1"/>
  <c r="K68"/>
  <c r="O68"/>
  <c r="P68" s="1"/>
  <c r="K43" i="42"/>
  <c r="O43"/>
  <c r="P43" s="1"/>
  <c r="H219"/>
  <c r="O217"/>
  <c r="P217" s="1"/>
  <c r="J138" i="34"/>
  <c r="K138" s="1"/>
  <c r="L138" s="1"/>
  <c r="K139"/>
  <c r="L139" s="1"/>
  <c r="O103" i="41"/>
  <c r="P103" s="1"/>
  <c r="K103"/>
  <c r="L103" s="1"/>
  <c r="I160" i="42"/>
  <c r="K160" s="1"/>
  <c r="L160" s="1"/>
  <c r="K161"/>
  <c r="L161" s="1"/>
  <c r="O74" i="38"/>
  <c r="P74" s="1"/>
  <c r="K74"/>
  <c r="K157"/>
  <c r="L157" s="1"/>
  <c r="O157"/>
  <c r="P157" s="1"/>
  <c r="K78" i="42"/>
  <c r="O78"/>
  <c r="P78" s="1"/>
  <c r="K44" i="39"/>
  <c r="O44"/>
  <c r="P44" s="1"/>
  <c r="I95" i="42"/>
  <c r="K95" s="1"/>
  <c r="L95" s="1"/>
  <c r="K96"/>
  <c r="L96" s="1"/>
  <c r="O204"/>
  <c r="P204" s="1"/>
  <c r="K204"/>
  <c r="L204" s="1"/>
  <c r="H185"/>
  <c r="O185" s="1"/>
  <c r="P185" s="1"/>
  <c r="O186"/>
  <c r="P186" s="1"/>
  <c r="O23" i="39"/>
  <c r="P23" s="1"/>
  <c r="K23"/>
  <c r="K217" i="42"/>
  <c r="L217" s="1"/>
  <c r="I219"/>
  <c r="K199"/>
  <c r="L199" s="1"/>
  <c r="I198"/>
  <c r="I87" i="41"/>
  <c r="K88"/>
  <c r="L88" s="1"/>
  <c r="K94"/>
  <c r="L94" s="1"/>
  <c r="I93"/>
  <c r="K93" s="1"/>
  <c r="L93" s="1"/>
  <c r="H173"/>
  <c r="O172" i="40"/>
  <c r="P172" s="1"/>
  <c r="H174"/>
  <c r="H31" i="42"/>
  <c r="H31" i="41"/>
  <c r="H30" i="40"/>
  <c r="O31"/>
  <c r="P31" s="1"/>
  <c r="K27" i="41"/>
  <c r="J29"/>
  <c r="O27"/>
  <c r="P27" s="1"/>
  <c r="K53" i="37"/>
  <c r="O53"/>
  <c r="P53" s="1"/>
  <c r="K64" i="40"/>
  <c r="O64"/>
  <c r="P64" s="1"/>
  <c r="O210"/>
  <c r="P210" s="1"/>
  <c r="K210"/>
  <c r="K164"/>
  <c r="O164"/>
  <c r="P164" s="1"/>
  <c r="O52" i="38"/>
  <c r="P52" s="1"/>
  <c r="K52"/>
  <c r="K37" i="34"/>
  <c r="L37" s="1"/>
  <c r="J9"/>
  <c r="K127" i="42"/>
  <c r="L127" s="1"/>
  <c r="O127"/>
  <c r="P127" s="1"/>
  <c r="I232" i="38"/>
  <c r="N232" s="1"/>
  <c r="N228"/>
  <c r="O134" i="41"/>
  <c r="P134" s="1"/>
  <c r="K134"/>
  <c r="L134" s="1"/>
  <c r="K39" i="42"/>
  <c r="O39"/>
  <c r="P39" s="1"/>
  <c r="R88" i="36"/>
  <c r="J87"/>
  <c r="K88"/>
  <c r="L88" s="1"/>
  <c r="J223"/>
  <c r="J88" i="37"/>
  <c r="J222" i="36"/>
  <c r="O88"/>
  <c r="P88" s="1"/>
  <c r="J10" i="39"/>
  <c r="O11"/>
  <c r="P11" s="1"/>
  <c r="K11"/>
  <c r="L11" s="1"/>
  <c r="J194" i="40"/>
  <c r="O195"/>
  <c r="P195" s="1"/>
  <c r="K195"/>
  <c r="O215"/>
  <c r="P215" s="1"/>
  <c r="K215"/>
  <c r="L215" s="1"/>
  <c r="K67" i="41"/>
  <c r="O67"/>
  <c r="P67" s="1"/>
  <c r="K30" i="38"/>
  <c r="L30" s="1"/>
  <c r="O30"/>
  <c r="P30" s="1"/>
  <c r="K84" i="42"/>
  <c r="O84"/>
  <c r="P84" s="1"/>
  <c r="T8" i="38"/>
  <c r="T8" i="41"/>
  <c r="T8" i="37"/>
  <c r="T8" i="42"/>
  <c r="T8" i="35"/>
  <c r="T8" i="39"/>
  <c r="T8" i="40"/>
  <c r="Q8" i="34"/>
  <c r="T8" i="36"/>
  <c r="I205" i="33"/>
  <c r="K118" i="40"/>
  <c r="O118"/>
  <c r="P118" s="1"/>
  <c r="J120" i="39"/>
  <c r="J120" i="38"/>
  <c r="O120" i="37"/>
  <c r="P120" s="1"/>
  <c r="J119"/>
  <c r="K137" i="42"/>
  <c r="L137" s="1"/>
  <c r="O137"/>
  <c r="P137" s="1"/>
  <c r="O174" i="41"/>
  <c r="P174" s="1"/>
  <c r="J175"/>
  <c r="K174"/>
  <c r="K220" i="39"/>
  <c r="L220" s="1"/>
  <c r="J219"/>
  <c r="O220"/>
  <c r="P220" s="1"/>
  <c r="K82" i="40"/>
  <c r="O82"/>
  <c r="P82" s="1"/>
  <c r="I35"/>
  <c r="K36"/>
  <c r="L36" s="1"/>
  <c r="K40" i="39"/>
  <c r="O40"/>
  <c r="P40" s="1"/>
  <c r="J26" i="40"/>
  <c r="O26" s="1"/>
  <c r="P26" s="1"/>
  <c r="K24"/>
  <c r="O24"/>
  <c r="P24" s="1"/>
  <c r="O184"/>
  <c r="P184" s="1"/>
  <c r="K184"/>
  <c r="O135"/>
  <c r="P135" s="1"/>
  <c r="K135"/>
  <c r="K167"/>
  <c r="O167"/>
  <c r="P167" s="1"/>
  <c r="H77" i="41"/>
  <c r="O77" s="1"/>
  <c r="P77" s="1"/>
  <c r="H73"/>
  <c r="H72" s="1"/>
  <c r="O72" s="1"/>
  <c r="P72" s="1"/>
  <c r="O203" i="40"/>
  <c r="P203" s="1"/>
  <c r="K203"/>
  <c r="L203" s="1"/>
  <c r="K199" i="39"/>
  <c r="L199" s="1"/>
  <c r="I195"/>
  <c r="I146" s="1"/>
  <c r="I145" s="1"/>
  <c r="H165" i="42"/>
  <c r="O163"/>
  <c r="P163" s="1"/>
  <c r="H162"/>
  <c r="K172" i="39"/>
  <c r="O172"/>
  <c r="P172" s="1"/>
  <c r="J177" i="40"/>
  <c r="K177" s="1"/>
  <c r="K176"/>
  <c r="O176"/>
  <c r="P176" s="1"/>
  <c r="J40" i="41"/>
  <c r="K40" s="1"/>
  <c r="K38"/>
  <c r="L38" s="1"/>
  <c r="K85" i="42"/>
  <c r="O85"/>
  <c r="P85" s="1"/>
  <c r="O34"/>
  <c r="P34" s="1"/>
  <c r="K34"/>
  <c r="J30"/>
  <c r="H120" i="41"/>
  <c r="H119" s="1"/>
  <c r="H120" i="42"/>
  <c r="H119" s="1"/>
  <c r="H119" i="40"/>
  <c r="K116" i="41"/>
  <c r="J115"/>
  <c r="O116"/>
  <c r="P116" s="1"/>
  <c r="K57" i="42"/>
  <c r="H50"/>
  <c r="O50" s="1"/>
  <c r="P50" s="1"/>
  <c r="O48"/>
  <c r="P48" s="1"/>
  <c r="K178" i="38"/>
  <c r="L178" s="1"/>
  <c r="O178"/>
  <c r="P178" s="1"/>
  <c r="H69" i="42"/>
  <c r="H69" i="41"/>
  <c r="O69" i="40"/>
  <c r="P69" s="1"/>
  <c r="H71"/>
  <c r="O71" s="1"/>
  <c r="P71" s="1"/>
  <c r="K15"/>
  <c r="J15" i="41"/>
  <c r="J17" i="40"/>
  <c r="O15"/>
  <c r="P15" s="1"/>
  <c r="K100"/>
  <c r="O100"/>
  <c r="P100" s="1"/>
  <c r="J99"/>
  <c r="O131" i="42"/>
  <c r="P131" s="1"/>
  <c r="K131"/>
  <c r="L131" s="1"/>
  <c r="O51" i="38"/>
  <c r="P51" s="1"/>
  <c r="J53"/>
  <c r="K51"/>
  <c r="J56" i="40"/>
  <c r="O54"/>
  <c r="P54" s="1"/>
  <c r="J51"/>
  <c r="K54"/>
  <c r="O217" i="37"/>
  <c r="P217" s="1"/>
  <c r="K217"/>
  <c r="L217" s="1"/>
  <c r="H63" i="41"/>
  <c r="H65" s="1"/>
  <c r="H63" i="42"/>
  <c r="H65" s="1"/>
  <c r="H65" i="40"/>
  <c r="J111" i="41"/>
  <c r="O114"/>
  <c r="P114" s="1"/>
  <c r="K114"/>
  <c r="I207" i="32"/>
  <c r="Q205" i="33"/>
  <c r="O42" i="40"/>
  <c r="P42" s="1"/>
  <c r="K42"/>
  <c r="J41"/>
  <c r="J44"/>
  <c r="K115" i="39"/>
  <c r="L115" s="1"/>
  <c r="O115"/>
  <c r="P115" s="1"/>
  <c r="J23" i="42"/>
  <c r="K21"/>
  <c r="O21"/>
  <c r="P21" s="1"/>
  <c r="H160" i="40"/>
  <c r="O160" s="1"/>
  <c r="P160" s="1"/>
  <c r="H162" i="41"/>
  <c r="O161" i="40"/>
  <c r="P161" s="1"/>
  <c r="K107" i="41"/>
  <c r="L107" s="1"/>
  <c r="J104"/>
  <c r="O107"/>
  <c r="P107" s="1"/>
  <c r="K28" i="42"/>
  <c r="I146"/>
  <c r="K147"/>
  <c r="L147" s="1"/>
  <c r="O75" i="40"/>
  <c r="P75" s="1"/>
  <c r="J73"/>
  <c r="K75"/>
  <c r="I213" i="34"/>
  <c r="I209"/>
  <c r="O42" i="41"/>
  <c r="P42" s="1"/>
  <c r="H44"/>
  <c r="O44" s="1"/>
  <c r="P44" s="1"/>
  <c r="H54"/>
  <c r="H54" i="42"/>
  <c r="H51" i="40"/>
  <c r="H56"/>
  <c r="O51" i="39"/>
  <c r="P51" s="1"/>
  <c r="K51"/>
  <c r="J53"/>
  <c r="K218" i="41"/>
  <c r="L218" s="1"/>
  <c r="O218"/>
  <c r="P218" s="1"/>
  <c r="O66" i="42"/>
  <c r="P66" s="1"/>
  <c r="K66"/>
  <c r="J68"/>
  <c r="K43" i="41"/>
  <c r="O43"/>
  <c r="P43" s="1"/>
  <c r="H218"/>
  <c r="H220" s="1"/>
  <c r="H219" s="1"/>
  <c r="H219" i="40"/>
  <c r="H218" s="1"/>
  <c r="J121" i="39"/>
  <c r="O121" i="37"/>
  <c r="P121" s="1"/>
  <c r="J121" i="38"/>
  <c r="K81" i="42"/>
  <c r="O81"/>
  <c r="P81" s="1"/>
  <c r="K103" i="40"/>
  <c r="L103" s="1"/>
  <c r="O103"/>
  <c r="P103" s="1"/>
  <c r="K65" i="38"/>
  <c r="O65"/>
  <c r="P65" s="1"/>
  <c r="K63" i="42"/>
  <c r="J65"/>
  <c r="O63"/>
  <c r="P63" s="1"/>
  <c r="I160" i="40"/>
  <c r="K160" s="1"/>
  <c r="L160" s="1"/>
  <c r="K161"/>
  <c r="L161" s="1"/>
  <c r="O169" i="42"/>
  <c r="P169" s="1"/>
  <c r="H171"/>
  <c r="K171" i="41"/>
  <c r="J172"/>
  <c r="O171"/>
  <c r="P171" s="1"/>
  <c r="K76"/>
  <c r="O76"/>
  <c r="P76" s="1"/>
  <c r="J74"/>
  <c r="H38"/>
  <c r="O38" s="1"/>
  <c r="P38" s="1"/>
  <c r="H38" i="42"/>
  <c r="H40" i="40"/>
  <c r="H37"/>
  <c r="O146" i="38"/>
  <c r="P146" s="1"/>
  <c r="K146"/>
  <c r="L146" s="1"/>
  <c r="O78" i="40"/>
  <c r="P78" s="1"/>
  <c r="K78"/>
  <c r="K11" i="38"/>
  <c r="L11" s="1"/>
  <c r="J10"/>
  <c r="I95" i="41"/>
  <c r="K95" s="1"/>
  <c r="L95" s="1"/>
  <c r="K96"/>
  <c r="L96" s="1"/>
  <c r="O204" i="40"/>
  <c r="P204" s="1"/>
  <c r="K204"/>
  <c r="L204" s="1"/>
  <c r="H187" i="41"/>
  <c r="O186" i="40"/>
  <c r="P186" s="1"/>
  <c r="H185"/>
  <c r="O185" s="1"/>
  <c r="P185" s="1"/>
  <c r="O105" i="41"/>
  <c r="P105" s="1"/>
  <c r="H104"/>
  <c r="H156"/>
  <c r="O156" s="1"/>
  <c r="P156" s="1"/>
  <c r="O155" i="40"/>
  <c r="P155" s="1"/>
  <c r="O167" i="41"/>
  <c r="P167" s="1"/>
  <c r="H169"/>
  <c r="O169" s="1"/>
  <c r="P169" s="1"/>
  <c r="K200"/>
  <c r="L200" s="1"/>
  <c r="I199"/>
  <c r="K25" i="42"/>
  <c r="O25"/>
  <c r="P25" s="1"/>
  <c r="I93"/>
  <c r="K93" s="1"/>
  <c r="L93" s="1"/>
  <c r="K94"/>
  <c r="L94" s="1"/>
  <c r="K62" i="38"/>
  <c r="O62"/>
  <c r="P62" s="1"/>
  <c r="J62" i="42"/>
  <c r="K60"/>
  <c r="O29" i="38"/>
  <c r="P29" s="1"/>
  <c r="K29"/>
  <c r="K27" i="40"/>
  <c r="J29"/>
  <c r="O27"/>
  <c r="P27" s="1"/>
  <c r="J65" i="41"/>
  <c r="K65" s="1"/>
  <c r="O64"/>
  <c r="P64" s="1"/>
  <c r="K64"/>
  <c r="K35" i="39"/>
  <c r="L35" s="1"/>
  <c r="I10"/>
  <c r="K71" i="38"/>
  <c r="O71"/>
  <c r="P71" s="1"/>
  <c r="O165" i="41"/>
  <c r="P165" s="1"/>
  <c r="K165"/>
  <c r="O62" i="39"/>
  <c r="P62" s="1"/>
  <c r="K62"/>
  <c r="O147" i="42"/>
  <c r="P147" s="1"/>
  <c r="H146"/>
  <c r="H157"/>
  <c r="O157" s="1"/>
  <c r="P157" s="1"/>
  <c r="O158"/>
  <c r="P158" s="1"/>
  <c r="K127" i="40"/>
  <c r="L127" s="1"/>
  <c r="O127"/>
  <c r="P127" s="1"/>
  <c r="H55" i="42"/>
  <c r="H55" i="41"/>
  <c r="O55" i="40"/>
  <c r="P55" s="1"/>
  <c r="H52"/>
  <c r="K134" i="42"/>
  <c r="L134" s="1"/>
  <c r="O134"/>
  <c r="P134" s="1"/>
  <c r="O193"/>
  <c r="P193" s="1"/>
  <c r="K193"/>
  <c r="K39" i="41"/>
  <c r="O39"/>
  <c r="P39" s="1"/>
  <c r="O87" i="35"/>
  <c r="P87" s="1"/>
  <c r="K87"/>
  <c r="L87" s="1"/>
  <c r="K196" i="41"/>
  <c r="J195"/>
  <c r="O196"/>
  <c r="P196" s="1"/>
  <c r="H11"/>
  <c r="H11" i="42"/>
  <c r="H97" i="40"/>
  <c r="H10" i="39"/>
  <c r="I194" i="38"/>
  <c r="H37" i="39"/>
  <c r="H9" s="1"/>
  <c r="H8" s="1"/>
  <c r="H110" i="42"/>
  <c r="O110" s="1"/>
  <c r="P110" s="1"/>
  <c r="O178" i="39"/>
  <c r="P178" s="1"/>
  <c r="T8" i="32"/>
  <c r="H192" i="42"/>
  <c r="H192" i="40"/>
  <c r="O195" i="39"/>
  <c r="P195" s="1"/>
  <c r="K195"/>
  <c r="L195" s="1"/>
  <c r="H176" i="41"/>
  <c r="O175" i="40"/>
  <c r="P175" s="1"/>
  <c r="H177"/>
  <c r="O177" s="1"/>
  <c r="P177" s="1"/>
  <c r="K84"/>
  <c r="O84"/>
  <c r="P84" s="1"/>
  <c r="O118" i="42"/>
  <c r="P118" s="1"/>
  <c r="K118"/>
  <c r="J190"/>
  <c r="K192"/>
  <c r="I186" i="41"/>
  <c r="K186" s="1"/>
  <c r="L186" s="1"/>
  <c r="K187"/>
  <c r="L187" s="1"/>
  <c r="K137"/>
  <c r="L137" s="1"/>
  <c r="O137"/>
  <c r="P137" s="1"/>
  <c r="O173" i="40"/>
  <c r="P173" s="1"/>
  <c r="J174"/>
  <c r="K174" s="1"/>
  <c r="K173"/>
  <c r="O82" i="42"/>
  <c r="P82" s="1"/>
  <c r="K82"/>
  <c r="O35" i="38"/>
  <c r="P35" s="1"/>
  <c r="K35"/>
  <c r="L35" s="1"/>
  <c r="K203" i="42"/>
  <c r="L203" s="1"/>
  <c r="O203"/>
  <c r="P203" s="1"/>
  <c r="K182" i="41"/>
  <c r="O182"/>
  <c r="P182" s="1"/>
  <c r="J179"/>
  <c r="K176" i="42"/>
  <c r="J177"/>
  <c r="K177" s="1"/>
  <c r="O176"/>
  <c r="P176" s="1"/>
  <c r="J40"/>
  <c r="K40" s="1"/>
  <c r="K38"/>
  <c r="L38" s="1"/>
  <c r="O85" i="40"/>
  <c r="P85" s="1"/>
  <c r="K85"/>
  <c r="O34"/>
  <c r="P34" s="1"/>
  <c r="J30"/>
  <c r="K34"/>
  <c r="O102"/>
  <c r="P102" s="1"/>
  <c r="K102"/>
  <c r="O100" i="41"/>
  <c r="P100" s="1"/>
  <c r="J99"/>
  <c r="K100"/>
  <c r="K179" i="39"/>
  <c r="L179" s="1"/>
  <c r="O179"/>
  <c r="P179" s="1"/>
  <c r="K54" i="41"/>
  <c r="J56"/>
  <c r="O54"/>
  <c r="P54" s="1"/>
  <c r="J51"/>
  <c r="H57" i="42"/>
  <c r="H59" s="1"/>
  <c r="O59" s="1"/>
  <c r="P59" s="1"/>
  <c r="H57" i="41"/>
  <c r="H59" s="1"/>
  <c r="O59" s="1"/>
  <c r="P59" s="1"/>
  <c r="H59" i="40"/>
  <c r="O59" s="1"/>
  <c r="P59" s="1"/>
  <c r="J164" i="41"/>
  <c r="J165" i="40"/>
  <c r="K165" s="1"/>
  <c r="K163"/>
  <c r="J162"/>
  <c r="K162" s="1"/>
  <c r="L162" s="1"/>
  <c r="O163"/>
  <c r="P163" s="1"/>
  <c r="K41" i="38"/>
  <c r="O41"/>
  <c r="P41" s="1"/>
  <c r="J23" i="41"/>
  <c r="K21"/>
  <c r="O21"/>
  <c r="P21" s="1"/>
  <c r="O63" i="40"/>
  <c r="P63" s="1"/>
  <c r="J65"/>
  <c r="K63"/>
  <c r="K170" i="42"/>
  <c r="J171"/>
  <c r="O170"/>
  <c r="P170" s="1"/>
  <c r="K76"/>
  <c r="O76"/>
  <c r="P76" s="1"/>
  <c r="J74"/>
  <c r="O205" i="41"/>
  <c r="P205" s="1"/>
  <c r="K205"/>
  <c r="L205" s="1"/>
  <c r="I87" i="40"/>
  <c r="K87" s="1"/>
  <c r="L87" s="1"/>
  <c r="K88"/>
  <c r="L88" s="1"/>
  <c r="O172" i="42"/>
  <c r="P172" s="1"/>
  <c r="H174"/>
  <c r="K60" i="41"/>
  <c r="J62"/>
  <c r="H35" i="40"/>
  <c r="O35" s="1"/>
  <c r="P35" s="1"/>
  <c r="H36" i="42"/>
  <c r="H36" i="41"/>
  <c r="O36" i="40"/>
  <c r="P36" s="1"/>
  <c r="U144" i="42"/>
  <c r="U144" i="40"/>
  <c r="U145" i="41"/>
  <c r="U145" i="39"/>
  <c r="U144" i="38"/>
  <c r="R138" i="34"/>
  <c r="U143" i="37"/>
  <c r="K138" i="33"/>
  <c r="L138" s="1"/>
  <c r="U141" i="36"/>
  <c r="U140" i="35"/>
  <c r="K110" i="42"/>
  <c r="L110" s="1"/>
  <c r="I97"/>
  <c r="H93" i="40"/>
  <c r="O93" s="1"/>
  <c r="P93" s="1"/>
  <c r="H94" i="42"/>
  <c r="H94" i="41"/>
  <c r="O94" i="40"/>
  <c r="P94" s="1"/>
  <c r="H45" i="41"/>
  <c r="H45" i="42"/>
  <c r="H41" s="1"/>
  <c r="H47" i="40"/>
  <c r="O47" s="1"/>
  <c r="P47" s="1"/>
  <c r="O45"/>
  <c r="P45" s="1"/>
  <c r="O150" i="38"/>
  <c r="P150" s="1"/>
  <c r="K150"/>
  <c r="K58" i="41"/>
  <c r="J52"/>
  <c r="O58"/>
  <c r="P58" s="1"/>
  <c r="O205" i="40"/>
  <c r="P205" s="1"/>
  <c r="K205"/>
  <c r="O68" i="39"/>
  <c r="P68" s="1"/>
  <c r="K68"/>
  <c r="K82" i="41"/>
  <c r="O82"/>
  <c r="P82" s="1"/>
  <c r="I35" i="42"/>
  <c r="K36"/>
  <c r="L36" s="1"/>
  <c r="N229" i="39"/>
  <c r="I233"/>
  <c r="N233" s="1"/>
  <c r="O24" i="41"/>
  <c r="P24" s="1"/>
  <c r="K24"/>
  <c r="J26"/>
  <c r="O26" s="1"/>
  <c r="P26" s="1"/>
  <c r="O185"/>
  <c r="P185" s="1"/>
  <c r="K185"/>
  <c r="K147" i="39"/>
  <c r="L147" s="1"/>
  <c r="J146"/>
  <c r="O147"/>
  <c r="P147" s="1"/>
  <c r="O10" i="37"/>
  <c r="P10" s="1"/>
  <c r="K10"/>
  <c r="L10" s="1"/>
  <c r="H60" i="41"/>
  <c r="H62" s="1"/>
  <c r="H60" i="42"/>
  <c r="H62" s="1"/>
  <c r="H62" i="40"/>
  <c r="K204" i="41"/>
  <c r="L204" s="1"/>
  <c r="O204"/>
  <c r="P204" s="1"/>
  <c r="K181" i="40"/>
  <c r="O181"/>
  <c r="P181" s="1"/>
  <c r="J178"/>
  <c r="K98" i="36"/>
  <c r="L98" s="1"/>
  <c r="J98" i="37"/>
  <c r="O98" i="36"/>
  <c r="P98" s="1"/>
  <c r="O115" i="38"/>
  <c r="P115" s="1"/>
  <c r="K115"/>
  <c r="L115" s="1"/>
  <c r="O175" i="42"/>
  <c r="P175" s="1"/>
  <c r="H177"/>
  <c r="K58"/>
  <c r="O58"/>
  <c r="P58" s="1"/>
  <c r="J52"/>
  <c r="K52" s="1"/>
  <c r="K84" i="41"/>
  <c r="O84"/>
  <c r="P84" s="1"/>
  <c r="O118"/>
  <c r="P118" s="1"/>
  <c r="K118"/>
  <c r="J191"/>
  <c r="K193"/>
  <c r="I185" i="42"/>
  <c r="K185" s="1"/>
  <c r="L185" s="1"/>
  <c r="K186"/>
  <c r="L186" s="1"/>
  <c r="K119" i="36"/>
  <c r="L119" s="1"/>
  <c r="O119"/>
  <c r="P119" s="1"/>
  <c r="J110"/>
  <c r="O137" i="40"/>
  <c r="P137" s="1"/>
  <c r="K137"/>
  <c r="L137" s="1"/>
  <c r="K173" i="42"/>
  <c r="O173"/>
  <c r="P173" s="1"/>
  <c r="J174"/>
  <c r="K205"/>
  <c r="O205"/>
  <c r="P205" s="1"/>
  <c r="K36" i="41"/>
  <c r="L36" s="1"/>
  <c r="I35"/>
  <c r="K30" i="39"/>
  <c r="L30" s="1"/>
  <c r="O30"/>
  <c r="P30" s="1"/>
  <c r="J26" i="42"/>
  <c r="O26" s="1"/>
  <c r="P26" s="1"/>
  <c r="O24"/>
  <c r="P24" s="1"/>
  <c r="K24"/>
  <c r="K184"/>
  <c r="O184"/>
  <c r="P184" s="1"/>
  <c r="H28"/>
  <c r="H29" s="1"/>
  <c r="H28" i="41"/>
  <c r="H29" i="40"/>
  <c r="O125" i="35"/>
  <c r="P125" s="1"/>
  <c r="J125" i="36"/>
  <c r="K125" i="35"/>
  <c r="L125" s="1"/>
  <c r="O79" i="42"/>
  <c r="P79" s="1"/>
  <c r="K79"/>
  <c r="K135" i="41"/>
  <c r="O135"/>
  <c r="P135" s="1"/>
  <c r="K181" i="42"/>
  <c r="J178"/>
  <c r="O181"/>
  <c r="P181" s="1"/>
  <c r="U9"/>
  <c r="U9" i="39"/>
  <c r="U9" i="40"/>
  <c r="U9" i="41"/>
  <c r="U9" i="37"/>
  <c r="U9" i="38"/>
  <c r="U9" i="35"/>
  <c r="R9" i="34"/>
  <c r="U9" i="36"/>
  <c r="K9" i="33"/>
  <c r="L9" s="1"/>
  <c r="J8"/>
  <c r="K40" i="38"/>
  <c r="O40"/>
  <c r="P40" s="1"/>
  <c r="O38" i="40"/>
  <c r="P38" s="1"/>
  <c r="K38"/>
  <c r="L38" s="1"/>
  <c r="J40"/>
  <c r="J37"/>
  <c r="K85" i="41"/>
  <c r="O85"/>
  <c r="P85" s="1"/>
  <c r="K34"/>
  <c r="J30"/>
  <c r="K30" s="1"/>
  <c r="L30" s="1"/>
  <c r="O34"/>
  <c r="P34" s="1"/>
  <c r="K116" i="40"/>
  <c r="J115"/>
  <c r="O116"/>
  <c r="P116" s="1"/>
  <c r="O57"/>
  <c r="P57" s="1"/>
  <c r="K57"/>
  <c r="O48" i="41"/>
  <c r="P48" s="1"/>
  <c r="H50"/>
  <c r="O50" s="1"/>
  <c r="P50" s="1"/>
  <c r="K102" i="42"/>
  <c r="O102"/>
  <c r="P102" s="1"/>
  <c r="K99" i="38"/>
  <c r="L99" s="1"/>
  <c r="O99"/>
  <c r="P99" s="1"/>
  <c r="O131" i="40"/>
  <c r="P131" s="1"/>
  <c r="K131"/>
  <c r="L131" s="1"/>
  <c r="J111"/>
  <c r="O114"/>
  <c r="P114" s="1"/>
  <c r="K114"/>
  <c r="H198" i="42"/>
  <c r="O199"/>
  <c r="P199" s="1"/>
  <c r="K44" i="38"/>
  <c r="O44"/>
  <c r="P44" s="1"/>
  <c r="J23" i="40"/>
  <c r="K23" s="1"/>
  <c r="K21"/>
  <c r="O21"/>
  <c r="P21" s="1"/>
  <c r="K107"/>
  <c r="L107" s="1"/>
  <c r="O107"/>
  <c r="P107" s="1"/>
  <c r="J104"/>
  <c r="K28"/>
  <c r="O28"/>
  <c r="P28" s="1"/>
  <c r="K75" i="41"/>
  <c r="J73"/>
  <c r="O75"/>
  <c r="P75" s="1"/>
  <c r="O217" i="40"/>
  <c r="P217" s="1"/>
  <c r="J219"/>
  <c r="K217"/>
  <c r="L217" s="1"/>
  <c r="J68" i="41"/>
  <c r="O66"/>
  <c r="P66" s="1"/>
  <c r="K66"/>
  <c r="K43" i="40"/>
  <c r="O43"/>
  <c r="P43" s="1"/>
  <c r="K81" i="41"/>
  <c r="O81"/>
  <c r="P81" s="1"/>
  <c r="J179" i="36"/>
  <c r="O178" i="35"/>
  <c r="P178" s="1"/>
  <c r="K178"/>
  <c r="L178" s="1"/>
  <c r="J141"/>
  <c r="K63" i="41"/>
  <c r="O63"/>
  <c r="P63" s="1"/>
  <c r="K111" i="39"/>
  <c r="L111" s="1"/>
  <c r="O111"/>
  <c r="P111" s="1"/>
  <c r="H170" i="41"/>
  <c r="O169" i="40"/>
  <c r="P169" s="1"/>
  <c r="H171"/>
  <c r="K170"/>
  <c r="J171"/>
  <c r="O170"/>
  <c r="P170" s="1"/>
  <c r="K76"/>
  <c r="O76"/>
  <c r="P76" s="1"/>
  <c r="J74"/>
  <c r="O147"/>
  <c r="P147" s="1"/>
  <c r="J146"/>
  <c r="K147"/>
  <c r="L147" s="1"/>
  <c r="I120" i="35"/>
  <c r="K120" i="34"/>
  <c r="L120" s="1"/>
  <c r="K12" i="40"/>
  <c r="J12" i="41"/>
  <c r="J14" i="40"/>
  <c r="J11"/>
  <c r="O12"/>
  <c r="P12" s="1"/>
  <c r="K41" i="39"/>
  <c r="O41"/>
  <c r="P41" s="1"/>
  <c r="I95" i="40"/>
  <c r="K95" s="1"/>
  <c r="L95" s="1"/>
  <c r="K96"/>
  <c r="L96" s="1"/>
  <c r="H104" i="42"/>
  <c r="H97" s="1"/>
  <c r="O105"/>
  <c r="P105" s="1"/>
  <c r="H72" i="39"/>
  <c r="O72" s="1"/>
  <c r="P72" s="1"/>
  <c r="O73"/>
  <c r="P73" s="1"/>
  <c r="I198" i="40"/>
  <c r="K199"/>
  <c r="L199" s="1"/>
  <c r="K88" i="42"/>
  <c r="L88" s="1"/>
  <c r="I87"/>
  <c r="K87" s="1"/>
  <c r="L87" s="1"/>
  <c r="K25" i="41"/>
  <c r="O25"/>
  <c r="P25" s="1"/>
  <c r="O185" i="38"/>
  <c r="P185" s="1"/>
  <c r="K185"/>
  <c r="L185" s="1"/>
  <c r="J62" i="40"/>
  <c r="O60"/>
  <c r="P60" s="1"/>
  <c r="K60"/>
  <c r="J72" i="37"/>
  <c r="K72" i="36"/>
  <c r="L72" s="1"/>
  <c r="O72"/>
  <c r="P72" s="1"/>
  <c r="K27" i="42"/>
  <c r="O27"/>
  <c r="P27" s="1"/>
  <c r="J29"/>
  <c r="O64"/>
  <c r="P64" s="1"/>
  <c r="K64"/>
  <c r="K174" i="38"/>
  <c r="O174"/>
  <c r="P174" s="1"/>
  <c r="O210" i="42"/>
  <c r="P210" s="1"/>
  <c r="K210"/>
  <c r="J109" i="36"/>
  <c r="O109" i="35"/>
  <c r="P109" s="1"/>
  <c r="K109"/>
  <c r="L109" s="1"/>
  <c r="H146" i="40"/>
  <c r="H148" i="41"/>
  <c r="H147" s="1"/>
  <c r="J48" i="36"/>
  <c r="O48" i="35"/>
  <c r="P48" s="1"/>
  <c r="K48"/>
  <c r="J50"/>
  <c r="J37"/>
  <c r="K65" i="39"/>
  <c r="O65"/>
  <c r="P65" s="1"/>
  <c r="H159" i="41"/>
  <c r="H157" i="40"/>
  <c r="O157" s="1"/>
  <c r="P157" s="1"/>
  <c r="O158"/>
  <c r="P158" s="1"/>
  <c r="O194" i="41"/>
  <c r="P194" s="1"/>
  <c r="K194"/>
  <c r="K39" i="40"/>
  <c r="O39"/>
  <c r="P39" s="1"/>
  <c r="K67" i="42"/>
  <c r="O67"/>
  <c r="P67" s="1"/>
  <c r="K17" i="39"/>
  <c r="O17"/>
  <c r="P17" s="1"/>
  <c r="H77" i="42"/>
  <c r="O77" s="1"/>
  <c r="P77" s="1"/>
  <c r="H37" i="38"/>
  <c r="H110" i="41"/>
  <c r="H110" i="40"/>
  <c r="O165" i="38"/>
  <c r="P165" s="1"/>
  <c r="O23" i="40"/>
  <c r="P23" s="1"/>
  <c r="O59" i="39"/>
  <c r="P59" s="1"/>
  <c r="O218" i="38"/>
  <c r="P218" s="1"/>
  <c r="H146" i="39"/>
  <c r="O191"/>
  <c r="P191" s="1"/>
  <c r="O138" i="36"/>
  <c r="P138" s="1"/>
  <c r="I145" i="38"/>
  <c r="K194"/>
  <c r="L194" s="1"/>
  <c r="K213" i="31"/>
  <c r="L213" s="1"/>
  <c r="R213" i="32"/>
  <c r="O192" i="38"/>
  <c r="P192" s="1"/>
  <c r="H190"/>
  <c r="H139"/>
  <c r="O139" i="37"/>
  <c r="P139" s="1"/>
  <c r="R209" i="32"/>
  <c r="K209" i="31"/>
  <c r="L209" s="1"/>
  <c r="O189" i="37"/>
  <c r="P189" s="1"/>
  <c r="H144"/>
  <c r="G213" i="31"/>
  <c r="K207" i="30"/>
  <c r="L207" s="1"/>
  <c r="T207"/>
  <c r="K206"/>
  <c r="L206" s="1"/>
  <c r="T206"/>
  <c r="G206" i="31"/>
  <c r="J206"/>
  <c r="F207"/>
  <c r="G207" s="1"/>
  <c r="O165" i="42" l="1"/>
  <c r="P165" s="1"/>
  <c r="K14" i="40"/>
  <c r="O14"/>
  <c r="P14" s="1"/>
  <c r="I120" i="36"/>
  <c r="K120" i="35"/>
  <c r="L120" s="1"/>
  <c r="K171" i="40"/>
  <c r="O171"/>
  <c r="P171" s="1"/>
  <c r="O28" i="41"/>
  <c r="P28" s="1"/>
  <c r="H29"/>
  <c r="O29" s="1"/>
  <c r="P29" s="1"/>
  <c r="J97" i="36"/>
  <c r="K110"/>
  <c r="L110" s="1"/>
  <c r="O110"/>
  <c r="P110" s="1"/>
  <c r="J98" i="39"/>
  <c r="J98" i="38"/>
  <c r="O98" i="37"/>
  <c r="P98" s="1"/>
  <c r="K98"/>
  <c r="L98" s="1"/>
  <c r="I10" i="42"/>
  <c r="K35"/>
  <c r="L35" s="1"/>
  <c r="K52" i="41"/>
  <c r="O52"/>
  <c r="P52" s="1"/>
  <c r="K62"/>
  <c r="O62"/>
  <c r="P62" s="1"/>
  <c r="O23"/>
  <c r="P23" s="1"/>
  <c r="K23"/>
  <c r="O11" i="42"/>
  <c r="P11" s="1"/>
  <c r="K65"/>
  <c r="O65"/>
  <c r="P65" s="1"/>
  <c r="O162" i="41"/>
  <c r="P162" s="1"/>
  <c r="H161"/>
  <c r="O161" s="1"/>
  <c r="P161" s="1"/>
  <c r="K23" i="42"/>
  <c r="O23"/>
  <c r="P23" s="1"/>
  <c r="I209" i="32"/>
  <c r="Q207" i="33"/>
  <c r="I213" i="32"/>
  <c r="O56" i="40"/>
  <c r="P56" s="1"/>
  <c r="K56"/>
  <c r="J87" i="37"/>
  <c r="J88" i="38"/>
  <c r="J225" i="37"/>
  <c r="J224"/>
  <c r="R88"/>
  <c r="K88"/>
  <c r="L88" s="1"/>
  <c r="O88"/>
  <c r="P88" s="1"/>
  <c r="I211" i="35"/>
  <c r="I215"/>
  <c r="J53" i="42"/>
  <c r="K51"/>
  <c r="J20"/>
  <c r="K18"/>
  <c r="O18"/>
  <c r="P18" s="1"/>
  <c r="O139" i="38"/>
  <c r="P139" s="1"/>
  <c r="H139" i="42"/>
  <c r="O139" s="1"/>
  <c r="P139" s="1"/>
  <c r="H139" i="40"/>
  <c r="K11"/>
  <c r="L11" s="1"/>
  <c r="J10"/>
  <c r="O11"/>
  <c r="P11" s="1"/>
  <c r="K35" i="41"/>
  <c r="L35" s="1"/>
  <c r="I10"/>
  <c r="O45"/>
  <c r="P45" s="1"/>
  <c r="H47"/>
  <c r="O47" s="1"/>
  <c r="P47" s="1"/>
  <c r="K164"/>
  <c r="J163"/>
  <c r="K163" s="1"/>
  <c r="L163" s="1"/>
  <c r="J166"/>
  <c r="K166" s="1"/>
  <c r="O164"/>
  <c r="P164" s="1"/>
  <c r="K30" i="40"/>
  <c r="L30" s="1"/>
  <c r="O30"/>
  <c r="P30" s="1"/>
  <c r="K190" i="42"/>
  <c r="L190" s="1"/>
  <c r="O55"/>
  <c r="P55" s="1"/>
  <c r="H52"/>
  <c r="O52" s="1"/>
  <c r="P52" s="1"/>
  <c r="K199" i="41"/>
  <c r="L199" s="1"/>
  <c r="I195"/>
  <c r="I146" s="1"/>
  <c r="I145" s="1"/>
  <c r="H40" i="42"/>
  <c r="O40" s="1"/>
  <c r="P40" s="1"/>
  <c r="O121" i="39"/>
  <c r="P121" s="1"/>
  <c r="H51" i="41"/>
  <c r="H56"/>
  <c r="O44" i="40"/>
  <c r="P44" s="1"/>
  <c r="K44"/>
  <c r="H71" i="41"/>
  <c r="O71" s="1"/>
  <c r="P71" s="1"/>
  <c r="O69"/>
  <c r="P69" s="1"/>
  <c r="O119" i="37"/>
  <c r="P119" s="1"/>
  <c r="K119"/>
  <c r="L119" s="1"/>
  <c r="H30" i="42"/>
  <c r="O30" s="1"/>
  <c r="P30" s="1"/>
  <c r="O31"/>
  <c r="P31" s="1"/>
  <c r="K198"/>
  <c r="L198" s="1"/>
  <c r="I194"/>
  <c r="I145" s="1"/>
  <c r="I144" s="1"/>
  <c r="K56"/>
  <c r="H87" i="41"/>
  <c r="O87" s="1"/>
  <c r="P87" s="1"/>
  <c r="H227"/>
  <c r="O88"/>
  <c r="P88" s="1"/>
  <c r="H226"/>
  <c r="I229" s="1"/>
  <c r="O147"/>
  <c r="P147" s="1"/>
  <c r="K147"/>
  <c r="L147" s="1"/>
  <c r="K50" i="35"/>
  <c r="O50"/>
  <c r="P50" s="1"/>
  <c r="J109" i="37"/>
  <c r="K109" i="36"/>
  <c r="L109" s="1"/>
  <c r="O109"/>
  <c r="P109" s="1"/>
  <c r="J72" i="38"/>
  <c r="K72" i="37"/>
  <c r="L72" s="1"/>
  <c r="O72"/>
  <c r="P72" s="1"/>
  <c r="K146" i="40"/>
  <c r="L146" s="1"/>
  <c r="J145"/>
  <c r="O146"/>
  <c r="P146" s="1"/>
  <c r="K141" i="35"/>
  <c r="L141" s="1"/>
  <c r="J140"/>
  <c r="O141"/>
  <c r="P141" s="1"/>
  <c r="J218" i="40"/>
  <c r="K218" s="1"/>
  <c r="L218" s="1"/>
  <c r="O219"/>
  <c r="P219" s="1"/>
  <c r="K219"/>
  <c r="L219" s="1"/>
  <c r="O198" i="42"/>
  <c r="P198" s="1"/>
  <c r="H194"/>
  <c r="K37" i="35"/>
  <c r="L37" s="1"/>
  <c r="O37"/>
  <c r="P37" s="1"/>
  <c r="J9"/>
  <c r="J48" i="37"/>
  <c r="K48" i="36"/>
  <c r="J50"/>
  <c r="O48"/>
  <c r="P48" s="1"/>
  <c r="J37"/>
  <c r="O29" i="42"/>
  <c r="P29" s="1"/>
  <c r="K29"/>
  <c r="O62" i="40"/>
  <c r="P62" s="1"/>
  <c r="K62"/>
  <c r="K198"/>
  <c r="L198" s="1"/>
  <c r="I194"/>
  <c r="I145" s="1"/>
  <c r="I144" s="1"/>
  <c r="K12" i="41"/>
  <c r="J14"/>
  <c r="O12"/>
  <c r="P12" s="1"/>
  <c r="J11"/>
  <c r="J181" i="37"/>
  <c r="K179" i="36"/>
  <c r="L179" s="1"/>
  <c r="O179"/>
  <c r="P179" s="1"/>
  <c r="J142"/>
  <c r="K73" i="41"/>
  <c r="O73"/>
  <c r="P73" s="1"/>
  <c r="O104" i="40"/>
  <c r="P104" s="1"/>
  <c r="K104"/>
  <c r="L104" s="1"/>
  <c r="K111"/>
  <c r="L111" s="1"/>
  <c r="O111"/>
  <c r="P111" s="1"/>
  <c r="K115"/>
  <c r="L115" s="1"/>
  <c r="O115"/>
  <c r="P115" s="1"/>
  <c r="K40"/>
  <c r="O40"/>
  <c r="P40" s="1"/>
  <c r="J125" i="37"/>
  <c r="K125" i="36"/>
  <c r="L125" s="1"/>
  <c r="O125"/>
  <c r="P125" s="1"/>
  <c r="H93" i="41"/>
  <c r="O93" s="1"/>
  <c r="P93" s="1"/>
  <c r="O94"/>
  <c r="P94" s="1"/>
  <c r="O36"/>
  <c r="P36" s="1"/>
  <c r="H35"/>
  <c r="O35" s="1"/>
  <c r="P35" s="1"/>
  <c r="K74" i="42"/>
  <c r="O74"/>
  <c r="P74" s="1"/>
  <c r="K171"/>
  <c r="O171"/>
  <c r="P171" s="1"/>
  <c r="K56" i="41"/>
  <c r="O56"/>
  <c r="P56" s="1"/>
  <c r="H193"/>
  <c r="H190" i="40"/>
  <c r="O187" i="41"/>
  <c r="P187" s="1"/>
  <c r="H186"/>
  <c r="O186" s="1"/>
  <c r="P186" s="1"/>
  <c r="K74"/>
  <c r="O74"/>
  <c r="P74" s="1"/>
  <c r="K172"/>
  <c r="O172"/>
  <c r="P172" s="1"/>
  <c r="O53" i="39"/>
  <c r="P53" s="1"/>
  <c r="K53"/>
  <c r="K146" i="42"/>
  <c r="L146" s="1"/>
  <c r="O104" i="41"/>
  <c r="P104" s="1"/>
  <c r="K104"/>
  <c r="L104" s="1"/>
  <c r="J10" i="42"/>
  <c r="K30"/>
  <c r="L30" s="1"/>
  <c r="K10" i="39"/>
  <c r="L10" s="1"/>
  <c r="J9"/>
  <c r="O10"/>
  <c r="P10" s="1"/>
  <c r="J8" i="34"/>
  <c r="K9"/>
  <c r="L9" s="1"/>
  <c r="K219" i="42"/>
  <c r="L219" s="1"/>
  <c r="I218"/>
  <c r="K218" s="1"/>
  <c r="L218" s="1"/>
  <c r="I37" i="37"/>
  <c r="I9" i="36"/>
  <c r="I8" s="1"/>
  <c r="I209" s="1"/>
  <c r="I211" s="1"/>
  <c r="O73" i="42"/>
  <c r="P73" s="1"/>
  <c r="K73"/>
  <c r="O104"/>
  <c r="P104" s="1"/>
  <c r="K104"/>
  <c r="L104" s="1"/>
  <c r="K41" i="41"/>
  <c r="K115" i="42"/>
  <c r="L115" s="1"/>
  <c r="O115"/>
  <c r="P115" s="1"/>
  <c r="K194"/>
  <c r="L194" s="1"/>
  <c r="O194"/>
  <c r="P194" s="1"/>
  <c r="O41"/>
  <c r="P41" s="1"/>
  <c r="K41"/>
  <c r="H199" i="41"/>
  <c r="O200"/>
  <c r="P200" s="1"/>
  <c r="O96" i="42"/>
  <c r="P96" s="1"/>
  <c r="H95"/>
  <c r="O95" s="1"/>
  <c r="P95" s="1"/>
  <c r="O18" i="41"/>
  <c r="P18" s="1"/>
  <c r="J20"/>
  <c r="K18"/>
  <c r="O60" i="42"/>
  <c r="P60" s="1"/>
  <c r="O162"/>
  <c r="P162" s="1"/>
  <c r="O37" i="39"/>
  <c r="P37" s="1"/>
  <c r="O60" i="41"/>
  <c r="P60" s="1"/>
  <c r="O38" i="42"/>
  <c r="P38" s="1"/>
  <c r="H97" i="41"/>
  <c r="H53" i="40"/>
  <c r="H41" i="41"/>
  <c r="H37" s="1"/>
  <c r="O57" i="42"/>
  <c r="P57" s="1"/>
  <c r="H10" i="40"/>
  <c r="H9" s="1"/>
  <c r="H8" s="1"/>
  <c r="O148" i="41"/>
  <c r="P148" s="1"/>
  <c r="K74" i="40"/>
  <c r="O74"/>
  <c r="P74" s="1"/>
  <c r="H172" i="41"/>
  <c r="O170"/>
  <c r="P170" s="1"/>
  <c r="O68"/>
  <c r="P68" s="1"/>
  <c r="K68"/>
  <c r="O37" i="40"/>
  <c r="P37" s="1"/>
  <c r="O65"/>
  <c r="P65" s="1"/>
  <c r="K65"/>
  <c r="O146" i="42"/>
  <c r="P146" s="1"/>
  <c r="K62"/>
  <c r="O62"/>
  <c r="P62" s="1"/>
  <c r="H40" i="41"/>
  <c r="O40" s="1"/>
  <c r="P40" s="1"/>
  <c r="J121" i="42"/>
  <c r="O121" s="1"/>
  <c r="P121" s="1"/>
  <c r="J121" i="41"/>
  <c r="J121" i="40"/>
  <c r="O121" i="38"/>
  <c r="P121" s="1"/>
  <c r="O68" i="42"/>
  <c r="P68" s="1"/>
  <c r="K68"/>
  <c r="O41" i="40"/>
  <c r="P41" s="1"/>
  <c r="K41"/>
  <c r="O69" i="42"/>
  <c r="P69" s="1"/>
  <c r="H71"/>
  <c r="O71" s="1"/>
  <c r="P71" s="1"/>
  <c r="K115" i="41"/>
  <c r="L115" s="1"/>
  <c r="O115"/>
  <c r="P115" s="1"/>
  <c r="I10" i="40"/>
  <c r="K35"/>
  <c r="L35" s="1"/>
  <c r="K219" i="39"/>
  <c r="L219" s="1"/>
  <c r="O219"/>
  <c r="P219" s="1"/>
  <c r="O190" i="40"/>
  <c r="P190" s="1"/>
  <c r="K190"/>
  <c r="L190" s="1"/>
  <c r="O88" i="42"/>
  <c r="P88" s="1"/>
  <c r="H226"/>
  <c r="O226" s="1"/>
  <c r="P226" s="1"/>
  <c r="H225"/>
  <c r="H87"/>
  <c r="O87" s="1"/>
  <c r="P87" s="1"/>
  <c r="K44"/>
  <c r="O44"/>
  <c r="P44" s="1"/>
  <c r="H95" i="41"/>
  <c r="O95" s="1"/>
  <c r="P95" s="1"/>
  <c r="O96"/>
  <c r="P96" s="1"/>
  <c r="J145" i="42"/>
  <c r="K162"/>
  <c r="L162" s="1"/>
  <c r="K52" i="40"/>
  <c r="O52"/>
  <c r="P52" s="1"/>
  <c r="K174" i="42"/>
  <c r="O174"/>
  <c r="P174" s="1"/>
  <c r="K51" i="41"/>
  <c r="O51"/>
  <c r="P51" s="1"/>
  <c r="J53"/>
  <c r="K111"/>
  <c r="L111" s="1"/>
  <c r="O111"/>
  <c r="P111" s="1"/>
  <c r="K15"/>
  <c r="J17"/>
  <c r="O15"/>
  <c r="P15" s="1"/>
  <c r="K175"/>
  <c r="J119" i="39"/>
  <c r="O120"/>
  <c r="P120" s="1"/>
  <c r="O87" i="36"/>
  <c r="P87" s="1"/>
  <c r="K87"/>
  <c r="L87" s="1"/>
  <c r="O99" i="42"/>
  <c r="P99" s="1"/>
  <c r="K99"/>
  <c r="L99" s="1"/>
  <c r="H166" i="41"/>
  <c r="H163"/>
  <c r="K97" i="35"/>
  <c r="L97" s="1"/>
  <c r="O97"/>
  <c r="P97" s="1"/>
  <c r="O159" i="41"/>
  <c r="P159" s="1"/>
  <c r="H158"/>
  <c r="O158" s="1"/>
  <c r="P158" s="1"/>
  <c r="O7" i="33"/>
  <c r="U8" i="41"/>
  <c r="U8" i="39"/>
  <c r="U8" i="42"/>
  <c r="U8" i="40"/>
  <c r="R8" i="34"/>
  <c r="U8" i="36"/>
  <c r="U8" i="37"/>
  <c r="U8" i="38"/>
  <c r="U8" i="35"/>
  <c r="J205" i="33"/>
  <c r="Q7"/>
  <c r="K8"/>
  <c r="L8" s="1"/>
  <c r="S8"/>
  <c r="K178" i="42"/>
  <c r="L178" s="1"/>
  <c r="O178"/>
  <c r="P178" s="1"/>
  <c r="K191" i="41"/>
  <c r="L191" s="1"/>
  <c r="K178" i="40"/>
  <c r="L178" s="1"/>
  <c r="O178"/>
  <c r="P178" s="1"/>
  <c r="Q146" i="39"/>
  <c r="K146"/>
  <c r="L146" s="1"/>
  <c r="J145"/>
  <c r="K145" s="1"/>
  <c r="L145" s="1"/>
  <c r="O45" i="42"/>
  <c r="P45" s="1"/>
  <c r="H47"/>
  <c r="O47" s="1"/>
  <c r="P47" s="1"/>
  <c r="H93"/>
  <c r="O93" s="1"/>
  <c r="P93" s="1"/>
  <c r="O94"/>
  <c r="P94" s="1"/>
  <c r="O36"/>
  <c r="P36" s="1"/>
  <c r="H35"/>
  <c r="O35" s="1"/>
  <c r="P35" s="1"/>
  <c r="K99" i="41"/>
  <c r="L99" s="1"/>
  <c r="O99"/>
  <c r="P99" s="1"/>
  <c r="K179"/>
  <c r="L179" s="1"/>
  <c r="O179"/>
  <c r="P179" s="1"/>
  <c r="O176"/>
  <c r="P176" s="1"/>
  <c r="H178"/>
  <c r="O178" s="1"/>
  <c r="P178" s="1"/>
  <c r="O192" i="42"/>
  <c r="P192" s="1"/>
  <c r="H190"/>
  <c r="H145" s="1"/>
  <c r="H144" s="1"/>
  <c r="O55" i="41"/>
  <c r="P55" s="1"/>
  <c r="H52"/>
  <c r="K29" i="40"/>
  <c r="O29"/>
  <c r="P29" s="1"/>
  <c r="K10" i="38"/>
  <c r="L10" s="1"/>
  <c r="H51" i="42"/>
  <c r="H56"/>
  <c r="O56" s="1"/>
  <c r="P56" s="1"/>
  <c r="O73" i="40"/>
  <c r="P73" s="1"/>
  <c r="K73"/>
  <c r="J53"/>
  <c r="K51"/>
  <c r="O51"/>
  <c r="P51" s="1"/>
  <c r="K53" i="38"/>
  <c r="O53"/>
  <c r="P53" s="1"/>
  <c r="O99" i="40"/>
  <c r="P99" s="1"/>
  <c r="K99"/>
  <c r="L99" s="1"/>
  <c r="O17"/>
  <c r="P17" s="1"/>
  <c r="K17"/>
  <c r="J120" i="41"/>
  <c r="J120" i="40"/>
  <c r="J120" i="42"/>
  <c r="O120" i="38"/>
  <c r="P120" s="1"/>
  <c r="J119"/>
  <c r="T212" i="42"/>
  <c r="T213" i="41"/>
  <c r="T212" i="40"/>
  <c r="T213" i="39"/>
  <c r="I207" i="33"/>
  <c r="T209" i="36"/>
  <c r="T212" i="38"/>
  <c r="Q205" i="34"/>
  <c r="T207" i="35"/>
  <c r="T211" i="37"/>
  <c r="K194" i="40"/>
  <c r="L194" s="1"/>
  <c r="K29" i="41"/>
  <c r="O31"/>
  <c r="P31" s="1"/>
  <c r="H30"/>
  <c r="O30" s="1"/>
  <c r="P30" s="1"/>
  <c r="O173"/>
  <c r="P173" s="1"/>
  <c r="H175"/>
  <c r="O175" s="1"/>
  <c r="P175" s="1"/>
  <c r="K87"/>
  <c r="L87" s="1"/>
  <c r="H218" i="42"/>
  <c r="O218" s="1"/>
  <c r="P218" s="1"/>
  <c r="O219"/>
  <c r="P219" s="1"/>
  <c r="K111"/>
  <c r="L111" s="1"/>
  <c r="O111"/>
  <c r="P111" s="1"/>
  <c r="J219" i="41"/>
  <c r="K220"/>
  <c r="L220" s="1"/>
  <c r="O220"/>
  <c r="P220" s="1"/>
  <c r="I232" i="40"/>
  <c r="N232" s="1"/>
  <c r="N228"/>
  <c r="O198"/>
  <c r="P198" s="1"/>
  <c r="H194"/>
  <c r="H145" s="1"/>
  <c r="H144" s="1"/>
  <c r="I121" i="37"/>
  <c r="K121" i="36"/>
  <c r="L121" s="1"/>
  <c r="K20" i="40"/>
  <c r="O20"/>
  <c r="P20" s="1"/>
  <c r="O174"/>
  <c r="P174" s="1"/>
  <c r="O177" i="42"/>
  <c r="P177" s="1"/>
  <c r="J37"/>
  <c r="K195" i="41"/>
  <c r="L195" s="1"/>
  <c r="O28" i="42"/>
  <c r="P28" s="1"/>
  <c r="O65" i="41"/>
  <c r="P65" s="1"/>
  <c r="J37"/>
  <c r="O54" i="42"/>
  <c r="P54" s="1"/>
  <c r="O57" i="41"/>
  <c r="P57" s="1"/>
  <c r="O162" i="40"/>
  <c r="P162" s="1"/>
  <c r="H145" i="39"/>
  <c r="O146"/>
  <c r="P146" s="1"/>
  <c r="I144" i="38"/>
  <c r="H138"/>
  <c r="O138" i="37"/>
  <c r="P138" s="1"/>
  <c r="H145" i="38"/>
  <c r="O190"/>
  <c r="P190" s="1"/>
  <c r="H143" i="37"/>
  <c r="K206" i="31"/>
  <c r="L206" s="1"/>
  <c r="R206" i="33"/>
  <c r="J206" i="32"/>
  <c r="J206" i="33" s="1"/>
  <c r="S206" i="32"/>
  <c r="J207" i="31"/>
  <c r="I228" i="42" l="1"/>
  <c r="N228" s="1"/>
  <c r="O225"/>
  <c r="P225" s="1"/>
  <c r="U214" i="41"/>
  <c r="U213" i="42"/>
  <c r="U214" i="39"/>
  <c r="O138" i="38"/>
  <c r="P138" s="1"/>
  <c r="H138" i="42"/>
  <c r="O138" s="1"/>
  <c r="P138" s="1"/>
  <c r="H138" i="40"/>
  <c r="O37" i="41"/>
  <c r="P37" s="1"/>
  <c r="O119" i="39"/>
  <c r="P119" s="1"/>
  <c r="K119"/>
  <c r="L119" s="1"/>
  <c r="O20" i="41"/>
  <c r="P20" s="1"/>
  <c r="K20"/>
  <c r="J125" i="38"/>
  <c r="J110" s="1"/>
  <c r="J125" i="39"/>
  <c r="O125" i="37"/>
  <c r="P125" s="1"/>
  <c r="K125"/>
  <c r="L125" s="1"/>
  <c r="J88" i="39"/>
  <c r="K98"/>
  <c r="L98" s="1"/>
  <c r="O98"/>
  <c r="P98" s="1"/>
  <c r="J119" i="40"/>
  <c r="O120"/>
  <c r="P120" s="1"/>
  <c r="K8" i="34"/>
  <c r="L8" s="1"/>
  <c r="S8"/>
  <c r="O7"/>
  <c r="Q7"/>
  <c r="J205"/>
  <c r="K205" s="1"/>
  <c r="L205" s="1"/>
  <c r="H191" i="41"/>
  <c r="O191" s="1"/>
  <c r="P191" s="1"/>
  <c r="O193"/>
  <c r="P193" s="1"/>
  <c r="J141" i="36"/>
  <c r="K142"/>
  <c r="L142" s="1"/>
  <c r="O142"/>
  <c r="P142" s="1"/>
  <c r="K50"/>
  <c r="O50"/>
  <c r="P50" s="1"/>
  <c r="K140" i="35"/>
  <c r="L140" s="1"/>
  <c r="O140"/>
  <c r="P140" s="1"/>
  <c r="I233" i="41"/>
  <c r="N233" s="1"/>
  <c r="N229"/>
  <c r="K10" i="40"/>
  <c r="L10" s="1"/>
  <c r="J9"/>
  <c r="O10"/>
  <c r="P10" s="1"/>
  <c r="Q209" i="33"/>
  <c r="K209" i="32"/>
  <c r="L209" s="1"/>
  <c r="J98" i="42"/>
  <c r="J98" i="40"/>
  <c r="J98" i="41"/>
  <c r="O98" i="38"/>
  <c r="P98" s="1"/>
  <c r="K98"/>
  <c r="L98" s="1"/>
  <c r="K97" i="36"/>
  <c r="L97" s="1"/>
  <c r="O97"/>
  <c r="P97" s="1"/>
  <c r="O219" i="41"/>
  <c r="P219" s="1"/>
  <c r="K219"/>
  <c r="L219" s="1"/>
  <c r="T214" i="42"/>
  <c r="T215" i="41"/>
  <c r="T214" i="40"/>
  <c r="T215" i="39"/>
  <c r="Q207" i="34"/>
  <c r="T209" i="35"/>
  <c r="T211" i="36"/>
  <c r="T214" i="38"/>
  <c r="T213" i="37"/>
  <c r="I213" i="33"/>
  <c r="I209"/>
  <c r="J119" i="42"/>
  <c r="O120"/>
  <c r="P120" s="1"/>
  <c r="U213" i="41"/>
  <c r="U212" i="42"/>
  <c r="U213" i="39"/>
  <c r="U212" i="40"/>
  <c r="K205" i="33"/>
  <c r="L205" s="1"/>
  <c r="U211" i="37"/>
  <c r="U212" i="38"/>
  <c r="U209" i="36"/>
  <c r="R205" i="34"/>
  <c r="U207" i="35"/>
  <c r="O121" i="40"/>
  <c r="P121" s="1"/>
  <c r="I217" i="36"/>
  <c r="I213"/>
  <c r="J182" i="38"/>
  <c r="O181" i="37"/>
  <c r="P181" s="1"/>
  <c r="K181"/>
  <c r="L181" s="1"/>
  <c r="J144"/>
  <c r="K9" i="35"/>
  <c r="L9" s="1"/>
  <c r="J8"/>
  <c r="J144" i="40"/>
  <c r="K145"/>
  <c r="L145" s="1"/>
  <c r="O145"/>
  <c r="P145" s="1"/>
  <c r="O72" i="38"/>
  <c r="P72" s="1"/>
  <c r="K72"/>
  <c r="L72" s="1"/>
  <c r="K20" i="42"/>
  <c r="O20"/>
  <c r="P20" s="1"/>
  <c r="K87" i="37"/>
  <c r="L87" s="1"/>
  <c r="O87"/>
  <c r="P87" s="1"/>
  <c r="O41" i="41"/>
  <c r="P41" s="1"/>
  <c r="V8" i="35"/>
  <c r="H10" i="41"/>
  <c r="H9" s="1"/>
  <c r="H8" s="1"/>
  <c r="O190" i="42"/>
  <c r="P190" s="1"/>
  <c r="H10"/>
  <c r="O10" s="1"/>
  <c r="P10" s="1"/>
  <c r="O166" i="41"/>
  <c r="P166" s="1"/>
  <c r="H212" i="40"/>
  <c r="H214" s="1"/>
  <c r="H220" s="1"/>
  <c r="O218"/>
  <c r="P218" s="1"/>
  <c r="J146" i="41"/>
  <c r="J119"/>
  <c r="O120"/>
  <c r="P120" s="1"/>
  <c r="O17"/>
  <c r="P17" s="1"/>
  <c r="K17"/>
  <c r="K53" i="42"/>
  <c r="I121" i="39"/>
  <c r="K121" s="1"/>
  <c r="L121" s="1"/>
  <c r="I121" i="38"/>
  <c r="K121" i="37"/>
  <c r="L121" s="1"/>
  <c r="K119" i="38"/>
  <c r="L119" s="1"/>
  <c r="O119"/>
  <c r="P119" s="1"/>
  <c r="O121" i="41"/>
  <c r="P121" s="1"/>
  <c r="I37" i="38"/>
  <c r="I37" i="39"/>
  <c r="I9" i="37"/>
  <c r="I8" s="1"/>
  <c r="I211" s="1"/>
  <c r="I213" s="1"/>
  <c r="J10" i="41"/>
  <c r="O11"/>
  <c r="P11" s="1"/>
  <c r="K11"/>
  <c r="L11" s="1"/>
  <c r="O53" i="40"/>
  <c r="P53" s="1"/>
  <c r="K53"/>
  <c r="K53" i="41"/>
  <c r="J144" i="42"/>
  <c r="K145"/>
  <c r="L145" s="1"/>
  <c r="O145"/>
  <c r="P145" s="1"/>
  <c r="O199" i="41"/>
  <c r="P199" s="1"/>
  <c r="H195"/>
  <c r="O195" s="1"/>
  <c r="P195" s="1"/>
  <c r="O9" i="39"/>
  <c r="P9" s="1"/>
  <c r="K10" i="42"/>
  <c r="L10" s="1"/>
  <c r="J9"/>
  <c r="K14" i="41"/>
  <c r="O14"/>
  <c r="P14" s="1"/>
  <c r="O37" i="36"/>
  <c r="P37" s="1"/>
  <c r="K37"/>
  <c r="L37" s="1"/>
  <c r="J9"/>
  <c r="J48" i="38"/>
  <c r="K48" i="37"/>
  <c r="J50"/>
  <c r="O48"/>
  <c r="P48" s="1"/>
  <c r="J37"/>
  <c r="J109" i="38"/>
  <c r="K109" i="37"/>
  <c r="L109" s="1"/>
  <c r="O109"/>
  <c r="P109" s="1"/>
  <c r="H139" i="41"/>
  <c r="O139" s="1"/>
  <c r="P139" s="1"/>
  <c r="O139" i="40"/>
  <c r="P139" s="1"/>
  <c r="J226" i="38"/>
  <c r="J225"/>
  <c r="J87"/>
  <c r="O88"/>
  <c r="P88" s="1"/>
  <c r="R88"/>
  <c r="K88"/>
  <c r="L88" s="1"/>
  <c r="K213" i="32"/>
  <c r="L213" s="1"/>
  <c r="Q213" i="33"/>
  <c r="I120" i="37"/>
  <c r="K120" i="36"/>
  <c r="L120" s="1"/>
  <c r="O194" i="40"/>
  <c r="P194" s="1"/>
  <c r="H53" i="42"/>
  <c r="O53" s="1"/>
  <c r="P53" s="1"/>
  <c r="O163" i="41"/>
  <c r="P163" s="1"/>
  <c r="J110" i="37"/>
  <c r="H53" i="41"/>
  <c r="O53" s="1"/>
  <c r="P53" s="1"/>
  <c r="H37" i="42"/>
  <c r="O37" s="1"/>
  <c r="P37" s="1"/>
  <c r="O51"/>
  <c r="P51" s="1"/>
  <c r="H213" i="39"/>
  <c r="O145"/>
  <c r="P145" s="1"/>
  <c r="R206" i="34"/>
  <c r="U210" i="36"/>
  <c r="J206" i="34"/>
  <c r="U212" i="37"/>
  <c r="U213" i="38"/>
  <c r="U208" i="35"/>
  <c r="H211" i="37"/>
  <c r="H144" i="38"/>
  <c r="K207" i="31"/>
  <c r="L207" s="1"/>
  <c r="R207" i="33"/>
  <c r="S207" i="32"/>
  <c r="J207" i="33"/>
  <c r="K206"/>
  <c r="L206" s="1"/>
  <c r="J207" i="32"/>
  <c r="K207" s="1"/>
  <c r="L207" s="1"/>
  <c r="K206"/>
  <c r="L206" s="1"/>
  <c r="H14" i="35"/>
  <c r="O14" s="1"/>
  <c r="P14" s="1"/>
  <c r="H11"/>
  <c r="I232" i="42" l="1"/>
  <c r="N232" s="1"/>
  <c r="K110" i="38"/>
  <c r="L110" s="1"/>
  <c r="O110"/>
  <c r="P110" s="1"/>
  <c r="K87"/>
  <c r="L87" s="1"/>
  <c r="O87"/>
  <c r="P87" s="1"/>
  <c r="K37" i="37"/>
  <c r="L37" s="1"/>
  <c r="O37"/>
  <c r="P37" s="1"/>
  <c r="J9"/>
  <c r="I219"/>
  <c r="I215"/>
  <c r="K119" i="41"/>
  <c r="L119" s="1"/>
  <c r="O119"/>
  <c r="P119" s="1"/>
  <c r="O98"/>
  <c r="P98" s="1"/>
  <c r="K98"/>
  <c r="L98" s="1"/>
  <c r="R88"/>
  <c r="K141" i="36"/>
  <c r="L141" s="1"/>
  <c r="O141"/>
  <c r="P141" s="1"/>
  <c r="K88" i="39"/>
  <c r="L88" s="1"/>
  <c r="J227"/>
  <c r="J226"/>
  <c r="J87"/>
  <c r="R88"/>
  <c r="O88"/>
  <c r="P88" s="1"/>
  <c r="H138" i="41"/>
  <c r="O138" s="1"/>
  <c r="P138" s="1"/>
  <c r="O138" i="40"/>
  <c r="P138" s="1"/>
  <c r="H10" i="35"/>
  <c r="O11"/>
  <c r="P11" s="1"/>
  <c r="O109" i="38"/>
  <c r="P109" s="1"/>
  <c r="K109"/>
  <c r="L109" s="1"/>
  <c r="R7" i="35"/>
  <c r="T7"/>
  <c r="K8"/>
  <c r="L8" s="1"/>
  <c r="J207"/>
  <c r="K207" s="1"/>
  <c r="L207" s="1"/>
  <c r="K110" i="37"/>
  <c r="L110" s="1"/>
  <c r="O110"/>
  <c r="P110" s="1"/>
  <c r="J97"/>
  <c r="J8" i="36"/>
  <c r="K9"/>
  <c r="L9" s="1"/>
  <c r="O9"/>
  <c r="P9" s="1"/>
  <c r="K37" i="39"/>
  <c r="L37" s="1"/>
  <c r="I9"/>
  <c r="I121" i="40"/>
  <c r="K121" s="1"/>
  <c r="L121" s="1"/>
  <c r="I121" i="41"/>
  <c r="K121" s="1"/>
  <c r="L121" s="1"/>
  <c r="I121" i="42"/>
  <c r="K121" s="1"/>
  <c r="L121" s="1"/>
  <c r="K121" i="38"/>
  <c r="L121" s="1"/>
  <c r="K182"/>
  <c r="L182" s="1"/>
  <c r="O182"/>
  <c r="P182" s="1"/>
  <c r="J145"/>
  <c r="K119" i="42"/>
  <c r="L119" s="1"/>
  <c r="O119"/>
  <c r="P119" s="1"/>
  <c r="K98" i="40"/>
  <c r="L98" s="1"/>
  <c r="O98"/>
  <c r="P98" s="1"/>
  <c r="R88"/>
  <c r="J97"/>
  <c r="J8" s="1"/>
  <c r="H146" i="41"/>
  <c r="H145" s="1"/>
  <c r="J97" i="38"/>
  <c r="K48"/>
  <c r="J50"/>
  <c r="O48"/>
  <c r="P48" s="1"/>
  <c r="J37"/>
  <c r="K144" i="42"/>
  <c r="L144" s="1"/>
  <c r="O144"/>
  <c r="P144" s="1"/>
  <c r="J110" i="40"/>
  <c r="O119"/>
  <c r="P119" s="1"/>
  <c r="K119"/>
  <c r="L119" s="1"/>
  <c r="J125" i="42"/>
  <c r="J125" i="41"/>
  <c r="J125" i="40"/>
  <c r="O125" i="38"/>
  <c r="P125" s="1"/>
  <c r="K125"/>
  <c r="L125" s="1"/>
  <c r="J9" i="41"/>
  <c r="K10"/>
  <c r="L10" s="1"/>
  <c r="O10"/>
  <c r="P10" s="1"/>
  <c r="J145"/>
  <c r="K145" s="1"/>
  <c r="L145" s="1"/>
  <c r="K146"/>
  <c r="L146" s="1"/>
  <c r="T220" i="42"/>
  <c r="T221" i="41"/>
  <c r="T220" i="40"/>
  <c r="T221" i="39"/>
  <c r="Q213" i="34"/>
  <c r="T215" i="35"/>
  <c r="T219" i="37"/>
  <c r="T217" i="36"/>
  <c r="T220" i="38"/>
  <c r="O125" i="39"/>
  <c r="P125" s="1"/>
  <c r="K125"/>
  <c r="L125" s="1"/>
  <c r="I120"/>
  <c r="K120" s="1"/>
  <c r="L120" s="1"/>
  <c r="I120" i="38"/>
  <c r="K120" i="37"/>
  <c r="L120" s="1"/>
  <c r="K50"/>
  <c r="O50"/>
  <c r="P50" s="1"/>
  <c r="I37" i="41"/>
  <c r="I37" i="42"/>
  <c r="I37" i="40"/>
  <c r="I9" i="38"/>
  <c r="I8" s="1"/>
  <c r="I212" s="1"/>
  <c r="K144" i="40"/>
  <c r="L144" s="1"/>
  <c r="O144"/>
  <c r="P144" s="1"/>
  <c r="J143" i="37"/>
  <c r="K144"/>
  <c r="L144" s="1"/>
  <c r="O144"/>
  <c r="P144" s="1"/>
  <c r="T216" i="42"/>
  <c r="T217" i="41"/>
  <c r="T216" i="40"/>
  <c r="T217" i="39"/>
  <c r="T213" i="36"/>
  <c r="T216" i="38"/>
  <c r="Q209" i="34"/>
  <c r="T211" i="35"/>
  <c r="T215" i="37"/>
  <c r="R88" i="42"/>
  <c r="O98"/>
  <c r="P98" s="1"/>
  <c r="K98"/>
  <c r="L98" s="1"/>
  <c r="J97"/>
  <c r="O9" i="40"/>
  <c r="P9" s="1"/>
  <c r="H9" i="42"/>
  <c r="H8" s="1"/>
  <c r="H212" s="1"/>
  <c r="H214" s="1"/>
  <c r="H220" s="1"/>
  <c r="J110" i="39"/>
  <c r="U215" i="41"/>
  <c r="U215" i="39"/>
  <c r="U214" i="42"/>
  <c r="H215" i="39"/>
  <c r="H221" s="1"/>
  <c r="I214" i="38"/>
  <c r="H213" i="37"/>
  <c r="H219" s="1"/>
  <c r="K206" i="34"/>
  <c r="L206" s="1"/>
  <c r="J208" i="35"/>
  <c r="J207" i="34"/>
  <c r="K207" i="33"/>
  <c r="L207" s="1"/>
  <c r="J213"/>
  <c r="R207" i="34"/>
  <c r="U214" i="38"/>
  <c r="U211" i="36"/>
  <c r="U213" i="37"/>
  <c r="U209" i="35"/>
  <c r="T7" i="40" l="1"/>
  <c r="R7"/>
  <c r="O8"/>
  <c r="P8" s="1"/>
  <c r="V8"/>
  <c r="J212"/>
  <c r="O97" i="42"/>
  <c r="P97" s="1"/>
  <c r="K97"/>
  <c r="L97" s="1"/>
  <c r="K37" i="40"/>
  <c r="L37" s="1"/>
  <c r="I9"/>
  <c r="J210" i="36"/>
  <c r="J212" i="37" s="1"/>
  <c r="K110" i="39"/>
  <c r="L110" s="1"/>
  <c r="O110"/>
  <c r="P110" s="1"/>
  <c r="J97"/>
  <c r="K143" i="37"/>
  <c r="L143" s="1"/>
  <c r="O143"/>
  <c r="P143" s="1"/>
  <c r="O9" i="41"/>
  <c r="P9" s="1"/>
  <c r="O125"/>
  <c r="P125" s="1"/>
  <c r="K125"/>
  <c r="L125" s="1"/>
  <c r="O110" i="40"/>
  <c r="P110" s="1"/>
  <c r="K110"/>
  <c r="L110" s="1"/>
  <c r="J144" i="38"/>
  <c r="K145"/>
  <c r="L145" s="1"/>
  <c r="O145"/>
  <c r="P145" s="1"/>
  <c r="K97" i="37"/>
  <c r="L97" s="1"/>
  <c r="O97"/>
  <c r="P97" s="1"/>
  <c r="O87" i="39"/>
  <c r="P87" s="1"/>
  <c r="K87"/>
  <c r="L87" s="1"/>
  <c r="J8"/>
  <c r="K37" i="41"/>
  <c r="L37" s="1"/>
  <c r="I9"/>
  <c r="I8" s="1"/>
  <c r="I213" s="1"/>
  <c r="I215" s="1"/>
  <c r="K125" i="40"/>
  <c r="L125" s="1"/>
  <c r="O125"/>
  <c r="P125" s="1"/>
  <c r="K37" i="38"/>
  <c r="L37" s="1"/>
  <c r="O37"/>
  <c r="P37" s="1"/>
  <c r="J9"/>
  <c r="K97"/>
  <c r="L97" s="1"/>
  <c r="O97"/>
  <c r="P97" s="1"/>
  <c r="I8" i="39"/>
  <c r="I213" s="1"/>
  <c r="I215" s="1"/>
  <c r="K9"/>
  <c r="L9" s="1"/>
  <c r="V8" i="36"/>
  <c r="K8"/>
  <c r="L8" s="1"/>
  <c r="R7"/>
  <c r="O8"/>
  <c r="P8" s="1"/>
  <c r="T7"/>
  <c r="J209"/>
  <c r="H9" i="35"/>
  <c r="O10"/>
  <c r="P10" s="1"/>
  <c r="K9" i="37"/>
  <c r="L9" s="1"/>
  <c r="O9"/>
  <c r="P9" s="1"/>
  <c r="J8"/>
  <c r="O9" i="42"/>
  <c r="P9" s="1"/>
  <c r="O145" i="41"/>
  <c r="P145" s="1"/>
  <c r="H213"/>
  <c r="O146"/>
  <c r="P146" s="1"/>
  <c r="O125" i="42"/>
  <c r="P125" s="1"/>
  <c r="K125"/>
  <c r="L125" s="1"/>
  <c r="K50" i="38"/>
  <c r="O50"/>
  <c r="P50" s="1"/>
  <c r="K37" i="42"/>
  <c r="L37" s="1"/>
  <c r="I9"/>
  <c r="I120" i="40"/>
  <c r="K120" s="1"/>
  <c r="L120" s="1"/>
  <c r="I120" i="42"/>
  <c r="K120" s="1"/>
  <c r="L120" s="1"/>
  <c r="I120" i="41"/>
  <c r="K120" s="1"/>
  <c r="L120" s="1"/>
  <c r="K120" i="38"/>
  <c r="L120" s="1"/>
  <c r="O97" i="40"/>
  <c r="P97" s="1"/>
  <c r="K97"/>
  <c r="L97" s="1"/>
  <c r="J8" i="42"/>
  <c r="J110" i="41"/>
  <c r="U221"/>
  <c r="U220" i="42"/>
  <c r="U221" i="39"/>
  <c r="I220" i="38"/>
  <c r="I216"/>
  <c r="O208" i="35"/>
  <c r="P208" s="1"/>
  <c r="K208"/>
  <c r="L208" s="1"/>
  <c r="J209"/>
  <c r="U219" i="37"/>
  <c r="U220" i="38"/>
  <c r="U217" i="36"/>
  <c r="U215" i="35"/>
  <c r="R213" i="34"/>
  <c r="J209" i="33"/>
  <c r="K213"/>
  <c r="L213" s="1"/>
  <c r="J213" i="34"/>
  <c r="K207"/>
  <c r="L207" s="1"/>
  <c r="O19" i="38"/>
  <c r="P19" s="1"/>
  <c r="O18"/>
  <c r="P18" s="1"/>
  <c r="H20"/>
  <c r="O20" s="1"/>
  <c r="P20" s="1"/>
  <c r="O16"/>
  <c r="P16" s="1"/>
  <c r="H17"/>
  <c r="O17" s="1"/>
  <c r="P17" s="1"/>
  <c r="O15"/>
  <c r="P15" s="1"/>
  <c r="O13"/>
  <c r="P13" s="1"/>
  <c r="O12"/>
  <c r="P12" s="1"/>
  <c r="H14"/>
  <c r="O14" s="1"/>
  <c r="P14" s="1"/>
  <c r="H11"/>
  <c r="O11" s="1"/>
  <c r="P11" s="1"/>
  <c r="J213" l="1"/>
  <c r="J213" i="42" s="1"/>
  <c r="J214" i="39"/>
  <c r="R7" i="37"/>
  <c r="O8"/>
  <c r="P8" s="1"/>
  <c r="K8"/>
  <c r="L8" s="1"/>
  <c r="V8"/>
  <c r="T7"/>
  <c r="J211"/>
  <c r="H8" i="35"/>
  <c r="O9"/>
  <c r="P9" s="1"/>
  <c r="I221" i="39"/>
  <c r="I217"/>
  <c r="I221" i="41"/>
  <c r="I217"/>
  <c r="O8" i="42"/>
  <c r="P8" s="1"/>
  <c r="T7"/>
  <c r="R7"/>
  <c r="J212"/>
  <c r="V8"/>
  <c r="K9" i="38"/>
  <c r="L9" s="1"/>
  <c r="J8"/>
  <c r="I8" i="40"/>
  <c r="K9"/>
  <c r="L9" s="1"/>
  <c r="O212"/>
  <c r="P212" s="1"/>
  <c r="O110" i="41"/>
  <c r="P110" s="1"/>
  <c r="K110"/>
  <c r="L110" s="1"/>
  <c r="J97"/>
  <c r="I8" i="42"/>
  <c r="I212" s="1"/>
  <c r="I214" s="1"/>
  <c r="K9"/>
  <c r="L9" s="1"/>
  <c r="O8" i="39"/>
  <c r="P8" s="1"/>
  <c r="T7"/>
  <c r="K8"/>
  <c r="L8" s="1"/>
  <c r="R7"/>
  <c r="J213"/>
  <c r="V8"/>
  <c r="O97"/>
  <c r="P97" s="1"/>
  <c r="K97"/>
  <c r="L97" s="1"/>
  <c r="K9" i="41"/>
  <c r="L9" s="1"/>
  <c r="H215"/>
  <c r="H221" s="1"/>
  <c r="K209" i="36"/>
  <c r="L209" s="1"/>
  <c r="O209"/>
  <c r="P209" s="1"/>
  <c r="K144" i="38"/>
  <c r="L144" s="1"/>
  <c r="O144"/>
  <c r="P144" s="1"/>
  <c r="O214" i="39"/>
  <c r="P214" s="1"/>
  <c r="K214"/>
  <c r="L214" s="1"/>
  <c r="U217" i="41"/>
  <c r="U216" i="42"/>
  <c r="U217" i="39"/>
  <c r="J213" i="40"/>
  <c r="U215" i="37"/>
  <c r="R209" i="34"/>
  <c r="U216" i="38"/>
  <c r="U213" i="36"/>
  <c r="U211" i="35"/>
  <c r="K209" i="33"/>
  <c r="L209" s="1"/>
  <c r="O210" i="36"/>
  <c r="P210" s="1"/>
  <c r="K210"/>
  <c r="L210" s="1"/>
  <c r="J211"/>
  <c r="K213" i="34"/>
  <c r="L213" s="1"/>
  <c r="J209"/>
  <c r="K209" s="1"/>
  <c r="L209" s="1"/>
  <c r="K209" i="35"/>
  <c r="L209" s="1"/>
  <c r="J215"/>
  <c r="H10" i="38"/>
  <c r="O10" s="1"/>
  <c r="P10" s="1"/>
  <c r="K213" i="39" l="1"/>
  <c r="L213" s="1"/>
  <c r="O213"/>
  <c r="P213" s="1"/>
  <c r="K211" i="37"/>
  <c r="L211" s="1"/>
  <c r="O211"/>
  <c r="P211" s="1"/>
  <c r="J8" i="41"/>
  <c r="K97"/>
  <c r="L97" s="1"/>
  <c r="O97"/>
  <c r="P97" s="1"/>
  <c r="H207" i="35"/>
  <c r="O8"/>
  <c r="P8" s="1"/>
  <c r="I216" i="42"/>
  <c r="I220"/>
  <c r="R7" i="38"/>
  <c r="T7"/>
  <c r="K8"/>
  <c r="L8" s="1"/>
  <c r="V8"/>
  <c r="J212"/>
  <c r="K212" s="1"/>
  <c r="L212" s="1"/>
  <c r="I212" i="40"/>
  <c r="K8"/>
  <c r="L8" s="1"/>
  <c r="K212" i="42"/>
  <c r="L212" s="1"/>
  <c r="O212"/>
  <c r="P212" s="1"/>
  <c r="J214" i="41"/>
  <c r="K214" s="1"/>
  <c r="L214" s="1"/>
  <c r="K8" i="42"/>
  <c r="L8" s="1"/>
  <c r="J215" i="39"/>
  <c r="O214" i="41"/>
  <c r="P214" s="1"/>
  <c r="J214" i="42"/>
  <c r="O213"/>
  <c r="P213" s="1"/>
  <c r="K213"/>
  <c r="L213" s="1"/>
  <c r="J221" i="39"/>
  <c r="K215"/>
  <c r="L215" s="1"/>
  <c r="O215"/>
  <c r="P215" s="1"/>
  <c r="J211" i="35"/>
  <c r="K215"/>
  <c r="L215" s="1"/>
  <c r="J217" i="36"/>
  <c r="O211"/>
  <c r="P211" s="1"/>
  <c r="K211"/>
  <c r="L211" s="1"/>
  <c r="K213" i="38"/>
  <c r="L213" s="1"/>
  <c r="O213"/>
  <c r="P213" s="1"/>
  <c r="O212" i="37"/>
  <c r="P212" s="1"/>
  <c r="K212"/>
  <c r="L212" s="1"/>
  <c r="J213"/>
  <c r="H9" i="38"/>
  <c r="O9" s="1"/>
  <c r="P9" s="1"/>
  <c r="O207" i="35" l="1"/>
  <c r="P207" s="1"/>
  <c r="H209"/>
  <c r="I214" i="40"/>
  <c r="K212"/>
  <c r="L212" s="1"/>
  <c r="O8" i="41"/>
  <c r="P8" s="1"/>
  <c r="T7"/>
  <c r="K8"/>
  <c r="L8" s="1"/>
  <c r="R7"/>
  <c r="J213"/>
  <c r="V8"/>
  <c r="J214" i="38"/>
  <c r="J217" i="39"/>
  <c r="K221"/>
  <c r="L221" s="1"/>
  <c r="O221"/>
  <c r="P221" s="1"/>
  <c r="K214" i="42"/>
  <c r="L214" s="1"/>
  <c r="J220"/>
  <c r="O214"/>
  <c r="P214" s="1"/>
  <c r="K211" i="35"/>
  <c r="L211" s="1"/>
  <c r="O211"/>
  <c r="P211" s="1"/>
  <c r="K214" i="38"/>
  <c r="L214" s="1"/>
  <c r="J220"/>
  <c r="O213" i="37"/>
  <c r="P213" s="1"/>
  <c r="K213"/>
  <c r="L213" s="1"/>
  <c r="J219"/>
  <c r="J213" i="36"/>
  <c r="K217"/>
  <c r="L217" s="1"/>
  <c r="O217"/>
  <c r="P217" s="1"/>
  <c r="H8" i="38"/>
  <c r="H212" s="1"/>
  <c r="K213" i="41" l="1"/>
  <c r="L213" s="1"/>
  <c r="O213"/>
  <c r="P213" s="1"/>
  <c r="J215"/>
  <c r="H215" i="35"/>
  <c r="O215" s="1"/>
  <c r="P215" s="1"/>
  <c r="O209"/>
  <c r="P209" s="1"/>
  <c r="I220" i="40"/>
  <c r="I216"/>
  <c r="J216" i="42"/>
  <c r="O220"/>
  <c r="P220" s="1"/>
  <c r="K220"/>
  <c r="L220" s="1"/>
  <c r="O217" i="39"/>
  <c r="P217" s="1"/>
  <c r="K217"/>
  <c r="L217" s="1"/>
  <c r="O219" i="37"/>
  <c r="P219" s="1"/>
  <c r="J215"/>
  <c r="K219"/>
  <c r="L219" s="1"/>
  <c r="O213" i="36"/>
  <c r="P213" s="1"/>
  <c r="K213"/>
  <c r="L213" s="1"/>
  <c r="K220" i="38"/>
  <c r="L220" s="1"/>
  <c r="J216"/>
  <c r="O8"/>
  <c r="P8" s="1"/>
  <c r="O212"/>
  <c r="P212" s="1"/>
  <c r="H214"/>
  <c r="O215" i="41" l="1"/>
  <c r="P215" s="1"/>
  <c r="J221"/>
  <c r="K215"/>
  <c r="L215" s="1"/>
  <c r="K216" i="42"/>
  <c r="L216" s="1"/>
  <c r="O216"/>
  <c r="P216" s="1"/>
  <c r="O216" i="38"/>
  <c r="P216" s="1"/>
  <c r="K216"/>
  <c r="L216" s="1"/>
  <c r="O215" i="37"/>
  <c r="P215" s="1"/>
  <c r="K215"/>
  <c r="L215" s="1"/>
  <c r="O214" i="38"/>
  <c r="P214" s="1"/>
  <c r="H220"/>
  <c r="O220" s="1"/>
  <c r="P220" s="1"/>
  <c r="G216" i="40"/>
  <c r="U216"/>
  <c r="F220"/>
  <c r="U220" s="1"/>
  <c r="U213"/>
  <c r="K221" i="41" l="1"/>
  <c r="L221" s="1"/>
  <c r="J217"/>
  <c r="O221"/>
  <c r="P221" s="1"/>
  <c r="G220" i="40"/>
  <c r="G213"/>
  <c r="K217" i="41" l="1"/>
  <c r="L217" s="1"/>
  <c r="O217"/>
  <c r="P217" s="1"/>
  <c r="U214" i="40"/>
  <c r="G214"/>
  <c r="K213"/>
  <c r="L213" s="1"/>
  <c r="J214"/>
  <c r="O213"/>
  <c r="P213" s="1"/>
  <c r="O214" l="1"/>
  <c r="P214" s="1"/>
  <c r="J220"/>
  <c r="K214"/>
  <c r="L214" s="1"/>
  <c r="K220" l="1"/>
  <c r="L220" s="1"/>
  <c r="O220"/>
  <c r="P220" s="1"/>
  <c r="J216"/>
  <c r="O216" l="1"/>
  <c r="P216" s="1"/>
  <c r="K216"/>
  <c r="L216" s="1"/>
</calcChain>
</file>

<file path=xl/sharedStrings.xml><?xml version="1.0" encoding="utf-8"?>
<sst xmlns="http://schemas.openxmlformats.org/spreadsheetml/2006/main" count="7794" uniqueCount="357">
  <si>
    <t>№ п/п</t>
  </si>
  <si>
    <t>Наименование</t>
  </si>
  <si>
    <t>I.</t>
  </si>
  <si>
    <t>Затраты на производство и представление услуг-всего</t>
  </si>
  <si>
    <t>тыс.тенге</t>
  </si>
  <si>
    <t>1.</t>
  </si>
  <si>
    <t>Материальные затраты-всего</t>
  </si>
  <si>
    <t>1.1.</t>
  </si>
  <si>
    <t>Сырьё и материалы, всего</t>
  </si>
  <si>
    <t>1.1.1.</t>
  </si>
  <si>
    <t>химические реагенты</t>
  </si>
  <si>
    <t>1.1.1.1.</t>
  </si>
  <si>
    <t>хлор жидкий</t>
  </si>
  <si>
    <t>объем</t>
  </si>
  <si>
    <t>кг.</t>
  </si>
  <si>
    <t>цена</t>
  </si>
  <si>
    <t>тенге</t>
  </si>
  <si>
    <t>1.1.1.2.</t>
  </si>
  <si>
    <t>коагулянт Бопак Е</t>
  </si>
  <si>
    <t>1.1.1.3.</t>
  </si>
  <si>
    <t>гипохлорит кальция</t>
  </si>
  <si>
    <t>1.1.1.4.</t>
  </si>
  <si>
    <t xml:space="preserve">гипохлорит натрия </t>
  </si>
  <si>
    <t>1.1.1.5.</t>
  </si>
  <si>
    <t>ингибитор отложения минеральных солей</t>
  </si>
  <si>
    <t>полиакриламид</t>
  </si>
  <si>
    <t>1.1.2</t>
  </si>
  <si>
    <t>прочие материалы, всего</t>
  </si>
  <si>
    <t>1.1.2.1</t>
  </si>
  <si>
    <t>материалы на ремонтно-эксплуатационные нужды</t>
  </si>
  <si>
    <t>1.1.2.2</t>
  </si>
  <si>
    <t>материалы на ремонтно-эксплуатационные нужды электрооборудования</t>
  </si>
  <si>
    <t>1.1.2.3</t>
  </si>
  <si>
    <t>реактивы</t>
  </si>
  <si>
    <t>1.1.2.4</t>
  </si>
  <si>
    <t>лабораторная  посуда и материалы</t>
  </si>
  <si>
    <t>1.1.3</t>
  </si>
  <si>
    <t>запасные части</t>
  </si>
  <si>
    <t>1.1.3.1.</t>
  </si>
  <si>
    <t>на механизмы и автотранспорт</t>
  </si>
  <si>
    <t>1.2</t>
  </si>
  <si>
    <t>топливо, всего</t>
  </si>
  <si>
    <t>1.2.1</t>
  </si>
  <si>
    <t>уголь</t>
  </si>
  <si>
    <t>тонн</t>
  </si>
  <si>
    <t>1.2.2</t>
  </si>
  <si>
    <t>бензин</t>
  </si>
  <si>
    <t xml:space="preserve">АИ -80  </t>
  </si>
  <si>
    <t xml:space="preserve"> объем</t>
  </si>
  <si>
    <t>л</t>
  </si>
  <si>
    <t>АИ- 92</t>
  </si>
  <si>
    <t xml:space="preserve">   объем</t>
  </si>
  <si>
    <t>1.2.3</t>
  </si>
  <si>
    <t>дизтопливо</t>
  </si>
  <si>
    <t>1.2.4</t>
  </si>
  <si>
    <t>масла и смазки</t>
  </si>
  <si>
    <t>автол М-8</t>
  </si>
  <si>
    <t>масло гидравлическое</t>
  </si>
  <si>
    <t>масло дизельное</t>
  </si>
  <si>
    <t>специальные масла</t>
  </si>
  <si>
    <t>пластичные смазки (литол)</t>
  </si>
  <si>
    <t>кг</t>
  </si>
  <si>
    <t>1.3</t>
  </si>
  <si>
    <t>электроэнергия</t>
  </si>
  <si>
    <t>общая сумма</t>
  </si>
  <si>
    <t xml:space="preserve"> общий объем</t>
  </si>
  <si>
    <t>кВт/ч</t>
  </si>
  <si>
    <t>Ф-л ТОО "Кокшетау Энерго Центр" Горэлектросети</t>
  </si>
  <si>
    <t>кол-во</t>
  </si>
  <si>
    <t>Ф-л ТОО "Кокшетау Энерго Центр" ВостокЭнерго - г. Шучинск</t>
  </si>
  <si>
    <t>Ф-л ТОО "Кокшетау Энерго Центр" ВостокЭнерго - 12 подъем</t>
  </si>
  <si>
    <t>Ф-л ТОО "Солтустік Энерго Орталық" Айыртай Энерго</t>
  </si>
  <si>
    <t>2.</t>
  </si>
  <si>
    <t>Затраты на оплату труда, всего</t>
  </si>
  <si>
    <t>2.1.</t>
  </si>
  <si>
    <t>зарплата</t>
  </si>
  <si>
    <t>2.2.</t>
  </si>
  <si>
    <t>социальный налог</t>
  </si>
  <si>
    <t>3.</t>
  </si>
  <si>
    <t>Амортизация</t>
  </si>
  <si>
    <t>3.1.</t>
  </si>
  <si>
    <t>амортизация основных фондов</t>
  </si>
  <si>
    <t>4.</t>
  </si>
  <si>
    <t>Ремонт - всего</t>
  </si>
  <si>
    <t>4.1.</t>
  </si>
  <si>
    <t>капитальный ремонт, не приводящий к увеличению стоимости основных средств</t>
  </si>
  <si>
    <t>5.</t>
  </si>
  <si>
    <t>Прочие затраты, всего</t>
  </si>
  <si>
    <t>5.1.</t>
  </si>
  <si>
    <t>вахтовые</t>
  </si>
  <si>
    <t>5.2.</t>
  </si>
  <si>
    <t>5.2.1.</t>
  </si>
  <si>
    <t>поверка и ремонт приборов учета воды</t>
  </si>
  <si>
    <t>5.2.2.</t>
  </si>
  <si>
    <t>поверка лабораторных  приборов и СИ</t>
  </si>
  <si>
    <t>5.2.3.</t>
  </si>
  <si>
    <t>аттестация лаборатории (раз в 3 года - 2016 г., 2019 г.)</t>
  </si>
  <si>
    <t>5.3.</t>
  </si>
  <si>
    <t>дератизационные услуги</t>
  </si>
  <si>
    <t>охрана труда и техника безопасности, в т.ч.</t>
  </si>
  <si>
    <t>прохождение медосмотра</t>
  </si>
  <si>
    <t xml:space="preserve">затраты на спецодежду </t>
  </si>
  <si>
    <t>обучение и атестация по безопасности и охране труда</t>
  </si>
  <si>
    <t>5.3.4.</t>
  </si>
  <si>
    <t>перезарядка огнетушителей (раз в 5 лет - 2019 г.)</t>
  </si>
  <si>
    <t>5.4</t>
  </si>
  <si>
    <t>услуги связи</t>
  </si>
  <si>
    <t>другие затраты</t>
  </si>
  <si>
    <t>командировочные расходы</t>
  </si>
  <si>
    <t>услуги экспертизы</t>
  </si>
  <si>
    <t>испытание защитных средств</t>
  </si>
  <si>
    <t>услуги по регулированию стока р. Есиль</t>
  </si>
  <si>
    <t>сумма</t>
  </si>
  <si>
    <t>тыс. тенге</t>
  </si>
  <si>
    <t>тыс.м3</t>
  </si>
  <si>
    <t>затраты на демеркуризацию</t>
  </si>
  <si>
    <t>затраты на оплату услуг по обслуживанию лифтов</t>
  </si>
  <si>
    <t>затраты на оплату отвода и очистку сточных вод</t>
  </si>
  <si>
    <t>техническое обслуживание систем видеонаблюдения и охранно-пожарной сигнализации</t>
  </si>
  <si>
    <t>исследования воды</t>
  </si>
  <si>
    <t>затраты на проезд крупногабаритной и тяжелой техники</t>
  </si>
  <si>
    <t>5.8.11</t>
  </si>
  <si>
    <t>расходы по экологии</t>
  </si>
  <si>
    <t>сбор за оформление и постановку на учет автотранспорта</t>
  </si>
  <si>
    <t>разработка программы ПЭК, проекта ПДВ и ПДС для получения разрешения на эмиссии в окружающую среду</t>
  </si>
  <si>
    <t>техосмотр</t>
  </si>
  <si>
    <t>II</t>
  </si>
  <si>
    <t>Расходы периода, всего</t>
  </si>
  <si>
    <t>Общие и административные расходы</t>
  </si>
  <si>
    <t>6.1.</t>
  </si>
  <si>
    <t>сырьё и материалы, всего</t>
  </si>
  <si>
    <t>6.1.1.</t>
  </si>
  <si>
    <t>содержание служебного автотранспорта</t>
  </si>
  <si>
    <t>6.1.2.</t>
  </si>
  <si>
    <t>6.2.</t>
  </si>
  <si>
    <t>зарплата административного  и обслуживающего персонала</t>
  </si>
  <si>
    <t>6.3.</t>
  </si>
  <si>
    <t>6.4.</t>
  </si>
  <si>
    <t>услуги банков</t>
  </si>
  <si>
    <t>6.5.</t>
  </si>
  <si>
    <t>амортизация</t>
  </si>
  <si>
    <t>6.5.1.</t>
  </si>
  <si>
    <t>6.5.2.</t>
  </si>
  <si>
    <t>амортизация НМА</t>
  </si>
  <si>
    <t>6.6.</t>
  </si>
  <si>
    <t>расходы на содержание и обслуживание технических средств управления, узлов связи, вычислительной техники и т.д.</t>
  </si>
  <si>
    <t>6.6.1.</t>
  </si>
  <si>
    <t>вычислительная техника</t>
  </si>
  <si>
    <t>6.7.</t>
  </si>
  <si>
    <t>коммунальные услуги</t>
  </si>
  <si>
    <t>6.7.1.</t>
  </si>
  <si>
    <t>отопление</t>
  </si>
  <si>
    <t>Гкал</t>
  </si>
  <si>
    <t>6.7.2.</t>
  </si>
  <si>
    <t>вывоз мусора</t>
  </si>
  <si>
    <t>м3</t>
  </si>
  <si>
    <t>6.7.3.</t>
  </si>
  <si>
    <t xml:space="preserve">вода питьевая </t>
  </si>
  <si>
    <t>6.7.4.</t>
  </si>
  <si>
    <t>откачка септика</t>
  </si>
  <si>
    <t>6.8.</t>
  </si>
  <si>
    <t>6.9.</t>
  </si>
  <si>
    <t>услуга связи</t>
  </si>
  <si>
    <t>6.10.</t>
  </si>
  <si>
    <t>6.11.</t>
  </si>
  <si>
    <t>охрана труда и техника безопасности</t>
  </si>
  <si>
    <t>6.11.1.</t>
  </si>
  <si>
    <t>6.11.2.</t>
  </si>
  <si>
    <t>6.12.</t>
  </si>
  <si>
    <t xml:space="preserve">налоги </t>
  </si>
  <si>
    <t>налог на транспортные средства</t>
  </si>
  <si>
    <t>налог на имущество</t>
  </si>
  <si>
    <t xml:space="preserve">земельный налог </t>
  </si>
  <si>
    <t>6.13.</t>
  </si>
  <si>
    <t>плата за пользование водными ресурсами из поверхностных источников</t>
  </si>
  <si>
    <t>6.14.</t>
  </si>
  <si>
    <t>плата в фонд охраны природы</t>
  </si>
  <si>
    <t>от стационарных источников</t>
  </si>
  <si>
    <t>от передвижных</t>
  </si>
  <si>
    <t>сброс загрязняющих веществ</t>
  </si>
  <si>
    <t>другие расходы</t>
  </si>
  <si>
    <t>услуги аудита</t>
  </si>
  <si>
    <t>канцелярские</t>
  </si>
  <si>
    <t>затраты на оплату обязательного страхования</t>
  </si>
  <si>
    <t>обязательное страхование гражданско- правовой ответственности владельцев транспортных средств</t>
  </si>
  <si>
    <t>обязательное страхование ГПО владельцев объектов, деятельность которых связана с опасностью причинения вреда третьим лицам</t>
  </si>
  <si>
    <t>обязательное экологическое страхование</t>
  </si>
  <si>
    <t>объявление</t>
  </si>
  <si>
    <t>регистрация нежилого объекта</t>
  </si>
  <si>
    <t>почтовые услуги</t>
  </si>
  <si>
    <t>III</t>
  </si>
  <si>
    <t>Всего затрат</t>
  </si>
  <si>
    <t>IV</t>
  </si>
  <si>
    <t>Прибыль</t>
  </si>
  <si>
    <t>V</t>
  </si>
  <si>
    <t xml:space="preserve">Всего доходов </t>
  </si>
  <si>
    <t>VI</t>
  </si>
  <si>
    <t>Объем оказываемых услуг</t>
  </si>
  <si>
    <t>VII</t>
  </si>
  <si>
    <t>Забор воды</t>
  </si>
  <si>
    <t>VIII</t>
  </si>
  <si>
    <t>Нормативные потери</t>
  </si>
  <si>
    <t>%</t>
  </si>
  <si>
    <t>IX</t>
  </si>
  <si>
    <t>Тариф без НДС</t>
  </si>
  <si>
    <t>тенге/м3</t>
  </si>
  <si>
    <t>Справочно:</t>
  </si>
  <si>
    <t>Среднесписочная численность работников, всего</t>
  </si>
  <si>
    <t>человек</t>
  </si>
  <si>
    <t>7.1</t>
  </si>
  <si>
    <t>производственного персонала</t>
  </si>
  <si>
    <t>7.2</t>
  </si>
  <si>
    <t>административного персонала</t>
  </si>
  <si>
    <t>8</t>
  </si>
  <si>
    <t>Среднемесячная заработная плата, всего</t>
  </si>
  <si>
    <t>8.1</t>
  </si>
  <si>
    <t>8.2</t>
  </si>
  <si>
    <t>Ед. изм.</t>
  </si>
  <si>
    <t>поверка мостового крана (раз в 3 года -2017 г., 2020 г.)</t>
  </si>
  <si>
    <t>отклонение +,-</t>
  </si>
  <si>
    <t>масло трансмиссионное</t>
  </si>
  <si>
    <t>суточные в пределах РК</t>
  </si>
  <si>
    <t>расходы на наем жилого помещения</t>
  </si>
  <si>
    <t>расходы на проезд</t>
  </si>
  <si>
    <t>отведение сточных вод</t>
  </si>
  <si>
    <t>госпошлина</t>
  </si>
  <si>
    <t>Акмолинский филиал республиканского государственного предприятия на праве хозяйственного ведения "Казводхоз" Комитета по водным ресурсам Министерства сельского хозяйства</t>
  </si>
  <si>
    <t>с начала года</t>
  </si>
  <si>
    <t>пеня за теплоснабжение</t>
  </si>
  <si>
    <t>фактические затраты</t>
  </si>
  <si>
    <t>услуги по утилизации</t>
  </si>
  <si>
    <t>пеня и штраф по налогу на землю</t>
  </si>
  <si>
    <t>аттестация рабочих мест</t>
  </si>
  <si>
    <t>Главный  бухгалтер</t>
  </si>
  <si>
    <t>Г. Жуманова</t>
  </si>
  <si>
    <t>исп.  Т.Чеснова</t>
  </si>
  <si>
    <t>отклонение,%</t>
  </si>
  <si>
    <t>затраты на приобретение печатной продукции (бланки)</t>
  </si>
  <si>
    <t>обязательное страхование ГПО работодателя за причинение вреда жизни и здоровью работника при исполнении им трудовых (служебных) обязан.</t>
  </si>
  <si>
    <t>Причины отклонений</t>
  </si>
  <si>
    <t>испытание, поверка, измерение сопротивления</t>
  </si>
  <si>
    <t>аттестация электротехнического персонала</t>
  </si>
  <si>
    <t>затраты на аттестацию, поверку приборов учета воды, средств измерений</t>
  </si>
  <si>
    <t>5.4.1.</t>
  </si>
  <si>
    <t>5.4.2.</t>
  </si>
  <si>
    <t>5.4.3.</t>
  </si>
  <si>
    <t>5.5</t>
  </si>
  <si>
    <t>5.6</t>
  </si>
  <si>
    <t>5.6.1</t>
  </si>
  <si>
    <t>5.6.2</t>
  </si>
  <si>
    <t>5.6.2.1.</t>
  </si>
  <si>
    <t>5.6.2.2.</t>
  </si>
  <si>
    <t>5.6.2.3.</t>
  </si>
  <si>
    <t>5.6.3</t>
  </si>
  <si>
    <t>5.6.4</t>
  </si>
  <si>
    <t>5.6.5</t>
  </si>
  <si>
    <t>5.6.6</t>
  </si>
  <si>
    <t>5.6.7</t>
  </si>
  <si>
    <t>5.6.8</t>
  </si>
  <si>
    <t>5.6.9</t>
  </si>
  <si>
    <t>5.6.10</t>
  </si>
  <si>
    <t>5.6.11</t>
  </si>
  <si>
    <t>5.6.12</t>
  </si>
  <si>
    <t>услуга по ремонту э/двигателя и услуги по ремонту техники</t>
  </si>
  <si>
    <t>5.6.13</t>
  </si>
  <si>
    <t>5.6.14</t>
  </si>
  <si>
    <t>5.6.15</t>
  </si>
  <si>
    <t>6.11.3.</t>
  </si>
  <si>
    <t>6.13.1.</t>
  </si>
  <si>
    <t>6.13.2.</t>
  </si>
  <si>
    <t>6.13.3.</t>
  </si>
  <si>
    <t>6.14.1</t>
  </si>
  <si>
    <t>6.14.2</t>
  </si>
  <si>
    <t>6.14.3</t>
  </si>
  <si>
    <t>6.14.4</t>
  </si>
  <si>
    <t>6.14.4.1</t>
  </si>
  <si>
    <t>6.14.4.2</t>
  </si>
  <si>
    <t>6.14.4.3</t>
  </si>
  <si>
    <t>6.14.4.4</t>
  </si>
  <si>
    <t>6.14.5</t>
  </si>
  <si>
    <t>6.14.6</t>
  </si>
  <si>
    <t>6.14.7</t>
  </si>
  <si>
    <t>6.14.8</t>
  </si>
  <si>
    <t>6.14.9</t>
  </si>
  <si>
    <t>6.14.10</t>
  </si>
  <si>
    <t>не был предусмотрен в списании электродвигатель, стоимостью 115,0 тыс. тенге</t>
  </si>
  <si>
    <t>уменьшение использования а/м, работающих на АИ-80</t>
  </si>
  <si>
    <t>списание спецодежды, не предусмотренной в корректировке</t>
  </si>
  <si>
    <t>не был предусмотрен ремонт насоса ГУРа на 6,2 тыс.тенге</t>
  </si>
  <si>
    <t>предусматривалось большее кол-во писем</t>
  </si>
  <si>
    <t>не предусмотрено в ТС</t>
  </si>
  <si>
    <t>проведение техобслуж. экскаваторов в 4 кв.</t>
  </si>
  <si>
    <t>проведение техобслуж. трала в 4 кв.</t>
  </si>
  <si>
    <t>бухгалтерией АФ не были пере-даны в КГВ начисления за 3 кв.</t>
  </si>
  <si>
    <t>предусм. двойная промывка резервуара 5,0тыс. м3, факт. была проведена одна.</t>
  </si>
  <si>
    <t>И.о.  директора</t>
  </si>
  <si>
    <t>Б. Базарбаев</t>
  </si>
  <si>
    <t xml:space="preserve">уменьшение подачи воды в связи с не выделением субсидий </t>
  </si>
  <si>
    <t xml:space="preserve">уменьшение численности </t>
  </si>
  <si>
    <t>по закупу сумма составила меньше</t>
  </si>
  <si>
    <t>по данным бухгалтерского учета</t>
  </si>
  <si>
    <t>уменьшение количества платежей</t>
  </si>
  <si>
    <t>по фактическому потреблению</t>
  </si>
  <si>
    <t xml:space="preserve">уменьшение забора воды в связи с не выделением субсидий </t>
  </si>
  <si>
    <t>за месяц</t>
  </si>
  <si>
    <t xml:space="preserve">план по  ТС </t>
  </si>
  <si>
    <t>план по ПР</t>
  </si>
  <si>
    <t>социальные отчисления</t>
  </si>
  <si>
    <t>2.3.</t>
  </si>
  <si>
    <t>2.4.</t>
  </si>
  <si>
    <t>медстрахование</t>
  </si>
  <si>
    <t>услуга по ремонту,наладке и обслуживанию сигнализации "Дозвон"</t>
  </si>
  <si>
    <t>услуга по ремонту,наладке и обслуживанию частотных преобразователей</t>
  </si>
  <si>
    <t>Исполнение тарифной сметы на оказание услуги по подаче воды по Кокшетаускому групповому водопроводу за  январь  2018 года</t>
  </si>
  <si>
    <t>Исполнение тарифной сметы на оказание услуги по подаче воды по Кокшетаускому групповому водопроводу за  февраль  2018 года</t>
  </si>
  <si>
    <t>соц.пособие</t>
  </si>
  <si>
    <t>социальные пособия</t>
  </si>
  <si>
    <t>Исполнение тарифной сметы на оказание услуги по подаче воды по Кокшетаускому групповому водопроводу за март  2018 года</t>
  </si>
  <si>
    <t>Исполнение тарифной сметы на оказание услуги по подаче воды по Кокшетаускому групповому водопроводу за апрель  2018 года</t>
  </si>
  <si>
    <t>отклонение +,- от ПР</t>
  </si>
  <si>
    <t>отклонение,% от ПР</t>
  </si>
  <si>
    <t>обучение и аттестация по безопасности и охране труда</t>
  </si>
  <si>
    <t>Директор</t>
  </si>
  <si>
    <t>Е. Бадашев</t>
  </si>
  <si>
    <t>А.Алшинбаева</t>
  </si>
  <si>
    <t>Исполнение тарифной сметы на оказание услуги по подаче воды по Кокшетаускому групповому водопроводу за май  2018 года</t>
  </si>
  <si>
    <t>Исполнение тарифной сметы на оказание услуги по подаче воды по Кокшетаускому групповому водопроводу за июнь  2018 года</t>
  </si>
  <si>
    <t>разрешение на спец.проезд техники</t>
  </si>
  <si>
    <t>сбор за землестроительные работы и техническое обследование недвижимости</t>
  </si>
  <si>
    <t xml:space="preserve">отклонение +,- по ТС </t>
  </si>
  <si>
    <t xml:space="preserve">отклонение,%  по ТС </t>
  </si>
  <si>
    <t>Исполнение тарифной сметы на оказание услуги по подаче воды по Кокшетаускому групповому водопроводу за июль  2018 года</t>
  </si>
  <si>
    <t>отклонение +,- по ПР</t>
  </si>
  <si>
    <t>отклонение,%  по ПР</t>
  </si>
  <si>
    <t xml:space="preserve">услуги по актуализации,обеспечению нормаотивной документации </t>
  </si>
  <si>
    <t>Исполнение тарифной сметы на оказание услуги по подаче воды по Кокшетаускому групповому водопроводу за август  2018 года</t>
  </si>
  <si>
    <t xml:space="preserve">услуги по актуализации,обеспечению нормативной документации </t>
  </si>
  <si>
    <t>работа по установке(монтажу)кранов и другого подъемного оборудования/погрузочно-разгрузочного оборудования</t>
  </si>
  <si>
    <t>услуги по техническому обслуживанию электрического,электрораспределительного/регулирующего оборудования</t>
  </si>
  <si>
    <t>Исполнение тарифной сметы на оказание услуги по подаче воды по Кокшетаускому групповому водопроводу за сентябрь  2018 года</t>
  </si>
  <si>
    <t xml:space="preserve">гос.экспертиза РП </t>
  </si>
  <si>
    <t xml:space="preserve">отклонение +,- по ПР </t>
  </si>
  <si>
    <t xml:space="preserve">отклонение,% по ПР </t>
  </si>
  <si>
    <t>обследование объектов и выдача тех.паспортоа</t>
  </si>
  <si>
    <t>Исполнение тарифной сметы на оказание услуги по подаче воды по Кокшетаускому групповому водопроводу за январь-сентябрь  2018 года</t>
  </si>
  <si>
    <t>Исполнение тарифной сметы на оказание услуги по подаче воды по Кокшетаускому групповому водопроводу за октябрь 2018 года</t>
  </si>
  <si>
    <t>Е.Бадашев</t>
  </si>
  <si>
    <t xml:space="preserve">исп. А.Шарипова </t>
  </si>
  <si>
    <t>6.14.11</t>
  </si>
  <si>
    <t>6.14.12</t>
  </si>
  <si>
    <t>выдача тех.паспортов</t>
  </si>
  <si>
    <t>Исполнение тарифной сметы на оказание услуги по подаче воды по Кокшетаускому групповому водопроводу за ноябрь 2018 года</t>
  </si>
  <si>
    <t>работа по ремонту автотранспортных средств систем,узлов и агрегатов</t>
  </si>
  <si>
    <t>Исполнение тарифной сметы на оказание услуги по подаче воды по Кокшетаускому групповому водопроводу за январь-ноябрь 2018 года</t>
  </si>
  <si>
    <t>Главный бухгалтер</t>
  </si>
  <si>
    <t>Начальник отдела тарифообразования, планирования и экономического анализа</t>
  </si>
  <si>
    <t>А.Абельдинов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</si>
</sst>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"/>
    <numFmt numFmtId="166" formatCode="#,##0.000"/>
    <numFmt numFmtId="167" formatCode="0.0000"/>
  </numFmts>
  <fonts count="1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29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9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wrapText="1"/>
    </xf>
    <xf numFmtId="164" fontId="7" fillId="2" borderId="1" xfId="1" applyNumberFormat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9" fillId="2" borderId="1" xfId="1" applyFont="1" applyFill="1" applyBorder="1" applyAlignment="1">
      <alignment wrapText="1"/>
    </xf>
    <xf numFmtId="164" fontId="9" fillId="2" borderId="1" xfId="1" applyNumberFormat="1" applyFont="1" applyFill="1" applyBorder="1" applyAlignment="1">
      <alignment horizontal="center"/>
    </xf>
    <xf numFmtId="165" fontId="9" fillId="2" borderId="1" xfId="1" applyNumberFormat="1" applyFont="1" applyFill="1" applyBorder="1" applyAlignment="1">
      <alignment horizontal="center"/>
    </xf>
    <xf numFmtId="0" fontId="10" fillId="2" borderId="1" xfId="1" applyFont="1" applyFill="1" applyBorder="1" applyAlignment="1">
      <alignment horizontal="right" wrapText="1"/>
    </xf>
    <xf numFmtId="0" fontId="10" fillId="2" borderId="1" xfId="1" applyFont="1" applyFill="1" applyBorder="1" applyAlignment="1">
      <alignment horizontal="center"/>
    </xf>
    <xf numFmtId="1" fontId="9" fillId="2" borderId="1" xfId="1" applyNumberFormat="1" applyFont="1" applyFill="1" applyBorder="1" applyAlignment="1">
      <alignment horizontal="center"/>
    </xf>
    <xf numFmtId="0" fontId="9" fillId="2" borderId="1" xfId="1" applyFont="1" applyFill="1" applyBorder="1" applyAlignment="1">
      <alignment horizontal="right"/>
    </xf>
    <xf numFmtId="2" fontId="9" fillId="2" borderId="1" xfId="1" applyNumberFormat="1" applyFont="1" applyFill="1" applyBorder="1" applyAlignment="1">
      <alignment horizontal="center"/>
    </xf>
    <xf numFmtId="49" fontId="7" fillId="2" borderId="1" xfId="1" applyNumberFormat="1" applyFont="1" applyFill="1" applyBorder="1" applyAlignment="1">
      <alignment horizontal="center"/>
    </xf>
    <xf numFmtId="49" fontId="9" fillId="2" borderId="1" xfId="1" applyNumberFormat="1" applyFont="1" applyFill="1" applyBorder="1" applyAlignment="1">
      <alignment horizontal="center"/>
    </xf>
    <xf numFmtId="0" fontId="10" fillId="2" borderId="1" xfId="1" applyFont="1" applyFill="1" applyBorder="1" applyAlignment="1">
      <alignment horizontal="left" wrapText="1"/>
    </xf>
    <xf numFmtId="0" fontId="9" fillId="2" borderId="1" xfId="1" applyFont="1" applyFill="1" applyBorder="1" applyAlignment="1">
      <alignment horizontal="left" wrapText="1"/>
    </xf>
    <xf numFmtId="2" fontId="7" fillId="2" borderId="1" xfId="1" applyNumberFormat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 wrapText="1"/>
    </xf>
    <xf numFmtId="16" fontId="9" fillId="2" borderId="1" xfId="1" applyNumberFormat="1" applyFont="1" applyFill="1" applyBorder="1" applyAlignment="1">
      <alignment horizontal="center"/>
    </xf>
    <xf numFmtId="14" fontId="9" fillId="2" borderId="1" xfId="1" applyNumberFormat="1" applyFont="1" applyFill="1" applyBorder="1" applyAlignment="1">
      <alignment horizontal="center"/>
    </xf>
    <xf numFmtId="0" fontId="9" fillId="2" borderId="0" xfId="1" applyFont="1" applyFill="1" applyAlignment="1"/>
    <xf numFmtId="0" fontId="9" fillId="2" borderId="1" xfId="4" applyFont="1" applyFill="1" applyBorder="1" applyAlignment="1">
      <alignment horizontal="left" wrapText="1"/>
    </xf>
    <xf numFmtId="166" fontId="7" fillId="2" borderId="1" xfId="1" applyNumberFormat="1" applyFont="1" applyFill="1" applyBorder="1" applyAlignment="1">
      <alignment horizontal="center"/>
    </xf>
    <xf numFmtId="0" fontId="9" fillId="2" borderId="1" xfId="1" applyFont="1" applyFill="1" applyBorder="1" applyAlignment="1">
      <alignment horizontal="right" wrapText="1"/>
    </xf>
    <xf numFmtId="0" fontId="11" fillId="0" borderId="0" xfId="0" applyFont="1"/>
    <xf numFmtId="164" fontId="0" fillId="0" borderId="0" xfId="0" applyNumberFormat="1"/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left" wrapText="1"/>
    </xf>
    <xf numFmtId="0" fontId="7" fillId="2" borderId="1" xfId="1" applyFont="1" applyFill="1" applyBorder="1" applyAlignment="1">
      <alignment horizontal="center"/>
    </xf>
    <xf numFmtId="0" fontId="9" fillId="2" borderId="0" xfId="1" applyFont="1" applyFill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2" fontId="0" fillId="0" borderId="0" xfId="0" applyNumberFormat="1"/>
    <xf numFmtId="0" fontId="11" fillId="0" borderId="4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left" wrapText="1"/>
    </xf>
    <xf numFmtId="0" fontId="12" fillId="0" borderId="4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9" fillId="2" borderId="0" xfId="1" applyFont="1" applyFill="1" applyAlignment="1">
      <alignment horizontal="center" vertical="center" wrapText="1"/>
    </xf>
    <xf numFmtId="0" fontId="12" fillId="0" borderId="4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164" fontId="9" fillId="3" borderId="1" xfId="1" applyNumberFormat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/>
    </xf>
    <xf numFmtId="0" fontId="9" fillId="2" borderId="0" xfId="1" applyFont="1" applyFill="1" applyAlignment="1">
      <alignment horizontal="center" vertical="center" wrapText="1"/>
    </xf>
    <xf numFmtId="0" fontId="7" fillId="2" borderId="1" xfId="1" applyFont="1" applyFill="1" applyBorder="1" applyAlignment="1">
      <alignment horizontal="center"/>
    </xf>
    <xf numFmtId="164" fontId="10" fillId="2" borderId="1" xfId="1" applyNumberFormat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wrapText="1"/>
    </xf>
    <xf numFmtId="0" fontId="0" fillId="0" borderId="0" xfId="0" applyFont="1"/>
    <xf numFmtId="1" fontId="9" fillId="2" borderId="1" xfId="1" applyNumberFormat="1" applyFont="1" applyFill="1" applyBorder="1" applyAlignment="1">
      <alignment horizontal="center" wrapText="1"/>
    </xf>
    <xf numFmtId="164" fontId="9" fillId="4" borderId="1" xfId="1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left" wrapText="1"/>
    </xf>
    <xf numFmtId="0" fontId="12" fillId="0" borderId="4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9" fillId="2" borderId="0" xfId="1" applyFont="1" applyFill="1" applyAlignment="1">
      <alignment horizontal="center" vertical="center" wrapText="1"/>
    </xf>
    <xf numFmtId="0" fontId="9" fillId="4" borderId="1" xfId="1" applyFont="1" applyFill="1" applyBorder="1" applyAlignment="1">
      <alignment horizontal="center"/>
    </xf>
    <xf numFmtId="165" fontId="7" fillId="2" borderId="1" xfId="1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left" wrapText="1"/>
    </xf>
    <xf numFmtId="0" fontId="12" fillId="0" borderId="4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9" fillId="2" borderId="0" xfId="1" applyFont="1" applyFill="1" applyAlignment="1">
      <alignment horizontal="center" vertical="center" wrapText="1"/>
    </xf>
    <xf numFmtId="0" fontId="0" fillId="4" borderId="0" xfId="0" applyFill="1"/>
    <xf numFmtId="0" fontId="9" fillId="2" borderId="0" xfId="1" applyFont="1" applyFill="1" applyAlignment="1">
      <alignment horizontal="center" vertical="center" wrapText="1"/>
    </xf>
    <xf numFmtId="0" fontId="7" fillId="2" borderId="1" xfId="1" applyFont="1" applyFill="1" applyBorder="1" applyAlignment="1">
      <alignment horizontal="center"/>
    </xf>
    <xf numFmtId="0" fontId="11" fillId="2" borderId="0" xfId="0" applyFont="1" applyFill="1"/>
    <xf numFmtId="0" fontId="0" fillId="2" borderId="0" xfId="0" applyFill="1"/>
    <xf numFmtId="0" fontId="0" fillId="2" borderId="0" xfId="0" applyFont="1" applyFill="1"/>
    <xf numFmtId="0" fontId="14" fillId="0" borderId="0" xfId="0" applyFont="1"/>
    <xf numFmtId="0" fontId="9" fillId="5" borderId="1" xfId="1" applyFont="1" applyFill="1" applyBorder="1" applyAlignment="1">
      <alignment horizontal="center"/>
    </xf>
    <xf numFmtId="164" fontId="9" fillId="5" borderId="1" xfId="1" applyNumberFormat="1" applyFont="1" applyFill="1" applyBorder="1" applyAlignment="1">
      <alignment horizontal="center"/>
    </xf>
    <xf numFmtId="167" fontId="9" fillId="2" borderId="1" xfId="1" applyNumberFormat="1" applyFont="1" applyFill="1" applyBorder="1" applyAlignment="1">
      <alignment horizontal="center"/>
    </xf>
    <xf numFmtId="164" fontId="7" fillId="5" borderId="1" xfId="1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left" wrapText="1"/>
    </xf>
    <xf numFmtId="0" fontId="12" fillId="0" borderId="4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9" fillId="2" borderId="0" xfId="1" applyFont="1" applyFill="1" applyAlignment="1">
      <alignment horizontal="center" vertical="center" wrapText="1"/>
    </xf>
    <xf numFmtId="0" fontId="11" fillId="0" borderId="4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left" wrapText="1"/>
    </xf>
    <xf numFmtId="0" fontId="12" fillId="0" borderId="4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9" fillId="2" borderId="0" xfId="1" applyFont="1" applyFill="1" applyAlignment="1">
      <alignment horizontal="center" vertical="center" wrapText="1"/>
    </xf>
    <xf numFmtId="164" fontId="9" fillId="6" borderId="1" xfId="1" applyNumberFormat="1" applyFont="1" applyFill="1" applyBorder="1" applyAlignment="1">
      <alignment horizontal="center"/>
    </xf>
    <xf numFmtId="0" fontId="9" fillId="6" borderId="1" xfId="1" applyFont="1" applyFill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7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left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2" fontId="7" fillId="2" borderId="0" xfId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7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center" vertical="center" wrapText="1"/>
    </xf>
    <xf numFmtId="0" fontId="12" fillId="0" borderId="4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3" fillId="0" borderId="6" xfId="0" applyFont="1" applyBorder="1" applyAlignment="1">
      <alignment horizontal="left" wrapText="1"/>
    </xf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left" wrapText="1"/>
    </xf>
    <xf numFmtId="0" fontId="11" fillId="0" borderId="4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0" fillId="3" borderId="1" xfId="1" applyFont="1" applyFill="1" applyBorder="1" applyAlignment="1">
      <alignment horizontal="right" wrapText="1"/>
    </xf>
    <xf numFmtId="0" fontId="10" fillId="3" borderId="1" xfId="1" applyFont="1" applyFill="1" applyBorder="1" applyAlignment="1">
      <alignment horizontal="center" wrapText="1"/>
    </xf>
    <xf numFmtId="1" fontId="9" fillId="3" borderId="1" xfId="1" applyNumberFormat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 wrapText="1"/>
    </xf>
    <xf numFmtId="2" fontId="9" fillId="3" borderId="1" xfId="1" applyNumberFormat="1" applyFont="1" applyFill="1" applyBorder="1" applyAlignment="1">
      <alignment horizontal="center"/>
    </xf>
    <xf numFmtId="164" fontId="12" fillId="3" borderId="1" xfId="0" applyNumberFormat="1" applyFont="1" applyFill="1" applyBorder="1" applyAlignment="1">
      <alignment horizontal="left"/>
    </xf>
    <xf numFmtId="2" fontId="12" fillId="3" borderId="1" xfId="0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left"/>
    </xf>
    <xf numFmtId="0" fontId="0" fillId="3" borderId="0" xfId="0" applyFill="1"/>
    <xf numFmtId="2" fontId="0" fillId="3" borderId="0" xfId="0" applyNumberFormat="1" applyFill="1"/>
    <xf numFmtId="164" fontId="0" fillId="3" borderId="0" xfId="0" applyNumberFormat="1" applyFill="1"/>
    <xf numFmtId="0" fontId="11" fillId="0" borderId="4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7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center" vertical="center" wrapText="1"/>
    </xf>
    <xf numFmtId="0" fontId="12" fillId="0" borderId="4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3" fillId="0" borderId="6" xfId="0" applyFont="1" applyBorder="1" applyAlignment="1">
      <alignment horizontal="left" wrapText="1"/>
    </xf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left" wrapText="1"/>
    </xf>
    <xf numFmtId="0" fontId="11" fillId="0" borderId="4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7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center" vertical="center" wrapText="1"/>
    </xf>
    <xf numFmtId="0" fontId="12" fillId="0" borderId="4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3" fillId="0" borderId="6" xfId="0" applyFont="1" applyBorder="1" applyAlignment="1">
      <alignment horizontal="left" wrapText="1"/>
    </xf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left" wrapText="1"/>
    </xf>
    <xf numFmtId="0" fontId="11" fillId="0" borderId="4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left" wrapText="1"/>
    </xf>
    <xf numFmtId="0" fontId="12" fillId="0" borderId="4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3" fillId="0" borderId="6" xfId="0" applyFont="1" applyBorder="1" applyAlignment="1">
      <alignment horizontal="left" wrapText="1"/>
    </xf>
    <xf numFmtId="0" fontId="7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center" vertical="center" wrapText="1"/>
    </xf>
    <xf numFmtId="164" fontId="9" fillId="7" borderId="1" xfId="1" applyNumberFormat="1" applyFont="1" applyFill="1" applyBorder="1" applyAlignment="1">
      <alignment horizontal="center"/>
    </xf>
    <xf numFmtId="2" fontId="9" fillId="7" borderId="1" xfId="1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164" fontId="11" fillId="0" borderId="0" xfId="0" applyNumberFormat="1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7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center" vertical="center" wrapText="1"/>
    </xf>
    <xf numFmtId="0" fontId="12" fillId="0" borderId="4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3" fillId="0" borderId="6" xfId="0" applyFont="1" applyBorder="1" applyAlignment="1">
      <alignment horizontal="left" wrapText="1"/>
    </xf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left" wrapText="1"/>
    </xf>
    <xf numFmtId="0" fontId="11" fillId="0" borderId="4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7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center" vertical="center" wrapText="1"/>
    </xf>
    <xf numFmtId="0" fontId="12" fillId="0" borderId="4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3" fillId="0" borderId="6" xfId="0" applyFont="1" applyBorder="1" applyAlignment="1">
      <alignment horizontal="left" wrapText="1"/>
    </xf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left" wrapText="1"/>
    </xf>
    <xf numFmtId="0" fontId="11" fillId="0" borderId="4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7" fillId="3" borderId="1" xfId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7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wrapText="1"/>
    </xf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left" wrapText="1"/>
    </xf>
    <xf numFmtId="0" fontId="11" fillId="0" borderId="4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2" fillId="0" borderId="4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left" wrapText="1"/>
    </xf>
    <xf numFmtId="164" fontId="11" fillId="0" borderId="4" xfId="0" applyNumberFormat="1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3" fillId="0" borderId="4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left"/>
    </xf>
    <xf numFmtId="0" fontId="15" fillId="0" borderId="0" xfId="0" applyFont="1"/>
    <xf numFmtId="164" fontId="15" fillId="0" borderId="0" xfId="0" applyNumberFormat="1" applyFont="1"/>
    <xf numFmtId="164" fontId="11" fillId="0" borderId="1" xfId="0" applyNumberFormat="1" applyFont="1" applyBorder="1" applyAlignment="1">
      <alignment horizontal="left"/>
    </xf>
    <xf numFmtId="2" fontId="11" fillId="0" borderId="1" xfId="0" applyNumberFormat="1" applyFont="1" applyBorder="1" applyAlignment="1">
      <alignment horizontal="center"/>
    </xf>
    <xf numFmtId="2" fontId="15" fillId="0" borderId="0" xfId="0" applyNumberFormat="1" applyFont="1"/>
    <xf numFmtId="0" fontId="11" fillId="0" borderId="9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164" fontId="11" fillId="3" borderId="1" xfId="0" applyNumberFormat="1" applyFont="1" applyFill="1" applyBorder="1" applyAlignment="1">
      <alignment horizontal="left"/>
    </xf>
    <xf numFmtId="2" fontId="11" fillId="3" borderId="1" xfId="0" applyNumberFormat="1" applyFont="1" applyFill="1" applyBorder="1" applyAlignment="1">
      <alignment horizontal="center"/>
    </xf>
    <xf numFmtId="0" fontId="15" fillId="3" borderId="0" xfId="0" applyFont="1" applyFill="1"/>
    <xf numFmtId="2" fontId="15" fillId="3" borderId="0" xfId="0" applyNumberFormat="1" applyFont="1" applyFill="1"/>
    <xf numFmtId="164" fontId="15" fillId="3" borderId="0" xfId="0" applyNumberFormat="1" applyFont="1" applyFill="1"/>
    <xf numFmtId="0" fontId="16" fillId="0" borderId="0" xfId="0" applyFont="1"/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/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_Лист1" xfId="4"/>
  </cellStyles>
  <dxfs count="0"/>
  <tableStyles count="0" defaultTableStyle="TableStyleMedium9" defaultPivotStyle="PivotStyleLight16"/>
  <colors>
    <mruColors>
      <color rgb="FFFFABFF"/>
      <color rgb="FFFFFF99"/>
      <color rgb="FFFF5050"/>
      <color rgb="FFFF8B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2" name="TextBox 1"/>
        <xdr:cNvSpPr txBox="1"/>
      </xdr:nvSpPr>
      <xdr:spPr>
        <a:xfrm>
          <a:off x="7762875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3" name="TextBox 2"/>
        <xdr:cNvSpPr txBox="1"/>
      </xdr:nvSpPr>
      <xdr:spPr>
        <a:xfrm>
          <a:off x="7762875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4" name="TextBox 3"/>
        <xdr:cNvSpPr txBox="1"/>
      </xdr:nvSpPr>
      <xdr:spPr>
        <a:xfrm>
          <a:off x="7762875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5" name="TextBox 4"/>
        <xdr:cNvSpPr txBox="1"/>
      </xdr:nvSpPr>
      <xdr:spPr>
        <a:xfrm>
          <a:off x="7762875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66454" cy="264560"/>
    <xdr:sp macro="" textlink="">
      <xdr:nvSpPr>
        <xdr:cNvPr id="6" name="TextBox 5"/>
        <xdr:cNvSpPr txBox="1"/>
      </xdr:nvSpPr>
      <xdr:spPr>
        <a:xfrm flipH="1">
          <a:off x="7762875" y="8801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7" name="TextBox 6"/>
        <xdr:cNvSpPr txBox="1"/>
      </xdr:nvSpPr>
      <xdr:spPr>
        <a:xfrm>
          <a:off x="7762875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8" name="TextBox 7"/>
        <xdr:cNvSpPr txBox="1"/>
      </xdr:nvSpPr>
      <xdr:spPr>
        <a:xfrm>
          <a:off x="7762875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9" name="TextBox 8"/>
        <xdr:cNvSpPr txBox="1"/>
      </xdr:nvSpPr>
      <xdr:spPr>
        <a:xfrm>
          <a:off x="7762875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0" name="TextBox 9"/>
        <xdr:cNvSpPr txBox="1"/>
      </xdr:nvSpPr>
      <xdr:spPr>
        <a:xfrm>
          <a:off x="7762875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1" name="TextBox 10"/>
        <xdr:cNvSpPr txBox="1"/>
      </xdr:nvSpPr>
      <xdr:spPr>
        <a:xfrm>
          <a:off x="7762875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2" name="TextBox 11"/>
        <xdr:cNvSpPr txBox="1"/>
      </xdr:nvSpPr>
      <xdr:spPr>
        <a:xfrm>
          <a:off x="7762875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3" name="TextBox 12"/>
        <xdr:cNvSpPr txBox="1"/>
      </xdr:nvSpPr>
      <xdr:spPr>
        <a:xfrm>
          <a:off x="7762875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4" name="TextBox 13"/>
        <xdr:cNvSpPr txBox="1"/>
      </xdr:nvSpPr>
      <xdr:spPr>
        <a:xfrm>
          <a:off x="7762875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66454" cy="264560"/>
    <xdr:sp macro="" textlink="">
      <xdr:nvSpPr>
        <xdr:cNvPr id="15" name="TextBox 14"/>
        <xdr:cNvSpPr txBox="1"/>
      </xdr:nvSpPr>
      <xdr:spPr>
        <a:xfrm flipH="1">
          <a:off x="7762875" y="8801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6" name="TextBox 15"/>
        <xdr:cNvSpPr txBox="1"/>
      </xdr:nvSpPr>
      <xdr:spPr>
        <a:xfrm>
          <a:off x="7762875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7" name="TextBox 16"/>
        <xdr:cNvSpPr txBox="1"/>
      </xdr:nvSpPr>
      <xdr:spPr>
        <a:xfrm>
          <a:off x="7762875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8" name="TextBox 17"/>
        <xdr:cNvSpPr txBox="1"/>
      </xdr:nvSpPr>
      <xdr:spPr>
        <a:xfrm>
          <a:off x="7762875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9" name="TextBox 18"/>
        <xdr:cNvSpPr txBox="1"/>
      </xdr:nvSpPr>
      <xdr:spPr>
        <a:xfrm>
          <a:off x="7762875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443688</xdr:colOff>
      <xdr:row>34</xdr:row>
      <xdr:rowOff>0</xdr:rowOff>
    </xdr:from>
    <xdr:ext cx="175008" cy="255462"/>
    <xdr:sp macro="" textlink="">
      <xdr:nvSpPr>
        <xdr:cNvPr id="20" name="TextBox 19"/>
        <xdr:cNvSpPr txBox="1"/>
      </xdr:nvSpPr>
      <xdr:spPr>
        <a:xfrm>
          <a:off x="4234638" y="10001250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443688</xdr:colOff>
      <xdr:row>34</xdr:row>
      <xdr:rowOff>0</xdr:rowOff>
    </xdr:from>
    <xdr:ext cx="175008" cy="255462"/>
    <xdr:sp macro="" textlink="">
      <xdr:nvSpPr>
        <xdr:cNvPr id="21" name="TextBox 20"/>
        <xdr:cNvSpPr txBox="1"/>
      </xdr:nvSpPr>
      <xdr:spPr>
        <a:xfrm>
          <a:off x="4234638" y="10001250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22" name="TextBox 21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23" name="TextBox 22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34</xdr:row>
      <xdr:rowOff>0</xdr:rowOff>
    </xdr:from>
    <xdr:ext cx="66454" cy="264560"/>
    <xdr:sp macro="" textlink="">
      <xdr:nvSpPr>
        <xdr:cNvPr id="24" name="TextBox 23"/>
        <xdr:cNvSpPr txBox="1"/>
      </xdr:nvSpPr>
      <xdr:spPr>
        <a:xfrm flipH="1">
          <a:off x="4543425" y="100012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25" name="TextBox 24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26" name="TextBox 25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27" name="TextBox 26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28" name="TextBox 27"/>
        <xdr:cNvSpPr txBox="1"/>
      </xdr:nvSpPr>
      <xdr:spPr>
        <a:xfrm>
          <a:off x="5591175" y="10001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29" name="TextBox 28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30" name="TextBox 29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31" name="TextBox 30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32" name="TextBox 31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33" name="TextBox 32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34" name="TextBox 33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35" name="TextBox 34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36" name="TextBox 35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37" name="TextBox 36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38" name="TextBox 37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39" name="TextBox 38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40" name="TextBox 39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41" name="TextBox 40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42" name="TextBox 41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43" name="TextBox 42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44" name="TextBox 43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45" name="TextBox 44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46" name="TextBox 45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47" name="TextBox 46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48" name="TextBox 47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49" name="TextBox 48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50" name="TextBox 49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51" name="TextBox 50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52" name="TextBox 51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53" name="TextBox 52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54" name="TextBox 53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55" name="TextBox 54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56" name="TextBox 55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57" name="TextBox 56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58" name="TextBox 57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59" name="TextBox 58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60" name="TextBox 59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61" name="TextBox 60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62" name="TextBox 61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63" name="TextBox 62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64" name="TextBox 63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65" name="TextBox 64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66" name="TextBox 65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67" name="TextBox 66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68" name="TextBox 67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69" name="TextBox 68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70" name="TextBox 69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71" name="TextBox 70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72" name="TextBox 71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73" name="TextBox 72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74" name="TextBox 73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75" name="TextBox 74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76" name="TextBox 75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77" name="TextBox 76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78" name="TextBox 77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79" name="TextBox 78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80" name="TextBox 79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450555</xdr:colOff>
      <xdr:row>34</xdr:row>
      <xdr:rowOff>0</xdr:rowOff>
    </xdr:from>
    <xdr:ext cx="125375" cy="264560"/>
    <xdr:sp macro="" textlink="">
      <xdr:nvSpPr>
        <xdr:cNvPr id="81" name="TextBox 80"/>
        <xdr:cNvSpPr txBox="1"/>
      </xdr:nvSpPr>
      <xdr:spPr>
        <a:xfrm>
          <a:off x="6041730" y="10001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2" name="TextBox 81"/>
        <xdr:cNvSpPr txBox="1"/>
      </xdr:nvSpPr>
      <xdr:spPr>
        <a:xfrm>
          <a:off x="5591175" y="10001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450555</xdr:colOff>
      <xdr:row>34</xdr:row>
      <xdr:rowOff>0</xdr:rowOff>
    </xdr:from>
    <xdr:ext cx="125375" cy="264560"/>
    <xdr:sp macro="" textlink="">
      <xdr:nvSpPr>
        <xdr:cNvPr id="83" name="TextBox 82"/>
        <xdr:cNvSpPr txBox="1"/>
      </xdr:nvSpPr>
      <xdr:spPr>
        <a:xfrm>
          <a:off x="6041730" y="10001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450555</xdr:colOff>
      <xdr:row>34</xdr:row>
      <xdr:rowOff>0</xdr:rowOff>
    </xdr:from>
    <xdr:ext cx="125375" cy="264560"/>
    <xdr:sp macro="" textlink="">
      <xdr:nvSpPr>
        <xdr:cNvPr id="84" name="TextBox 83"/>
        <xdr:cNvSpPr txBox="1"/>
      </xdr:nvSpPr>
      <xdr:spPr>
        <a:xfrm>
          <a:off x="4993980" y="10001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450555</xdr:colOff>
      <xdr:row>34</xdr:row>
      <xdr:rowOff>0</xdr:rowOff>
    </xdr:from>
    <xdr:ext cx="125375" cy="264560"/>
    <xdr:sp macro="" textlink="">
      <xdr:nvSpPr>
        <xdr:cNvPr id="85" name="TextBox 84"/>
        <xdr:cNvSpPr txBox="1"/>
      </xdr:nvSpPr>
      <xdr:spPr>
        <a:xfrm>
          <a:off x="4993980" y="10001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6" name="TextBox 85"/>
        <xdr:cNvSpPr txBox="1"/>
      </xdr:nvSpPr>
      <xdr:spPr>
        <a:xfrm>
          <a:off x="5591175" y="10001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450555</xdr:colOff>
      <xdr:row>34</xdr:row>
      <xdr:rowOff>0</xdr:rowOff>
    </xdr:from>
    <xdr:ext cx="125375" cy="264560"/>
    <xdr:sp macro="" textlink="">
      <xdr:nvSpPr>
        <xdr:cNvPr id="87" name="TextBox 86"/>
        <xdr:cNvSpPr txBox="1"/>
      </xdr:nvSpPr>
      <xdr:spPr>
        <a:xfrm>
          <a:off x="4993980" y="10001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450555</xdr:colOff>
      <xdr:row>34</xdr:row>
      <xdr:rowOff>0</xdr:rowOff>
    </xdr:from>
    <xdr:ext cx="125375" cy="264560"/>
    <xdr:sp macro="" textlink="">
      <xdr:nvSpPr>
        <xdr:cNvPr id="88" name="TextBox 87"/>
        <xdr:cNvSpPr txBox="1"/>
      </xdr:nvSpPr>
      <xdr:spPr>
        <a:xfrm>
          <a:off x="4993980" y="10001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587006</xdr:colOff>
      <xdr:row>34</xdr:row>
      <xdr:rowOff>0</xdr:rowOff>
    </xdr:from>
    <xdr:ext cx="66454" cy="264560"/>
    <xdr:sp macro="" textlink="">
      <xdr:nvSpPr>
        <xdr:cNvPr id="89" name="TextBox 88"/>
        <xdr:cNvSpPr txBox="1"/>
      </xdr:nvSpPr>
      <xdr:spPr>
        <a:xfrm flipH="1">
          <a:off x="5130431" y="100012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450555</xdr:colOff>
      <xdr:row>34</xdr:row>
      <xdr:rowOff>0</xdr:rowOff>
    </xdr:from>
    <xdr:ext cx="125375" cy="264560"/>
    <xdr:sp macro="" textlink="">
      <xdr:nvSpPr>
        <xdr:cNvPr id="90" name="TextBox 89"/>
        <xdr:cNvSpPr txBox="1"/>
      </xdr:nvSpPr>
      <xdr:spPr>
        <a:xfrm>
          <a:off x="4993980" y="10001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450555</xdr:colOff>
      <xdr:row>34</xdr:row>
      <xdr:rowOff>0</xdr:rowOff>
    </xdr:from>
    <xdr:ext cx="125375" cy="264560"/>
    <xdr:sp macro="" textlink="">
      <xdr:nvSpPr>
        <xdr:cNvPr id="91" name="TextBox 90"/>
        <xdr:cNvSpPr txBox="1"/>
      </xdr:nvSpPr>
      <xdr:spPr>
        <a:xfrm>
          <a:off x="4993980" y="10001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587006</xdr:colOff>
      <xdr:row>34</xdr:row>
      <xdr:rowOff>0</xdr:rowOff>
    </xdr:from>
    <xdr:ext cx="66454" cy="264560"/>
    <xdr:sp macro="" textlink="">
      <xdr:nvSpPr>
        <xdr:cNvPr id="92" name="TextBox 91"/>
        <xdr:cNvSpPr txBox="1"/>
      </xdr:nvSpPr>
      <xdr:spPr>
        <a:xfrm flipH="1">
          <a:off x="5130431" y="100012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319937</xdr:colOff>
      <xdr:row>31</xdr:row>
      <xdr:rowOff>595386</xdr:rowOff>
    </xdr:from>
    <xdr:ext cx="264560" cy="1248882"/>
    <xdr:sp macro="" textlink="">
      <xdr:nvSpPr>
        <xdr:cNvPr id="93" name="TextBox 92"/>
        <xdr:cNvSpPr txBox="1"/>
      </xdr:nvSpPr>
      <xdr:spPr>
        <a:xfrm rot="4668514">
          <a:off x="13124676" y="9269522"/>
          <a:ext cx="124888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450555</xdr:colOff>
      <xdr:row>34</xdr:row>
      <xdr:rowOff>0</xdr:rowOff>
    </xdr:from>
    <xdr:ext cx="125375" cy="264560"/>
    <xdr:sp macro="" textlink="">
      <xdr:nvSpPr>
        <xdr:cNvPr id="94" name="TextBox 93"/>
        <xdr:cNvSpPr txBox="1"/>
      </xdr:nvSpPr>
      <xdr:spPr>
        <a:xfrm>
          <a:off x="4993980" y="10001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450555</xdr:colOff>
      <xdr:row>34</xdr:row>
      <xdr:rowOff>0</xdr:rowOff>
    </xdr:from>
    <xdr:ext cx="125375" cy="264560"/>
    <xdr:sp macro="" textlink="">
      <xdr:nvSpPr>
        <xdr:cNvPr id="95" name="TextBox 94"/>
        <xdr:cNvSpPr txBox="1"/>
      </xdr:nvSpPr>
      <xdr:spPr>
        <a:xfrm>
          <a:off x="4993980" y="10001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587006</xdr:colOff>
      <xdr:row>34</xdr:row>
      <xdr:rowOff>0</xdr:rowOff>
    </xdr:from>
    <xdr:ext cx="66454" cy="264560"/>
    <xdr:sp macro="" textlink="">
      <xdr:nvSpPr>
        <xdr:cNvPr id="96" name="TextBox 95"/>
        <xdr:cNvSpPr txBox="1"/>
      </xdr:nvSpPr>
      <xdr:spPr>
        <a:xfrm flipH="1">
          <a:off x="5130431" y="100012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443688</xdr:colOff>
      <xdr:row>31</xdr:row>
      <xdr:rowOff>0</xdr:rowOff>
    </xdr:from>
    <xdr:ext cx="175008" cy="255462"/>
    <xdr:sp macro="" textlink="">
      <xdr:nvSpPr>
        <xdr:cNvPr id="97" name="TextBox 96"/>
        <xdr:cNvSpPr txBox="1"/>
      </xdr:nvSpPr>
      <xdr:spPr>
        <a:xfrm>
          <a:off x="10077450" y="8820150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443688</xdr:colOff>
      <xdr:row>31</xdr:row>
      <xdr:rowOff>0</xdr:rowOff>
    </xdr:from>
    <xdr:ext cx="175008" cy="255462"/>
    <xdr:sp macro="" textlink="">
      <xdr:nvSpPr>
        <xdr:cNvPr id="98" name="TextBox 97"/>
        <xdr:cNvSpPr txBox="1"/>
      </xdr:nvSpPr>
      <xdr:spPr>
        <a:xfrm>
          <a:off x="10077450" y="8820150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99" name="TextBox 98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00" name="TextBox 99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31</xdr:row>
      <xdr:rowOff>0</xdr:rowOff>
    </xdr:from>
    <xdr:ext cx="66454" cy="264560"/>
    <xdr:sp macro="" textlink="">
      <xdr:nvSpPr>
        <xdr:cNvPr id="101" name="TextBox 100"/>
        <xdr:cNvSpPr txBox="1"/>
      </xdr:nvSpPr>
      <xdr:spPr>
        <a:xfrm flipH="1">
          <a:off x="10077450" y="88201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02" name="TextBox 101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03" name="TextBox 102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04" name="TextBox 103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05" name="TextBox 104"/>
        <xdr:cNvSpPr txBox="1"/>
      </xdr:nvSpPr>
      <xdr:spPr>
        <a:xfrm>
          <a:off x="10077450" y="8820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06" name="TextBox 105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07" name="TextBox 106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08" name="TextBox 107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09" name="TextBox 108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10" name="TextBox 109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11" name="TextBox 110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12" name="TextBox 111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13" name="TextBox 112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14" name="TextBox 113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15" name="TextBox 114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16" name="TextBox 115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17" name="TextBox 116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18" name="TextBox 117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19" name="TextBox 118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20" name="TextBox 119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21" name="TextBox 120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22" name="TextBox 121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23" name="TextBox 122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24" name="TextBox 123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25" name="TextBox 124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26" name="TextBox 125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27" name="TextBox 126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28" name="TextBox 127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29" name="TextBox 128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30" name="TextBox 129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31" name="TextBox 130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32" name="TextBox 131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33" name="TextBox 132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34" name="TextBox 133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35" name="TextBox 134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36" name="TextBox 135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37" name="TextBox 136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38" name="TextBox 137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39" name="TextBox 138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40" name="TextBox 139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41" name="TextBox 140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42" name="TextBox 141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43" name="TextBox 142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44" name="TextBox 143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45" name="TextBox 144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46" name="TextBox 145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47" name="TextBox 146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48" name="TextBox 147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49" name="TextBox 148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50" name="TextBox 149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51" name="TextBox 150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52" name="TextBox 151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53" name="TextBox 152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54" name="TextBox 153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55" name="TextBox 154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56" name="TextBox 155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57" name="TextBox 156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450555</xdr:colOff>
      <xdr:row>31</xdr:row>
      <xdr:rowOff>0</xdr:rowOff>
    </xdr:from>
    <xdr:ext cx="125375" cy="264560"/>
    <xdr:sp macro="" textlink="">
      <xdr:nvSpPr>
        <xdr:cNvPr id="158" name="TextBox 157"/>
        <xdr:cNvSpPr txBox="1"/>
      </xdr:nvSpPr>
      <xdr:spPr>
        <a:xfrm>
          <a:off x="10528005" y="8820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59" name="TextBox 158"/>
        <xdr:cNvSpPr txBox="1"/>
      </xdr:nvSpPr>
      <xdr:spPr>
        <a:xfrm>
          <a:off x="10077450" y="8820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450555</xdr:colOff>
      <xdr:row>31</xdr:row>
      <xdr:rowOff>0</xdr:rowOff>
    </xdr:from>
    <xdr:ext cx="125375" cy="264560"/>
    <xdr:sp macro="" textlink="">
      <xdr:nvSpPr>
        <xdr:cNvPr id="160" name="TextBox 159"/>
        <xdr:cNvSpPr txBox="1"/>
      </xdr:nvSpPr>
      <xdr:spPr>
        <a:xfrm>
          <a:off x="10528005" y="8820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450555</xdr:colOff>
      <xdr:row>31</xdr:row>
      <xdr:rowOff>0</xdr:rowOff>
    </xdr:from>
    <xdr:ext cx="125375" cy="264560"/>
    <xdr:sp macro="" textlink="">
      <xdr:nvSpPr>
        <xdr:cNvPr id="161" name="TextBox 160"/>
        <xdr:cNvSpPr txBox="1"/>
      </xdr:nvSpPr>
      <xdr:spPr>
        <a:xfrm>
          <a:off x="10077450" y="8820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450555</xdr:colOff>
      <xdr:row>31</xdr:row>
      <xdr:rowOff>0</xdr:rowOff>
    </xdr:from>
    <xdr:ext cx="125375" cy="264560"/>
    <xdr:sp macro="" textlink="">
      <xdr:nvSpPr>
        <xdr:cNvPr id="162" name="TextBox 161"/>
        <xdr:cNvSpPr txBox="1"/>
      </xdr:nvSpPr>
      <xdr:spPr>
        <a:xfrm>
          <a:off x="10077450" y="8820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63" name="TextBox 162"/>
        <xdr:cNvSpPr txBox="1"/>
      </xdr:nvSpPr>
      <xdr:spPr>
        <a:xfrm>
          <a:off x="10077450" y="8820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450555</xdr:colOff>
      <xdr:row>31</xdr:row>
      <xdr:rowOff>0</xdr:rowOff>
    </xdr:from>
    <xdr:ext cx="125375" cy="264560"/>
    <xdr:sp macro="" textlink="">
      <xdr:nvSpPr>
        <xdr:cNvPr id="164" name="TextBox 163"/>
        <xdr:cNvSpPr txBox="1"/>
      </xdr:nvSpPr>
      <xdr:spPr>
        <a:xfrm>
          <a:off x="10077450" y="8820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450555</xdr:colOff>
      <xdr:row>31</xdr:row>
      <xdr:rowOff>0</xdr:rowOff>
    </xdr:from>
    <xdr:ext cx="125375" cy="264560"/>
    <xdr:sp macro="" textlink="">
      <xdr:nvSpPr>
        <xdr:cNvPr id="165" name="TextBox 164"/>
        <xdr:cNvSpPr txBox="1"/>
      </xdr:nvSpPr>
      <xdr:spPr>
        <a:xfrm>
          <a:off x="10077450" y="8820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587006</xdr:colOff>
      <xdr:row>31</xdr:row>
      <xdr:rowOff>0</xdr:rowOff>
    </xdr:from>
    <xdr:ext cx="66454" cy="264560"/>
    <xdr:sp macro="" textlink="">
      <xdr:nvSpPr>
        <xdr:cNvPr id="166" name="TextBox 165"/>
        <xdr:cNvSpPr txBox="1"/>
      </xdr:nvSpPr>
      <xdr:spPr>
        <a:xfrm flipH="1">
          <a:off x="10077450" y="88201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450555</xdr:colOff>
      <xdr:row>31</xdr:row>
      <xdr:rowOff>0</xdr:rowOff>
    </xdr:from>
    <xdr:ext cx="125375" cy="264560"/>
    <xdr:sp macro="" textlink="">
      <xdr:nvSpPr>
        <xdr:cNvPr id="167" name="TextBox 166"/>
        <xdr:cNvSpPr txBox="1"/>
      </xdr:nvSpPr>
      <xdr:spPr>
        <a:xfrm>
          <a:off x="10077450" y="8820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450555</xdr:colOff>
      <xdr:row>31</xdr:row>
      <xdr:rowOff>0</xdr:rowOff>
    </xdr:from>
    <xdr:ext cx="125375" cy="264560"/>
    <xdr:sp macro="" textlink="">
      <xdr:nvSpPr>
        <xdr:cNvPr id="168" name="TextBox 167"/>
        <xdr:cNvSpPr txBox="1"/>
      </xdr:nvSpPr>
      <xdr:spPr>
        <a:xfrm>
          <a:off x="10077450" y="8820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587006</xdr:colOff>
      <xdr:row>31</xdr:row>
      <xdr:rowOff>0</xdr:rowOff>
    </xdr:from>
    <xdr:ext cx="66454" cy="264560"/>
    <xdr:sp macro="" textlink="">
      <xdr:nvSpPr>
        <xdr:cNvPr id="169" name="TextBox 168"/>
        <xdr:cNvSpPr txBox="1"/>
      </xdr:nvSpPr>
      <xdr:spPr>
        <a:xfrm flipH="1">
          <a:off x="10077450" y="88201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4837</xdr:colOff>
      <xdr:row>29</xdr:row>
      <xdr:rowOff>6240</xdr:rowOff>
    </xdr:from>
    <xdr:ext cx="264560" cy="1248882"/>
    <xdr:sp macro="" textlink="">
      <xdr:nvSpPr>
        <xdr:cNvPr id="170" name="TextBox 169"/>
        <xdr:cNvSpPr txBox="1"/>
      </xdr:nvSpPr>
      <xdr:spPr>
        <a:xfrm rot="4668514">
          <a:off x="9590126" y="8680376"/>
          <a:ext cx="124888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450555</xdr:colOff>
      <xdr:row>31</xdr:row>
      <xdr:rowOff>0</xdr:rowOff>
    </xdr:from>
    <xdr:ext cx="125375" cy="264560"/>
    <xdr:sp macro="" textlink="">
      <xdr:nvSpPr>
        <xdr:cNvPr id="171" name="TextBox 170"/>
        <xdr:cNvSpPr txBox="1"/>
      </xdr:nvSpPr>
      <xdr:spPr>
        <a:xfrm>
          <a:off x="10077450" y="8820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450555</xdr:colOff>
      <xdr:row>31</xdr:row>
      <xdr:rowOff>0</xdr:rowOff>
    </xdr:from>
    <xdr:ext cx="125375" cy="264560"/>
    <xdr:sp macro="" textlink="">
      <xdr:nvSpPr>
        <xdr:cNvPr id="172" name="TextBox 171"/>
        <xdr:cNvSpPr txBox="1"/>
      </xdr:nvSpPr>
      <xdr:spPr>
        <a:xfrm>
          <a:off x="10077450" y="8820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587006</xdr:colOff>
      <xdr:row>31</xdr:row>
      <xdr:rowOff>0</xdr:rowOff>
    </xdr:from>
    <xdr:ext cx="66454" cy="264560"/>
    <xdr:sp macro="" textlink="">
      <xdr:nvSpPr>
        <xdr:cNvPr id="173" name="TextBox 172"/>
        <xdr:cNvSpPr txBox="1"/>
      </xdr:nvSpPr>
      <xdr:spPr>
        <a:xfrm flipH="1">
          <a:off x="10077450" y="88201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2" name="TextBox 1"/>
        <xdr:cNvSpPr txBox="1"/>
      </xdr:nvSpPr>
      <xdr:spPr>
        <a:xfrm>
          <a:off x="1303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3" name="TextBox 2"/>
        <xdr:cNvSpPr txBox="1"/>
      </xdr:nvSpPr>
      <xdr:spPr>
        <a:xfrm>
          <a:off x="1303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4" name="TextBox 3"/>
        <xdr:cNvSpPr txBox="1"/>
      </xdr:nvSpPr>
      <xdr:spPr>
        <a:xfrm>
          <a:off x="1303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5" name="TextBox 4"/>
        <xdr:cNvSpPr txBox="1"/>
      </xdr:nvSpPr>
      <xdr:spPr>
        <a:xfrm>
          <a:off x="1303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66454" cy="264560"/>
    <xdr:sp macro="" textlink="">
      <xdr:nvSpPr>
        <xdr:cNvPr id="6" name="TextBox 5"/>
        <xdr:cNvSpPr txBox="1"/>
      </xdr:nvSpPr>
      <xdr:spPr>
        <a:xfrm flipH="1">
          <a:off x="13030200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7" name="TextBox 6"/>
        <xdr:cNvSpPr txBox="1"/>
      </xdr:nvSpPr>
      <xdr:spPr>
        <a:xfrm>
          <a:off x="1303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8" name="TextBox 7"/>
        <xdr:cNvSpPr txBox="1"/>
      </xdr:nvSpPr>
      <xdr:spPr>
        <a:xfrm>
          <a:off x="1303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9" name="TextBox 8"/>
        <xdr:cNvSpPr txBox="1"/>
      </xdr:nvSpPr>
      <xdr:spPr>
        <a:xfrm>
          <a:off x="1303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0" name="TextBox 9"/>
        <xdr:cNvSpPr txBox="1"/>
      </xdr:nvSpPr>
      <xdr:spPr>
        <a:xfrm>
          <a:off x="1303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1" name="TextBox 10"/>
        <xdr:cNvSpPr txBox="1"/>
      </xdr:nvSpPr>
      <xdr:spPr>
        <a:xfrm>
          <a:off x="1303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2" name="TextBox 11"/>
        <xdr:cNvSpPr txBox="1"/>
      </xdr:nvSpPr>
      <xdr:spPr>
        <a:xfrm>
          <a:off x="1303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3" name="TextBox 12"/>
        <xdr:cNvSpPr txBox="1"/>
      </xdr:nvSpPr>
      <xdr:spPr>
        <a:xfrm>
          <a:off x="1303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4" name="TextBox 13"/>
        <xdr:cNvSpPr txBox="1"/>
      </xdr:nvSpPr>
      <xdr:spPr>
        <a:xfrm>
          <a:off x="1303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66454" cy="264560"/>
    <xdr:sp macro="" textlink="">
      <xdr:nvSpPr>
        <xdr:cNvPr id="15" name="TextBox 14"/>
        <xdr:cNvSpPr txBox="1"/>
      </xdr:nvSpPr>
      <xdr:spPr>
        <a:xfrm flipH="1">
          <a:off x="13030200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6" name="TextBox 15"/>
        <xdr:cNvSpPr txBox="1"/>
      </xdr:nvSpPr>
      <xdr:spPr>
        <a:xfrm>
          <a:off x="1303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7" name="TextBox 16"/>
        <xdr:cNvSpPr txBox="1"/>
      </xdr:nvSpPr>
      <xdr:spPr>
        <a:xfrm>
          <a:off x="1303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8" name="TextBox 17"/>
        <xdr:cNvSpPr txBox="1"/>
      </xdr:nvSpPr>
      <xdr:spPr>
        <a:xfrm>
          <a:off x="1303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9" name="TextBox 18"/>
        <xdr:cNvSpPr txBox="1"/>
      </xdr:nvSpPr>
      <xdr:spPr>
        <a:xfrm>
          <a:off x="1303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5008" cy="255462"/>
    <xdr:sp macro="" textlink="">
      <xdr:nvSpPr>
        <xdr:cNvPr id="20" name="TextBox 19"/>
        <xdr:cNvSpPr txBox="1"/>
      </xdr:nvSpPr>
      <xdr:spPr>
        <a:xfrm>
          <a:off x="16411575" y="94773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5008" cy="255462"/>
    <xdr:sp macro="" textlink="">
      <xdr:nvSpPr>
        <xdr:cNvPr id="21" name="TextBox 20"/>
        <xdr:cNvSpPr txBox="1"/>
      </xdr:nvSpPr>
      <xdr:spPr>
        <a:xfrm>
          <a:off x="16411575" y="94773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22" name="TextBox 21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23" name="TextBox 22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66454" cy="264560"/>
    <xdr:sp macro="" textlink="">
      <xdr:nvSpPr>
        <xdr:cNvPr id="24" name="TextBox 23"/>
        <xdr:cNvSpPr txBox="1"/>
      </xdr:nvSpPr>
      <xdr:spPr>
        <a:xfrm flipH="1">
          <a:off x="1641157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25" name="TextBox 24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26" name="TextBox 25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27" name="TextBox 26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28" name="TextBox 27"/>
        <xdr:cNvSpPr txBox="1"/>
      </xdr:nvSpPr>
      <xdr:spPr>
        <a:xfrm>
          <a:off x="164115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29" name="TextBox 28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0" name="TextBox 29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1" name="TextBox 30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2" name="TextBox 31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3" name="TextBox 32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4" name="TextBox 33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5" name="TextBox 34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6" name="TextBox 35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7" name="TextBox 36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8" name="TextBox 37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9" name="TextBox 38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0" name="TextBox 39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1" name="TextBox 40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2" name="TextBox 41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3" name="TextBox 42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4" name="TextBox 43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5" name="TextBox 44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6" name="TextBox 45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7" name="TextBox 46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8" name="TextBox 47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9" name="TextBox 48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0" name="TextBox 49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1" name="TextBox 50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2" name="TextBox 51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3" name="TextBox 52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4" name="TextBox 53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5" name="TextBox 54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6" name="TextBox 55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7" name="TextBox 56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8" name="TextBox 57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9" name="TextBox 58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0" name="TextBox 59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1" name="TextBox 60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2" name="TextBox 61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3" name="TextBox 62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4" name="TextBox 63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5" name="TextBox 64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6" name="TextBox 65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7" name="TextBox 66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8" name="TextBox 67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9" name="TextBox 68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0" name="TextBox 69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1" name="TextBox 70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2" name="TextBox 71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3" name="TextBox 72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4" name="TextBox 73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5" name="TextBox 74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6" name="TextBox 75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7" name="TextBox 76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8" name="TextBox 77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9" name="TextBox 78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80" name="TextBox 79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1" name="TextBox 80"/>
        <xdr:cNvSpPr txBox="1"/>
      </xdr:nvSpPr>
      <xdr:spPr>
        <a:xfrm>
          <a:off x="164115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2" name="TextBox 81"/>
        <xdr:cNvSpPr txBox="1"/>
      </xdr:nvSpPr>
      <xdr:spPr>
        <a:xfrm>
          <a:off x="164115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3" name="TextBox 82"/>
        <xdr:cNvSpPr txBox="1"/>
      </xdr:nvSpPr>
      <xdr:spPr>
        <a:xfrm>
          <a:off x="164115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4" name="TextBox 83"/>
        <xdr:cNvSpPr txBox="1"/>
      </xdr:nvSpPr>
      <xdr:spPr>
        <a:xfrm>
          <a:off x="164115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5" name="TextBox 84"/>
        <xdr:cNvSpPr txBox="1"/>
      </xdr:nvSpPr>
      <xdr:spPr>
        <a:xfrm>
          <a:off x="164115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6" name="TextBox 85"/>
        <xdr:cNvSpPr txBox="1"/>
      </xdr:nvSpPr>
      <xdr:spPr>
        <a:xfrm>
          <a:off x="164115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7" name="TextBox 86"/>
        <xdr:cNvSpPr txBox="1"/>
      </xdr:nvSpPr>
      <xdr:spPr>
        <a:xfrm>
          <a:off x="164115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8" name="TextBox 87"/>
        <xdr:cNvSpPr txBox="1"/>
      </xdr:nvSpPr>
      <xdr:spPr>
        <a:xfrm>
          <a:off x="164115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66454" cy="264560"/>
    <xdr:sp macro="" textlink="">
      <xdr:nvSpPr>
        <xdr:cNvPr id="89" name="TextBox 88"/>
        <xdr:cNvSpPr txBox="1"/>
      </xdr:nvSpPr>
      <xdr:spPr>
        <a:xfrm flipH="1">
          <a:off x="1641157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90" name="TextBox 89"/>
        <xdr:cNvSpPr txBox="1"/>
      </xdr:nvSpPr>
      <xdr:spPr>
        <a:xfrm>
          <a:off x="164115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91" name="TextBox 90"/>
        <xdr:cNvSpPr txBox="1"/>
      </xdr:nvSpPr>
      <xdr:spPr>
        <a:xfrm>
          <a:off x="164115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66454" cy="264560"/>
    <xdr:sp macro="" textlink="">
      <xdr:nvSpPr>
        <xdr:cNvPr id="92" name="TextBox 91"/>
        <xdr:cNvSpPr txBox="1"/>
      </xdr:nvSpPr>
      <xdr:spPr>
        <a:xfrm flipH="1">
          <a:off x="1641157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595386</xdr:rowOff>
    </xdr:from>
    <xdr:ext cx="264560" cy="1248882"/>
    <xdr:sp macro="" textlink="">
      <xdr:nvSpPr>
        <xdr:cNvPr id="93" name="TextBox 92"/>
        <xdr:cNvSpPr txBox="1"/>
      </xdr:nvSpPr>
      <xdr:spPr>
        <a:xfrm rot="4668514">
          <a:off x="15919414" y="9269522"/>
          <a:ext cx="124888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94" name="TextBox 93"/>
        <xdr:cNvSpPr txBox="1"/>
      </xdr:nvSpPr>
      <xdr:spPr>
        <a:xfrm>
          <a:off x="164115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95" name="TextBox 94"/>
        <xdr:cNvSpPr txBox="1"/>
      </xdr:nvSpPr>
      <xdr:spPr>
        <a:xfrm>
          <a:off x="164115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66454" cy="264560"/>
    <xdr:sp macro="" textlink="">
      <xdr:nvSpPr>
        <xdr:cNvPr id="96" name="TextBox 95"/>
        <xdr:cNvSpPr txBox="1"/>
      </xdr:nvSpPr>
      <xdr:spPr>
        <a:xfrm flipH="1">
          <a:off x="1641157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5008" cy="255462"/>
    <xdr:sp macro="" textlink="">
      <xdr:nvSpPr>
        <xdr:cNvPr id="97" name="TextBox 96"/>
        <xdr:cNvSpPr txBox="1"/>
      </xdr:nvSpPr>
      <xdr:spPr>
        <a:xfrm>
          <a:off x="16411575" y="81819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5008" cy="255462"/>
    <xdr:sp macro="" textlink="">
      <xdr:nvSpPr>
        <xdr:cNvPr id="98" name="TextBox 97"/>
        <xdr:cNvSpPr txBox="1"/>
      </xdr:nvSpPr>
      <xdr:spPr>
        <a:xfrm>
          <a:off x="16411575" y="81819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99" name="TextBox 98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00" name="TextBox 99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66454" cy="264560"/>
    <xdr:sp macro="" textlink="">
      <xdr:nvSpPr>
        <xdr:cNvPr id="101" name="TextBox 100"/>
        <xdr:cNvSpPr txBox="1"/>
      </xdr:nvSpPr>
      <xdr:spPr>
        <a:xfrm flipH="1">
          <a:off x="16411575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02" name="TextBox 101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03" name="TextBox 102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04" name="TextBox 103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05" name="TextBox 104"/>
        <xdr:cNvSpPr txBox="1"/>
      </xdr:nvSpPr>
      <xdr:spPr>
        <a:xfrm>
          <a:off x="164115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06" name="TextBox 105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07" name="TextBox 106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08" name="TextBox 107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09" name="TextBox 108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0" name="TextBox 109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1" name="TextBox 110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2" name="TextBox 111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3" name="TextBox 112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4" name="TextBox 113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5" name="TextBox 114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6" name="TextBox 115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7" name="TextBox 116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8" name="TextBox 117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9" name="TextBox 118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0" name="TextBox 119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1" name="TextBox 120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2" name="TextBox 121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3" name="TextBox 122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4" name="TextBox 123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5" name="TextBox 124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6" name="TextBox 125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7" name="TextBox 126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8" name="TextBox 127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9" name="TextBox 128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0" name="TextBox 129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1" name="TextBox 130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2" name="TextBox 131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3" name="TextBox 132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4" name="TextBox 133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5" name="TextBox 134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6" name="TextBox 135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7" name="TextBox 136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8" name="TextBox 137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9" name="TextBox 138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0" name="TextBox 139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1" name="TextBox 140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2" name="TextBox 141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3" name="TextBox 142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4" name="TextBox 143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5" name="TextBox 144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6" name="TextBox 145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7" name="TextBox 146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8" name="TextBox 147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9" name="TextBox 148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50" name="TextBox 149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51" name="TextBox 150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52" name="TextBox 151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53" name="TextBox 152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54" name="TextBox 153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55" name="TextBox 154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56" name="TextBox 155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57" name="TextBox 156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58" name="TextBox 157"/>
        <xdr:cNvSpPr txBox="1"/>
      </xdr:nvSpPr>
      <xdr:spPr>
        <a:xfrm>
          <a:off x="164115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59" name="TextBox 158"/>
        <xdr:cNvSpPr txBox="1"/>
      </xdr:nvSpPr>
      <xdr:spPr>
        <a:xfrm>
          <a:off x="164115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60" name="TextBox 159"/>
        <xdr:cNvSpPr txBox="1"/>
      </xdr:nvSpPr>
      <xdr:spPr>
        <a:xfrm>
          <a:off x="164115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61" name="TextBox 160"/>
        <xdr:cNvSpPr txBox="1"/>
      </xdr:nvSpPr>
      <xdr:spPr>
        <a:xfrm>
          <a:off x="164115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62" name="TextBox 161"/>
        <xdr:cNvSpPr txBox="1"/>
      </xdr:nvSpPr>
      <xdr:spPr>
        <a:xfrm>
          <a:off x="164115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63" name="TextBox 162"/>
        <xdr:cNvSpPr txBox="1"/>
      </xdr:nvSpPr>
      <xdr:spPr>
        <a:xfrm>
          <a:off x="164115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64" name="TextBox 163"/>
        <xdr:cNvSpPr txBox="1"/>
      </xdr:nvSpPr>
      <xdr:spPr>
        <a:xfrm>
          <a:off x="164115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65" name="TextBox 164"/>
        <xdr:cNvSpPr txBox="1"/>
      </xdr:nvSpPr>
      <xdr:spPr>
        <a:xfrm>
          <a:off x="164115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66454" cy="264560"/>
    <xdr:sp macro="" textlink="">
      <xdr:nvSpPr>
        <xdr:cNvPr id="166" name="TextBox 165"/>
        <xdr:cNvSpPr txBox="1"/>
      </xdr:nvSpPr>
      <xdr:spPr>
        <a:xfrm flipH="1">
          <a:off x="16411575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67" name="TextBox 166"/>
        <xdr:cNvSpPr txBox="1"/>
      </xdr:nvSpPr>
      <xdr:spPr>
        <a:xfrm>
          <a:off x="164115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68" name="TextBox 167"/>
        <xdr:cNvSpPr txBox="1"/>
      </xdr:nvSpPr>
      <xdr:spPr>
        <a:xfrm>
          <a:off x="164115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66454" cy="264560"/>
    <xdr:sp macro="" textlink="">
      <xdr:nvSpPr>
        <xdr:cNvPr id="169" name="TextBox 168"/>
        <xdr:cNvSpPr txBox="1"/>
      </xdr:nvSpPr>
      <xdr:spPr>
        <a:xfrm flipH="1">
          <a:off x="16411575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29</xdr:row>
      <xdr:rowOff>6240</xdr:rowOff>
    </xdr:from>
    <xdr:ext cx="264560" cy="1248882"/>
    <xdr:sp macro="" textlink="">
      <xdr:nvSpPr>
        <xdr:cNvPr id="170" name="TextBox 169"/>
        <xdr:cNvSpPr txBox="1"/>
      </xdr:nvSpPr>
      <xdr:spPr>
        <a:xfrm rot="4668514">
          <a:off x="15919414" y="8013626"/>
          <a:ext cx="124888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71" name="TextBox 170"/>
        <xdr:cNvSpPr txBox="1"/>
      </xdr:nvSpPr>
      <xdr:spPr>
        <a:xfrm>
          <a:off x="164115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72" name="TextBox 171"/>
        <xdr:cNvSpPr txBox="1"/>
      </xdr:nvSpPr>
      <xdr:spPr>
        <a:xfrm>
          <a:off x="164115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66454" cy="264560"/>
    <xdr:sp macro="" textlink="">
      <xdr:nvSpPr>
        <xdr:cNvPr id="173" name="TextBox 172"/>
        <xdr:cNvSpPr txBox="1"/>
      </xdr:nvSpPr>
      <xdr:spPr>
        <a:xfrm flipH="1">
          <a:off x="16411575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2" name="TextBox 1"/>
        <xdr:cNvSpPr txBox="1"/>
      </xdr:nvSpPr>
      <xdr:spPr>
        <a:xfrm>
          <a:off x="66294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3" name="TextBox 2"/>
        <xdr:cNvSpPr txBox="1"/>
      </xdr:nvSpPr>
      <xdr:spPr>
        <a:xfrm>
          <a:off x="66294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4" name="TextBox 3"/>
        <xdr:cNvSpPr txBox="1"/>
      </xdr:nvSpPr>
      <xdr:spPr>
        <a:xfrm>
          <a:off x="66294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5" name="TextBox 4"/>
        <xdr:cNvSpPr txBox="1"/>
      </xdr:nvSpPr>
      <xdr:spPr>
        <a:xfrm>
          <a:off x="66294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66454" cy="264560"/>
    <xdr:sp macro="" textlink="">
      <xdr:nvSpPr>
        <xdr:cNvPr id="6" name="TextBox 5"/>
        <xdr:cNvSpPr txBox="1"/>
      </xdr:nvSpPr>
      <xdr:spPr>
        <a:xfrm flipH="1">
          <a:off x="6629400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7" name="TextBox 6"/>
        <xdr:cNvSpPr txBox="1"/>
      </xdr:nvSpPr>
      <xdr:spPr>
        <a:xfrm>
          <a:off x="66294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8" name="TextBox 7"/>
        <xdr:cNvSpPr txBox="1"/>
      </xdr:nvSpPr>
      <xdr:spPr>
        <a:xfrm>
          <a:off x="66294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9" name="TextBox 8"/>
        <xdr:cNvSpPr txBox="1"/>
      </xdr:nvSpPr>
      <xdr:spPr>
        <a:xfrm>
          <a:off x="66294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0" name="TextBox 9"/>
        <xdr:cNvSpPr txBox="1"/>
      </xdr:nvSpPr>
      <xdr:spPr>
        <a:xfrm>
          <a:off x="66294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1" name="TextBox 10"/>
        <xdr:cNvSpPr txBox="1"/>
      </xdr:nvSpPr>
      <xdr:spPr>
        <a:xfrm>
          <a:off x="66294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2" name="TextBox 11"/>
        <xdr:cNvSpPr txBox="1"/>
      </xdr:nvSpPr>
      <xdr:spPr>
        <a:xfrm>
          <a:off x="66294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3" name="TextBox 12"/>
        <xdr:cNvSpPr txBox="1"/>
      </xdr:nvSpPr>
      <xdr:spPr>
        <a:xfrm>
          <a:off x="66294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4" name="TextBox 13"/>
        <xdr:cNvSpPr txBox="1"/>
      </xdr:nvSpPr>
      <xdr:spPr>
        <a:xfrm>
          <a:off x="66294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66454" cy="264560"/>
    <xdr:sp macro="" textlink="">
      <xdr:nvSpPr>
        <xdr:cNvPr id="15" name="TextBox 14"/>
        <xdr:cNvSpPr txBox="1"/>
      </xdr:nvSpPr>
      <xdr:spPr>
        <a:xfrm flipH="1">
          <a:off x="6629400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6" name="TextBox 15"/>
        <xdr:cNvSpPr txBox="1"/>
      </xdr:nvSpPr>
      <xdr:spPr>
        <a:xfrm>
          <a:off x="66294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7" name="TextBox 16"/>
        <xdr:cNvSpPr txBox="1"/>
      </xdr:nvSpPr>
      <xdr:spPr>
        <a:xfrm>
          <a:off x="66294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8" name="TextBox 17"/>
        <xdr:cNvSpPr txBox="1"/>
      </xdr:nvSpPr>
      <xdr:spPr>
        <a:xfrm>
          <a:off x="66294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9" name="TextBox 18"/>
        <xdr:cNvSpPr txBox="1"/>
      </xdr:nvSpPr>
      <xdr:spPr>
        <a:xfrm>
          <a:off x="66294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5008" cy="255462"/>
    <xdr:sp macro="" textlink="">
      <xdr:nvSpPr>
        <xdr:cNvPr id="20" name="TextBox 19"/>
        <xdr:cNvSpPr txBox="1"/>
      </xdr:nvSpPr>
      <xdr:spPr>
        <a:xfrm>
          <a:off x="8067675" y="94773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5008" cy="255462"/>
    <xdr:sp macro="" textlink="">
      <xdr:nvSpPr>
        <xdr:cNvPr id="21" name="TextBox 20"/>
        <xdr:cNvSpPr txBox="1"/>
      </xdr:nvSpPr>
      <xdr:spPr>
        <a:xfrm>
          <a:off x="8067675" y="94773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22" name="TextBox 21"/>
        <xdr:cNvSpPr txBox="1"/>
      </xdr:nvSpPr>
      <xdr:spPr>
        <a:xfrm>
          <a:off x="80676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23" name="TextBox 22"/>
        <xdr:cNvSpPr txBox="1"/>
      </xdr:nvSpPr>
      <xdr:spPr>
        <a:xfrm>
          <a:off x="80676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66454" cy="264560"/>
    <xdr:sp macro="" textlink="">
      <xdr:nvSpPr>
        <xdr:cNvPr id="24" name="TextBox 23"/>
        <xdr:cNvSpPr txBox="1"/>
      </xdr:nvSpPr>
      <xdr:spPr>
        <a:xfrm flipH="1">
          <a:off x="806767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25" name="TextBox 24"/>
        <xdr:cNvSpPr txBox="1"/>
      </xdr:nvSpPr>
      <xdr:spPr>
        <a:xfrm>
          <a:off x="80676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26" name="TextBox 25"/>
        <xdr:cNvSpPr txBox="1"/>
      </xdr:nvSpPr>
      <xdr:spPr>
        <a:xfrm>
          <a:off x="80676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27" name="TextBox 26"/>
        <xdr:cNvSpPr txBox="1"/>
      </xdr:nvSpPr>
      <xdr:spPr>
        <a:xfrm>
          <a:off x="80676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28" name="TextBox 27"/>
        <xdr:cNvSpPr txBox="1"/>
      </xdr:nvSpPr>
      <xdr:spPr>
        <a:xfrm>
          <a:off x="80676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29" name="TextBox 28"/>
        <xdr:cNvSpPr txBox="1"/>
      </xdr:nvSpPr>
      <xdr:spPr>
        <a:xfrm>
          <a:off x="80676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0" name="TextBox 29"/>
        <xdr:cNvSpPr txBox="1"/>
      </xdr:nvSpPr>
      <xdr:spPr>
        <a:xfrm>
          <a:off x="80676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1" name="TextBox 30"/>
        <xdr:cNvSpPr txBox="1"/>
      </xdr:nvSpPr>
      <xdr:spPr>
        <a:xfrm>
          <a:off x="80676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2" name="TextBox 31"/>
        <xdr:cNvSpPr txBox="1"/>
      </xdr:nvSpPr>
      <xdr:spPr>
        <a:xfrm>
          <a:off x="80676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3" name="TextBox 32"/>
        <xdr:cNvSpPr txBox="1"/>
      </xdr:nvSpPr>
      <xdr:spPr>
        <a:xfrm>
          <a:off x="80676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4" name="TextBox 33"/>
        <xdr:cNvSpPr txBox="1"/>
      </xdr:nvSpPr>
      <xdr:spPr>
        <a:xfrm>
          <a:off x="80676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5" name="TextBox 34"/>
        <xdr:cNvSpPr txBox="1"/>
      </xdr:nvSpPr>
      <xdr:spPr>
        <a:xfrm>
          <a:off x="80676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6" name="TextBox 35"/>
        <xdr:cNvSpPr txBox="1"/>
      </xdr:nvSpPr>
      <xdr:spPr>
        <a:xfrm>
          <a:off x="80676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7" name="TextBox 36"/>
        <xdr:cNvSpPr txBox="1"/>
      </xdr:nvSpPr>
      <xdr:spPr>
        <a:xfrm>
          <a:off x="80676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8" name="TextBox 37"/>
        <xdr:cNvSpPr txBox="1"/>
      </xdr:nvSpPr>
      <xdr:spPr>
        <a:xfrm>
          <a:off x="80676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9" name="TextBox 38"/>
        <xdr:cNvSpPr txBox="1"/>
      </xdr:nvSpPr>
      <xdr:spPr>
        <a:xfrm>
          <a:off x="80676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0" name="TextBox 39"/>
        <xdr:cNvSpPr txBox="1"/>
      </xdr:nvSpPr>
      <xdr:spPr>
        <a:xfrm>
          <a:off x="80676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1" name="TextBox 40"/>
        <xdr:cNvSpPr txBox="1"/>
      </xdr:nvSpPr>
      <xdr:spPr>
        <a:xfrm>
          <a:off x="80676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2" name="TextBox 41"/>
        <xdr:cNvSpPr txBox="1"/>
      </xdr:nvSpPr>
      <xdr:spPr>
        <a:xfrm>
          <a:off x="80676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3" name="TextBox 42"/>
        <xdr:cNvSpPr txBox="1"/>
      </xdr:nvSpPr>
      <xdr:spPr>
        <a:xfrm>
          <a:off x="80676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4" name="TextBox 43"/>
        <xdr:cNvSpPr txBox="1"/>
      </xdr:nvSpPr>
      <xdr:spPr>
        <a:xfrm>
          <a:off x="80676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5" name="TextBox 44"/>
        <xdr:cNvSpPr txBox="1"/>
      </xdr:nvSpPr>
      <xdr:spPr>
        <a:xfrm>
          <a:off x="80676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6" name="TextBox 45"/>
        <xdr:cNvSpPr txBox="1"/>
      </xdr:nvSpPr>
      <xdr:spPr>
        <a:xfrm>
          <a:off x="80676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7" name="TextBox 46"/>
        <xdr:cNvSpPr txBox="1"/>
      </xdr:nvSpPr>
      <xdr:spPr>
        <a:xfrm>
          <a:off x="80676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8" name="TextBox 47"/>
        <xdr:cNvSpPr txBox="1"/>
      </xdr:nvSpPr>
      <xdr:spPr>
        <a:xfrm>
          <a:off x="80676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9" name="TextBox 48"/>
        <xdr:cNvSpPr txBox="1"/>
      </xdr:nvSpPr>
      <xdr:spPr>
        <a:xfrm>
          <a:off x="80676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0" name="TextBox 49"/>
        <xdr:cNvSpPr txBox="1"/>
      </xdr:nvSpPr>
      <xdr:spPr>
        <a:xfrm>
          <a:off x="80676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1" name="TextBox 50"/>
        <xdr:cNvSpPr txBox="1"/>
      </xdr:nvSpPr>
      <xdr:spPr>
        <a:xfrm>
          <a:off x="80676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2" name="TextBox 51"/>
        <xdr:cNvSpPr txBox="1"/>
      </xdr:nvSpPr>
      <xdr:spPr>
        <a:xfrm>
          <a:off x="80676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3" name="TextBox 52"/>
        <xdr:cNvSpPr txBox="1"/>
      </xdr:nvSpPr>
      <xdr:spPr>
        <a:xfrm>
          <a:off x="80676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4" name="TextBox 53"/>
        <xdr:cNvSpPr txBox="1"/>
      </xdr:nvSpPr>
      <xdr:spPr>
        <a:xfrm>
          <a:off x="80676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5" name="TextBox 54"/>
        <xdr:cNvSpPr txBox="1"/>
      </xdr:nvSpPr>
      <xdr:spPr>
        <a:xfrm>
          <a:off x="80676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6" name="TextBox 55"/>
        <xdr:cNvSpPr txBox="1"/>
      </xdr:nvSpPr>
      <xdr:spPr>
        <a:xfrm>
          <a:off x="80676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7" name="TextBox 56"/>
        <xdr:cNvSpPr txBox="1"/>
      </xdr:nvSpPr>
      <xdr:spPr>
        <a:xfrm>
          <a:off x="80676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8" name="TextBox 57"/>
        <xdr:cNvSpPr txBox="1"/>
      </xdr:nvSpPr>
      <xdr:spPr>
        <a:xfrm>
          <a:off x="80676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9" name="TextBox 58"/>
        <xdr:cNvSpPr txBox="1"/>
      </xdr:nvSpPr>
      <xdr:spPr>
        <a:xfrm>
          <a:off x="80676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0" name="TextBox 59"/>
        <xdr:cNvSpPr txBox="1"/>
      </xdr:nvSpPr>
      <xdr:spPr>
        <a:xfrm>
          <a:off x="80676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1" name="TextBox 60"/>
        <xdr:cNvSpPr txBox="1"/>
      </xdr:nvSpPr>
      <xdr:spPr>
        <a:xfrm>
          <a:off x="80676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2" name="TextBox 61"/>
        <xdr:cNvSpPr txBox="1"/>
      </xdr:nvSpPr>
      <xdr:spPr>
        <a:xfrm>
          <a:off x="80676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3" name="TextBox 62"/>
        <xdr:cNvSpPr txBox="1"/>
      </xdr:nvSpPr>
      <xdr:spPr>
        <a:xfrm>
          <a:off x="80676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4" name="TextBox 63"/>
        <xdr:cNvSpPr txBox="1"/>
      </xdr:nvSpPr>
      <xdr:spPr>
        <a:xfrm>
          <a:off x="80676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5" name="TextBox 64"/>
        <xdr:cNvSpPr txBox="1"/>
      </xdr:nvSpPr>
      <xdr:spPr>
        <a:xfrm>
          <a:off x="80676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6" name="TextBox 65"/>
        <xdr:cNvSpPr txBox="1"/>
      </xdr:nvSpPr>
      <xdr:spPr>
        <a:xfrm>
          <a:off x="80676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7" name="TextBox 66"/>
        <xdr:cNvSpPr txBox="1"/>
      </xdr:nvSpPr>
      <xdr:spPr>
        <a:xfrm>
          <a:off x="80676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8" name="TextBox 67"/>
        <xdr:cNvSpPr txBox="1"/>
      </xdr:nvSpPr>
      <xdr:spPr>
        <a:xfrm>
          <a:off x="80676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9" name="TextBox 68"/>
        <xdr:cNvSpPr txBox="1"/>
      </xdr:nvSpPr>
      <xdr:spPr>
        <a:xfrm>
          <a:off x="80676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0" name="TextBox 69"/>
        <xdr:cNvSpPr txBox="1"/>
      </xdr:nvSpPr>
      <xdr:spPr>
        <a:xfrm>
          <a:off x="80676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1" name="TextBox 70"/>
        <xdr:cNvSpPr txBox="1"/>
      </xdr:nvSpPr>
      <xdr:spPr>
        <a:xfrm>
          <a:off x="80676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2" name="TextBox 71"/>
        <xdr:cNvSpPr txBox="1"/>
      </xdr:nvSpPr>
      <xdr:spPr>
        <a:xfrm>
          <a:off x="80676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3" name="TextBox 72"/>
        <xdr:cNvSpPr txBox="1"/>
      </xdr:nvSpPr>
      <xdr:spPr>
        <a:xfrm>
          <a:off x="80676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4" name="TextBox 73"/>
        <xdr:cNvSpPr txBox="1"/>
      </xdr:nvSpPr>
      <xdr:spPr>
        <a:xfrm>
          <a:off x="80676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5" name="TextBox 74"/>
        <xdr:cNvSpPr txBox="1"/>
      </xdr:nvSpPr>
      <xdr:spPr>
        <a:xfrm>
          <a:off x="80676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6" name="TextBox 75"/>
        <xdr:cNvSpPr txBox="1"/>
      </xdr:nvSpPr>
      <xdr:spPr>
        <a:xfrm>
          <a:off x="80676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7" name="TextBox 76"/>
        <xdr:cNvSpPr txBox="1"/>
      </xdr:nvSpPr>
      <xdr:spPr>
        <a:xfrm>
          <a:off x="80676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8" name="TextBox 77"/>
        <xdr:cNvSpPr txBox="1"/>
      </xdr:nvSpPr>
      <xdr:spPr>
        <a:xfrm>
          <a:off x="80676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9" name="TextBox 78"/>
        <xdr:cNvSpPr txBox="1"/>
      </xdr:nvSpPr>
      <xdr:spPr>
        <a:xfrm>
          <a:off x="80676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80" name="TextBox 79"/>
        <xdr:cNvSpPr txBox="1"/>
      </xdr:nvSpPr>
      <xdr:spPr>
        <a:xfrm>
          <a:off x="80676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1" name="TextBox 80"/>
        <xdr:cNvSpPr txBox="1"/>
      </xdr:nvSpPr>
      <xdr:spPr>
        <a:xfrm>
          <a:off x="80676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2" name="TextBox 81"/>
        <xdr:cNvSpPr txBox="1"/>
      </xdr:nvSpPr>
      <xdr:spPr>
        <a:xfrm>
          <a:off x="80676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3" name="TextBox 82"/>
        <xdr:cNvSpPr txBox="1"/>
      </xdr:nvSpPr>
      <xdr:spPr>
        <a:xfrm>
          <a:off x="80676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4" name="TextBox 83"/>
        <xdr:cNvSpPr txBox="1"/>
      </xdr:nvSpPr>
      <xdr:spPr>
        <a:xfrm>
          <a:off x="80676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5" name="TextBox 84"/>
        <xdr:cNvSpPr txBox="1"/>
      </xdr:nvSpPr>
      <xdr:spPr>
        <a:xfrm>
          <a:off x="80676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6" name="TextBox 85"/>
        <xdr:cNvSpPr txBox="1"/>
      </xdr:nvSpPr>
      <xdr:spPr>
        <a:xfrm>
          <a:off x="80676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7" name="TextBox 86"/>
        <xdr:cNvSpPr txBox="1"/>
      </xdr:nvSpPr>
      <xdr:spPr>
        <a:xfrm>
          <a:off x="80676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8" name="TextBox 87"/>
        <xdr:cNvSpPr txBox="1"/>
      </xdr:nvSpPr>
      <xdr:spPr>
        <a:xfrm>
          <a:off x="80676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66454" cy="264560"/>
    <xdr:sp macro="" textlink="">
      <xdr:nvSpPr>
        <xdr:cNvPr id="89" name="TextBox 88"/>
        <xdr:cNvSpPr txBox="1"/>
      </xdr:nvSpPr>
      <xdr:spPr>
        <a:xfrm flipH="1">
          <a:off x="806767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90" name="TextBox 89"/>
        <xdr:cNvSpPr txBox="1"/>
      </xdr:nvSpPr>
      <xdr:spPr>
        <a:xfrm>
          <a:off x="80676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91" name="TextBox 90"/>
        <xdr:cNvSpPr txBox="1"/>
      </xdr:nvSpPr>
      <xdr:spPr>
        <a:xfrm>
          <a:off x="80676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66454" cy="264560"/>
    <xdr:sp macro="" textlink="">
      <xdr:nvSpPr>
        <xdr:cNvPr id="92" name="TextBox 91"/>
        <xdr:cNvSpPr txBox="1"/>
      </xdr:nvSpPr>
      <xdr:spPr>
        <a:xfrm flipH="1">
          <a:off x="806767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595386</xdr:rowOff>
    </xdr:from>
    <xdr:ext cx="264560" cy="1248882"/>
    <xdr:sp macro="" textlink="">
      <xdr:nvSpPr>
        <xdr:cNvPr id="93" name="TextBox 92"/>
        <xdr:cNvSpPr txBox="1"/>
      </xdr:nvSpPr>
      <xdr:spPr>
        <a:xfrm rot="4668514">
          <a:off x="7575514" y="9269522"/>
          <a:ext cx="124888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94" name="TextBox 93"/>
        <xdr:cNvSpPr txBox="1"/>
      </xdr:nvSpPr>
      <xdr:spPr>
        <a:xfrm>
          <a:off x="80676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95" name="TextBox 94"/>
        <xdr:cNvSpPr txBox="1"/>
      </xdr:nvSpPr>
      <xdr:spPr>
        <a:xfrm>
          <a:off x="80676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66454" cy="264560"/>
    <xdr:sp macro="" textlink="">
      <xdr:nvSpPr>
        <xdr:cNvPr id="96" name="TextBox 95"/>
        <xdr:cNvSpPr txBox="1"/>
      </xdr:nvSpPr>
      <xdr:spPr>
        <a:xfrm flipH="1">
          <a:off x="806767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5008" cy="255462"/>
    <xdr:sp macro="" textlink="">
      <xdr:nvSpPr>
        <xdr:cNvPr id="97" name="TextBox 96"/>
        <xdr:cNvSpPr txBox="1"/>
      </xdr:nvSpPr>
      <xdr:spPr>
        <a:xfrm>
          <a:off x="8067675" y="81819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5008" cy="255462"/>
    <xdr:sp macro="" textlink="">
      <xdr:nvSpPr>
        <xdr:cNvPr id="98" name="TextBox 97"/>
        <xdr:cNvSpPr txBox="1"/>
      </xdr:nvSpPr>
      <xdr:spPr>
        <a:xfrm>
          <a:off x="8067675" y="81819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99" name="TextBox 98"/>
        <xdr:cNvSpPr txBox="1"/>
      </xdr:nvSpPr>
      <xdr:spPr>
        <a:xfrm>
          <a:off x="80676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00" name="TextBox 99"/>
        <xdr:cNvSpPr txBox="1"/>
      </xdr:nvSpPr>
      <xdr:spPr>
        <a:xfrm>
          <a:off x="80676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66454" cy="264560"/>
    <xdr:sp macro="" textlink="">
      <xdr:nvSpPr>
        <xdr:cNvPr id="101" name="TextBox 100"/>
        <xdr:cNvSpPr txBox="1"/>
      </xdr:nvSpPr>
      <xdr:spPr>
        <a:xfrm flipH="1">
          <a:off x="8067675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02" name="TextBox 101"/>
        <xdr:cNvSpPr txBox="1"/>
      </xdr:nvSpPr>
      <xdr:spPr>
        <a:xfrm>
          <a:off x="80676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03" name="TextBox 102"/>
        <xdr:cNvSpPr txBox="1"/>
      </xdr:nvSpPr>
      <xdr:spPr>
        <a:xfrm>
          <a:off x="80676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04" name="TextBox 103"/>
        <xdr:cNvSpPr txBox="1"/>
      </xdr:nvSpPr>
      <xdr:spPr>
        <a:xfrm>
          <a:off x="80676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05" name="TextBox 104"/>
        <xdr:cNvSpPr txBox="1"/>
      </xdr:nvSpPr>
      <xdr:spPr>
        <a:xfrm>
          <a:off x="80676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06" name="TextBox 105"/>
        <xdr:cNvSpPr txBox="1"/>
      </xdr:nvSpPr>
      <xdr:spPr>
        <a:xfrm>
          <a:off x="80676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07" name="TextBox 106"/>
        <xdr:cNvSpPr txBox="1"/>
      </xdr:nvSpPr>
      <xdr:spPr>
        <a:xfrm>
          <a:off x="80676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08" name="TextBox 107"/>
        <xdr:cNvSpPr txBox="1"/>
      </xdr:nvSpPr>
      <xdr:spPr>
        <a:xfrm>
          <a:off x="80676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09" name="TextBox 108"/>
        <xdr:cNvSpPr txBox="1"/>
      </xdr:nvSpPr>
      <xdr:spPr>
        <a:xfrm>
          <a:off x="80676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0" name="TextBox 109"/>
        <xdr:cNvSpPr txBox="1"/>
      </xdr:nvSpPr>
      <xdr:spPr>
        <a:xfrm>
          <a:off x="80676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1" name="TextBox 110"/>
        <xdr:cNvSpPr txBox="1"/>
      </xdr:nvSpPr>
      <xdr:spPr>
        <a:xfrm>
          <a:off x="80676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2" name="TextBox 111"/>
        <xdr:cNvSpPr txBox="1"/>
      </xdr:nvSpPr>
      <xdr:spPr>
        <a:xfrm>
          <a:off x="80676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3" name="TextBox 112"/>
        <xdr:cNvSpPr txBox="1"/>
      </xdr:nvSpPr>
      <xdr:spPr>
        <a:xfrm>
          <a:off x="80676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4" name="TextBox 113"/>
        <xdr:cNvSpPr txBox="1"/>
      </xdr:nvSpPr>
      <xdr:spPr>
        <a:xfrm>
          <a:off x="80676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5" name="TextBox 114"/>
        <xdr:cNvSpPr txBox="1"/>
      </xdr:nvSpPr>
      <xdr:spPr>
        <a:xfrm>
          <a:off x="80676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6" name="TextBox 115"/>
        <xdr:cNvSpPr txBox="1"/>
      </xdr:nvSpPr>
      <xdr:spPr>
        <a:xfrm>
          <a:off x="80676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7" name="TextBox 116"/>
        <xdr:cNvSpPr txBox="1"/>
      </xdr:nvSpPr>
      <xdr:spPr>
        <a:xfrm>
          <a:off x="80676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8" name="TextBox 117"/>
        <xdr:cNvSpPr txBox="1"/>
      </xdr:nvSpPr>
      <xdr:spPr>
        <a:xfrm>
          <a:off x="80676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9" name="TextBox 118"/>
        <xdr:cNvSpPr txBox="1"/>
      </xdr:nvSpPr>
      <xdr:spPr>
        <a:xfrm>
          <a:off x="80676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0" name="TextBox 119"/>
        <xdr:cNvSpPr txBox="1"/>
      </xdr:nvSpPr>
      <xdr:spPr>
        <a:xfrm>
          <a:off x="80676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1" name="TextBox 120"/>
        <xdr:cNvSpPr txBox="1"/>
      </xdr:nvSpPr>
      <xdr:spPr>
        <a:xfrm>
          <a:off x="80676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2" name="TextBox 121"/>
        <xdr:cNvSpPr txBox="1"/>
      </xdr:nvSpPr>
      <xdr:spPr>
        <a:xfrm>
          <a:off x="80676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3" name="TextBox 122"/>
        <xdr:cNvSpPr txBox="1"/>
      </xdr:nvSpPr>
      <xdr:spPr>
        <a:xfrm>
          <a:off x="80676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4" name="TextBox 123"/>
        <xdr:cNvSpPr txBox="1"/>
      </xdr:nvSpPr>
      <xdr:spPr>
        <a:xfrm>
          <a:off x="80676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5" name="TextBox 124"/>
        <xdr:cNvSpPr txBox="1"/>
      </xdr:nvSpPr>
      <xdr:spPr>
        <a:xfrm>
          <a:off x="80676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6" name="TextBox 125"/>
        <xdr:cNvSpPr txBox="1"/>
      </xdr:nvSpPr>
      <xdr:spPr>
        <a:xfrm>
          <a:off x="80676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7" name="TextBox 126"/>
        <xdr:cNvSpPr txBox="1"/>
      </xdr:nvSpPr>
      <xdr:spPr>
        <a:xfrm>
          <a:off x="80676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8" name="TextBox 127"/>
        <xdr:cNvSpPr txBox="1"/>
      </xdr:nvSpPr>
      <xdr:spPr>
        <a:xfrm>
          <a:off x="80676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9" name="TextBox 128"/>
        <xdr:cNvSpPr txBox="1"/>
      </xdr:nvSpPr>
      <xdr:spPr>
        <a:xfrm>
          <a:off x="80676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0" name="TextBox 129"/>
        <xdr:cNvSpPr txBox="1"/>
      </xdr:nvSpPr>
      <xdr:spPr>
        <a:xfrm>
          <a:off x="80676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1" name="TextBox 130"/>
        <xdr:cNvSpPr txBox="1"/>
      </xdr:nvSpPr>
      <xdr:spPr>
        <a:xfrm>
          <a:off x="80676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2" name="TextBox 131"/>
        <xdr:cNvSpPr txBox="1"/>
      </xdr:nvSpPr>
      <xdr:spPr>
        <a:xfrm>
          <a:off x="80676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3" name="TextBox 132"/>
        <xdr:cNvSpPr txBox="1"/>
      </xdr:nvSpPr>
      <xdr:spPr>
        <a:xfrm>
          <a:off x="80676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4" name="TextBox 133"/>
        <xdr:cNvSpPr txBox="1"/>
      </xdr:nvSpPr>
      <xdr:spPr>
        <a:xfrm>
          <a:off x="80676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5" name="TextBox 134"/>
        <xdr:cNvSpPr txBox="1"/>
      </xdr:nvSpPr>
      <xdr:spPr>
        <a:xfrm>
          <a:off x="80676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6" name="TextBox 135"/>
        <xdr:cNvSpPr txBox="1"/>
      </xdr:nvSpPr>
      <xdr:spPr>
        <a:xfrm>
          <a:off x="80676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7" name="TextBox 136"/>
        <xdr:cNvSpPr txBox="1"/>
      </xdr:nvSpPr>
      <xdr:spPr>
        <a:xfrm>
          <a:off x="80676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8" name="TextBox 137"/>
        <xdr:cNvSpPr txBox="1"/>
      </xdr:nvSpPr>
      <xdr:spPr>
        <a:xfrm>
          <a:off x="80676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9" name="TextBox 138"/>
        <xdr:cNvSpPr txBox="1"/>
      </xdr:nvSpPr>
      <xdr:spPr>
        <a:xfrm>
          <a:off x="80676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0" name="TextBox 139"/>
        <xdr:cNvSpPr txBox="1"/>
      </xdr:nvSpPr>
      <xdr:spPr>
        <a:xfrm>
          <a:off x="80676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1" name="TextBox 140"/>
        <xdr:cNvSpPr txBox="1"/>
      </xdr:nvSpPr>
      <xdr:spPr>
        <a:xfrm>
          <a:off x="80676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2" name="TextBox 141"/>
        <xdr:cNvSpPr txBox="1"/>
      </xdr:nvSpPr>
      <xdr:spPr>
        <a:xfrm>
          <a:off x="80676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3" name="TextBox 142"/>
        <xdr:cNvSpPr txBox="1"/>
      </xdr:nvSpPr>
      <xdr:spPr>
        <a:xfrm>
          <a:off x="80676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4" name="TextBox 143"/>
        <xdr:cNvSpPr txBox="1"/>
      </xdr:nvSpPr>
      <xdr:spPr>
        <a:xfrm>
          <a:off x="80676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5" name="TextBox 144"/>
        <xdr:cNvSpPr txBox="1"/>
      </xdr:nvSpPr>
      <xdr:spPr>
        <a:xfrm>
          <a:off x="80676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6" name="TextBox 145"/>
        <xdr:cNvSpPr txBox="1"/>
      </xdr:nvSpPr>
      <xdr:spPr>
        <a:xfrm>
          <a:off x="80676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7" name="TextBox 146"/>
        <xdr:cNvSpPr txBox="1"/>
      </xdr:nvSpPr>
      <xdr:spPr>
        <a:xfrm>
          <a:off x="80676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8" name="TextBox 147"/>
        <xdr:cNvSpPr txBox="1"/>
      </xdr:nvSpPr>
      <xdr:spPr>
        <a:xfrm>
          <a:off x="80676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9" name="TextBox 148"/>
        <xdr:cNvSpPr txBox="1"/>
      </xdr:nvSpPr>
      <xdr:spPr>
        <a:xfrm>
          <a:off x="80676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50" name="TextBox 149"/>
        <xdr:cNvSpPr txBox="1"/>
      </xdr:nvSpPr>
      <xdr:spPr>
        <a:xfrm>
          <a:off x="80676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51" name="TextBox 150"/>
        <xdr:cNvSpPr txBox="1"/>
      </xdr:nvSpPr>
      <xdr:spPr>
        <a:xfrm>
          <a:off x="80676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52" name="TextBox 151"/>
        <xdr:cNvSpPr txBox="1"/>
      </xdr:nvSpPr>
      <xdr:spPr>
        <a:xfrm>
          <a:off x="80676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53" name="TextBox 152"/>
        <xdr:cNvSpPr txBox="1"/>
      </xdr:nvSpPr>
      <xdr:spPr>
        <a:xfrm>
          <a:off x="80676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54" name="TextBox 153"/>
        <xdr:cNvSpPr txBox="1"/>
      </xdr:nvSpPr>
      <xdr:spPr>
        <a:xfrm>
          <a:off x="80676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55" name="TextBox 154"/>
        <xdr:cNvSpPr txBox="1"/>
      </xdr:nvSpPr>
      <xdr:spPr>
        <a:xfrm>
          <a:off x="80676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56" name="TextBox 155"/>
        <xdr:cNvSpPr txBox="1"/>
      </xdr:nvSpPr>
      <xdr:spPr>
        <a:xfrm>
          <a:off x="80676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57" name="TextBox 156"/>
        <xdr:cNvSpPr txBox="1"/>
      </xdr:nvSpPr>
      <xdr:spPr>
        <a:xfrm>
          <a:off x="80676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58" name="TextBox 157"/>
        <xdr:cNvSpPr txBox="1"/>
      </xdr:nvSpPr>
      <xdr:spPr>
        <a:xfrm>
          <a:off x="80676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59" name="TextBox 158"/>
        <xdr:cNvSpPr txBox="1"/>
      </xdr:nvSpPr>
      <xdr:spPr>
        <a:xfrm>
          <a:off x="80676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60" name="TextBox 159"/>
        <xdr:cNvSpPr txBox="1"/>
      </xdr:nvSpPr>
      <xdr:spPr>
        <a:xfrm>
          <a:off x="80676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61" name="TextBox 160"/>
        <xdr:cNvSpPr txBox="1"/>
      </xdr:nvSpPr>
      <xdr:spPr>
        <a:xfrm>
          <a:off x="80676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62" name="TextBox 161"/>
        <xdr:cNvSpPr txBox="1"/>
      </xdr:nvSpPr>
      <xdr:spPr>
        <a:xfrm>
          <a:off x="80676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63" name="TextBox 162"/>
        <xdr:cNvSpPr txBox="1"/>
      </xdr:nvSpPr>
      <xdr:spPr>
        <a:xfrm>
          <a:off x="80676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64" name="TextBox 163"/>
        <xdr:cNvSpPr txBox="1"/>
      </xdr:nvSpPr>
      <xdr:spPr>
        <a:xfrm>
          <a:off x="80676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65" name="TextBox 164"/>
        <xdr:cNvSpPr txBox="1"/>
      </xdr:nvSpPr>
      <xdr:spPr>
        <a:xfrm>
          <a:off x="80676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66454" cy="264560"/>
    <xdr:sp macro="" textlink="">
      <xdr:nvSpPr>
        <xdr:cNvPr id="166" name="TextBox 165"/>
        <xdr:cNvSpPr txBox="1"/>
      </xdr:nvSpPr>
      <xdr:spPr>
        <a:xfrm flipH="1">
          <a:off x="8067675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67" name="TextBox 166"/>
        <xdr:cNvSpPr txBox="1"/>
      </xdr:nvSpPr>
      <xdr:spPr>
        <a:xfrm>
          <a:off x="80676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68" name="TextBox 167"/>
        <xdr:cNvSpPr txBox="1"/>
      </xdr:nvSpPr>
      <xdr:spPr>
        <a:xfrm>
          <a:off x="80676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66454" cy="264560"/>
    <xdr:sp macro="" textlink="">
      <xdr:nvSpPr>
        <xdr:cNvPr id="169" name="TextBox 168"/>
        <xdr:cNvSpPr txBox="1"/>
      </xdr:nvSpPr>
      <xdr:spPr>
        <a:xfrm flipH="1">
          <a:off x="8067675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29</xdr:row>
      <xdr:rowOff>6240</xdr:rowOff>
    </xdr:from>
    <xdr:ext cx="264560" cy="1248882"/>
    <xdr:sp macro="" textlink="">
      <xdr:nvSpPr>
        <xdr:cNvPr id="170" name="TextBox 169"/>
        <xdr:cNvSpPr txBox="1"/>
      </xdr:nvSpPr>
      <xdr:spPr>
        <a:xfrm rot="4668514">
          <a:off x="7575514" y="8013626"/>
          <a:ext cx="124888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71" name="TextBox 170"/>
        <xdr:cNvSpPr txBox="1"/>
      </xdr:nvSpPr>
      <xdr:spPr>
        <a:xfrm>
          <a:off x="80676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72" name="TextBox 171"/>
        <xdr:cNvSpPr txBox="1"/>
      </xdr:nvSpPr>
      <xdr:spPr>
        <a:xfrm>
          <a:off x="80676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66454" cy="264560"/>
    <xdr:sp macro="" textlink="">
      <xdr:nvSpPr>
        <xdr:cNvPr id="173" name="TextBox 172"/>
        <xdr:cNvSpPr txBox="1"/>
      </xdr:nvSpPr>
      <xdr:spPr>
        <a:xfrm flipH="1">
          <a:off x="8067675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2" name="TextBox 1"/>
        <xdr:cNvSpPr txBox="1"/>
      </xdr:nvSpPr>
      <xdr:spPr>
        <a:xfrm>
          <a:off x="121539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3" name="TextBox 2"/>
        <xdr:cNvSpPr txBox="1"/>
      </xdr:nvSpPr>
      <xdr:spPr>
        <a:xfrm>
          <a:off x="121539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4" name="TextBox 3"/>
        <xdr:cNvSpPr txBox="1"/>
      </xdr:nvSpPr>
      <xdr:spPr>
        <a:xfrm>
          <a:off x="121539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5" name="TextBox 4"/>
        <xdr:cNvSpPr txBox="1"/>
      </xdr:nvSpPr>
      <xdr:spPr>
        <a:xfrm>
          <a:off x="121539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66454" cy="264560"/>
    <xdr:sp macro="" textlink="">
      <xdr:nvSpPr>
        <xdr:cNvPr id="6" name="TextBox 5"/>
        <xdr:cNvSpPr txBox="1"/>
      </xdr:nvSpPr>
      <xdr:spPr>
        <a:xfrm flipH="1">
          <a:off x="12153900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7" name="TextBox 6"/>
        <xdr:cNvSpPr txBox="1"/>
      </xdr:nvSpPr>
      <xdr:spPr>
        <a:xfrm>
          <a:off x="121539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8" name="TextBox 7"/>
        <xdr:cNvSpPr txBox="1"/>
      </xdr:nvSpPr>
      <xdr:spPr>
        <a:xfrm>
          <a:off x="121539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9" name="TextBox 8"/>
        <xdr:cNvSpPr txBox="1"/>
      </xdr:nvSpPr>
      <xdr:spPr>
        <a:xfrm>
          <a:off x="121539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0" name="TextBox 9"/>
        <xdr:cNvSpPr txBox="1"/>
      </xdr:nvSpPr>
      <xdr:spPr>
        <a:xfrm>
          <a:off x="121539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1" name="TextBox 10"/>
        <xdr:cNvSpPr txBox="1"/>
      </xdr:nvSpPr>
      <xdr:spPr>
        <a:xfrm>
          <a:off x="121539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2" name="TextBox 11"/>
        <xdr:cNvSpPr txBox="1"/>
      </xdr:nvSpPr>
      <xdr:spPr>
        <a:xfrm>
          <a:off x="121539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3" name="TextBox 12"/>
        <xdr:cNvSpPr txBox="1"/>
      </xdr:nvSpPr>
      <xdr:spPr>
        <a:xfrm>
          <a:off x="121539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4" name="TextBox 13"/>
        <xdr:cNvSpPr txBox="1"/>
      </xdr:nvSpPr>
      <xdr:spPr>
        <a:xfrm>
          <a:off x="121539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66454" cy="264560"/>
    <xdr:sp macro="" textlink="">
      <xdr:nvSpPr>
        <xdr:cNvPr id="15" name="TextBox 14"/>
        <xdr:cNvSpPr txBox="1"/>
      </xdr:nvSpPr>
      <xdr:spPr>
        <a:xfrm flipH="1">
          <a:off x="12153900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6" name="TextBox 15"/>
        <xdr:cNvSpPr txBox="1"/>
      </xdr:nvSpPr>
      <xdr:spPr>
        <a:xfrm>
          <a:off x="121539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7" name="TextBox 16"/>
        <xdr:cNvSpPr txBox="1"/>
      </xdr:nvSpPr>
      <xdr:spPr>
        <a:xfrm>
          <a:off x="121539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8" name="TextBox 17"/>
        <xdr:cNvSpPr txBox="1"/>
      </xdr:nvSpPr>
      <xdr:spPr>
        <a:xfrm>
          <a:off x="121539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9" name="TextBox 18"/>
        <xdr:cNvSpPr txBox="1"/>
      </xdr:nvSpPr>
      <xdr:spPr>
        <a:xfrm>
          <a:off x="121539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5008" cy="255462"/>
    <xdr:sp macro="" textlink="">
      <xdr:nvSpPr>
        <xdr:cNvPr id="20" name="TextBox 19"/>
        <xdr:cNvSpPr txBox="1"/>
      </xdr:nvSpPr>
      <xdr:spPr>
        <a:xfrm>
          <a:off x="15230475" y="94773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5008" cy="255462"/>
    <xdr:sp macro="" textlink="">
      <xdr:nvSpPr>
        <xdr:cNvPr id="21" name="TextBox 20"/>
        <xdr:cNvSpPr txBox="1"/>
      </xdr:nvSpPr>
      <xdr:spPr>
        <a:xfrm>
          <a:off x="15230475" y="94773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22" name="TextBox 21"/>
        <xdr:cNvSpPr txBox="1"/>
      </xdr:nvSpPr>
      <xdr:spPr>
        <a:xfrm>
          <a:off x="152304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23" name="TextBox 22"/>
        <xdr:cNvSpPr txBox="1"/>
      </xdr:nvSpPr>
      <xdr:spPr>
        <a:xfrm>
          <a:off x="152304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66454" cy="264560"/>
    <xdr:sp macro="" textlink="">
      <xdr:nvSpPr>
        <xdr:cNvPr id="24" name="TextBox 23"/>
        <xdr:cNvSpPr txBox="1"/>
      </xdr:nvSpPr>
      <xdr:spPr>
        <a:xfrm flipH="1">
          <a:off x="1523047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25" name="TextBox 24"/>
        <xdr:cNvSpPr txBox="1"/>
      </xdr:nvSpPr>
      <xdr:spPr>
        <a:xfrm>
          <a:off x="152304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26" name="TextBox 25"/>
        <xdr:cNvSpPr txBox="1"/>
      </xdr:nvSpPr>
      <xdr:spPr>
        <a:xfrm>
          <a:off x="152304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27" name="TextBox 26"/>
        <xdr:cNvSpPr txBox="1"/>
      </xdr:nvSpPr>
      <xdr:spPr>
        <a:xfrm>
          <a:off x="152304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28" name="TextBox 27"/>
        <xdr:cNvSpPr txBox="1"/>
      </xdr:nvSpPr>
      <xdr:spPr>
        <a:xfrm>
          <a:off x="152304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29" name="TextBox 28"/>
        <xdr:cNvSpPr txBox="1"/>
      </xdr:nvSpPr>
      <xdr:spPr>
        <a:xfrm>
          <a:off x="152304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0" name="TextBox 29"/>
        <xdr:cNvSpPr txBox="1"/>
      </xdr:nvSpPr>
      <xdr:spPr>
        <a:xfrm>
          <a:off x="152304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1" name="TextBox 30"/>
        <xdr:cNvSpPr txBox="1"/>
      </xdr:nvSpPr>
      <xdr:spPr>
        <a:xfrm>
          <a:off x="152304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2" name="TextBox 31"/>
        <xdr:cNvSpPr txBox="1"/>
      </xdr:nvSpPr>
      <xdr:spPr>
        <a:xfrm>
          <a:off x="152304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3" name="TextBox 32"/>
        <xdr:cNvSpPr txBox="1"/>
      </xdr:nvSpPr>
      <xdr:spPr>
        <a:xfrm>
          <a:off x="152304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4" name="TextBox 33"/>
        <xdr:cNvSpPr txBox="1"/>
      </xdr:nvSpPr>
      <xdr:spPr>
        <a:xfrm>
          <a:off x="152304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5" name="TextBox 34"/>
        <xdr:cNvSpPr txBox="1"/>
      </xdr:nvSpPr>
      <xdr:spPr>
        <a:xfrm>
          <a:off x="152304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6" name="TextBox 35"/>
        <xdr:cNvSpPr txBox="1"/>
      </xdr:nvSpPr>
      <xdr:spPr>
        <a:xfrm>
          <a:off x="152304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7" name="TextBox 36"/>
        <xdr:cNvSpPr txBox="1"/>
      </xdr:nvSpPr>
      <xdr:spPr>
        <a:xfrm>
          <a:off x="152304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8" name="TextBox 37"/>
        <xdr:cNvSpPr txBox="1"/>
      </xdr:nvSpPr>
      <xdr:spPr>
        <a:xfrm>
          <a:off x="152304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9" name="TextBox 38"/>
        <xdr:cNvSpPr txBox="1"/>
      </xdr:nvSpPr>
      <xdr:spPr>
        <a:xfrm>
          <a:off x="152304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0" name="TextBox 39"/>
        <xdr:cNvSpPr txBox="1"/>
      </xdr:nvSpPr>
      <xdr:spPr>
        <a:xfrm>
          <a:off x="152304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1" name="TextBox 40"/>
        <xdr:cNvSpPr txBox="1"/>
      </xdr:nvSpPr>
      <xdr:spPr>
        <a:xfrm>
          <a:off x="152304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2" name="TextBox 41"/>
        <xdr:cNvSpPr txBox="1"/>
      </xdr:nvSpPr>
      <xdr:spPr>
        <a:xfrm>
          <a:off x="152304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3" name="TextBox 42"/>
        <xdr:cNvSpPr txBox="1"/>
      </xdr:nvSpPr>
      <xdr:spPr>
        <a:xfrm>
          <a:off x="152304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4" name="TextBox 43"/>
        <xdr:cNvSpPr txBox="1"/>
      </xdr:nvSpPr>
      <xdr:spPr>
        <a:xfrm>
          <a:off x="152304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5" name="TextBox 44"/>
        <xdr:cNvSpPr txBox="1"/>
      </xdr:nvSpPr>
      <xdr:spPr>
        <a:xfrm>
          <a:off x="152304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6" name="TextBox 45"/>
        <xdr:cNvSpPr txBox="1"/>
      </xdr:nvSpPr>
      <xdr:spPr>
        <a:xfrm>
          <a:off x="152304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7" name="TextBox 46"/>
        <xdr:cNvSpPr txBox="1"/>
      </xdr:nvSpPr>
      <xdr:spPr>
        <a:xfrm>
          <a:off x="152304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8" name="TextBox 47"/>
        <xdr:cNvSpPr txBox="1"/>
      </xdr:nvSpPr>
      <xdr:spPr>
        <a:xfrm>
          <a:off x="152304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9" name="TextBox 48"/>
        <xdr:cNvSpPr txBox="1"/>
      </xdr:nvSpPr>
      <xdr:spPr>
        <a:xfrm>
          <a:off x="152304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0" name="TextBox 49"/>
        <xdr:cNvSpPr txBox="1"/>
      </xdr:nvSpPr>
      <xdr:spPr>
        <a:xfrm>
          <a:off x="152304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1" name="TextBox 50"/>
        <xdr:cNvSpPr txBox="1"/>
      </xdr:nvSpPr>
      <xdr:spPr>
        <a:xfrm>
          <a:off x="152304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2" name="TextBox 51"/>
        <xdr:cNvSpPr txBox="1"/>
      </xdr:nvSpPr>
      <xdr:spPr>
        <a:xfrm>
          <a:off x="152304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3" name="TextBox 52"/>
        <xdr:cNvSpPr txBox="1"/>
      </xdr:nvSpPr>
      <xdr:spPr>
        <a:xfrm>
          <a:off x="152304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4" name="TextBox 53"/>
        <xdr:cNvSpPr txBox="1"/>
      </xdr:nvSpPr>
      <xdr:spPr>
        <a:xfrm>
          <a:off x="152304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5" name="TextBox 54"/>
        <xdr:cNvSpPr txBox="1"/>
      </xdr:nvSpPr>
      <xdr:spPr>
        <a:xfrm>
          <a:off x="152304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6" name="TextBox 55"/>
        <xdr:cNvSpPr txBox="1"/>
      </xdr:nvSpPr>
      <xdr:spPr>
        <a:xfrm>
          <a:off x="152304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7" name="TextBox 56"/>
        <xdr:cNvSpPr txBox="1"/>
      </xdr:nvSpPr>
      <xdr:spPr>
        <a:xfrm>
          <a:off x="152304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8" name="TextBox 57"/>
        <xdr:cNvSpPr txBox="1"/>
      </xdr:nvSpPr>
      <xdr:spPr>
        <a:xfrm>
          <a:off x="152304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9" name="TextBox 58"/>
        <xdr:cNvSpPr txBox="1"/>
      </xdr:nvSpPr>
      <xdr:spPr>
        <a:xfrm>
          <a:off x="152304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0" name="TextBox 59"/>
        <xdr:cNvSpPr txBox="1"/>
      </xdr:nvSpPr>
      <xdr:spPr>
        <a:xfrm>
          <a:off x="152304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1" name="TextBox 60"/>
        <xdr:cNvSpPr txBox="1"/>
      </xdr:nvSpPr>
      <xdr:spPr>
        <a:xfrm>
          <a:off x="152304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2" name="TextBox 61"/>
        <xdr:cNvSpPr txBox="1"/>
      </xdr:nvSpPr>
      <xdr:spPr>
        <a:xfrm>
          <a:off x="152304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3" name="TextBox 62"/>
        <xdr:cNvSpPr txBox="1"/>
      </xdr:nvSpPr>
      <xdr:spPr>
        <a:xfrm>
          <a:off x="152304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4" name="TextBox 63"/>
        <xdr:cNvSpPr txBox="1"/>
      </xdr:nvSpPr>
      <xdr:spPr>
        <a:xfrm>
          <a:off x="152304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5" name="TextBox 64"/>
        <xdr:cNvSpPr txBox="1"/>
      </xdr:nvSpPr>
      <xdr:spPr>
        <a:xfrm>
          <a:off x="152304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6" name="TextBox 65"/>
        <xdr:cNvSpPr txBox="1"/>
      </xdr:nvSpPr>
      <xdr:spPr>
        <a:xfrm>
          <a:off x="152304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7" name="TextBox 66"/>
        <xdr:cNvSpPr txBox="1"/>
      </xdr:nvSpPr>
      <xdr:spPr>
        <a:xfrm>
          <a:off x="152304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8" name="TextBox 67"/>
        <xdr:cNvSpPr txBox="1"/>
      </xdr:nvSpPr>
      <xdr:spPr>
        <a:xfrm>
          <a:off x="152304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9" name="TextBox 68"/>
        <xdr:cNvSpPr txBox="1"/>
      </xdr:nvSpPr>
      <xdr:spPr>
        <a:xfrm>
          <a:off x="152304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0" name="TextBox 69"/>
        <xdr:cNvSpPr txBox="1"/>
      </xdr:nvSpPr>
      <xdr:spPr>
        <a:xfrm>
          <a:off x="152304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1" name="TextBox 70"/>
        <xdr:cNvSpPr txBox="1"/>
      </xdr:nvSpPr>
      <xdr:spPr>
        <a:xfrm>
          <a:off x="152304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2" name="TextBox 71"/>
        <xdr:cNvSpPr txBox="1"/>
      </xdr:nvSpPr>
      <xdr:spPr>
        <a:xfrm>
          <a:off x="152304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3" name="TextBox 72"/>
        <xdr:cNvSpPr txBox="1"/>
      </xdr:nvSpPr>
      <xdr:spPr>
        <a:xfrm>
          <a:off x="152304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4" name="TextBox 73"/>
        <xdr:cNvSpPr txBox="1"/>
      </xdr:nvSpPr>
      <xdr:spPr>
        <a:xfrm>
          <a:off x="152304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5" name="TextBox 74"/>
        <xdr:cNvSpPr txBox="1"/>
      </xdr:nvSpPr>
      <xdr:spPr>
        <a:xfrm>
          <a:off x="152304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6" name="TextBox 75"/>
        <xdr:cNvSpPr txBox="1"/>
      </xdr:nvSpPr>
      <xdr:spPr>
        <a:xfrm>
          <a:off x="152304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7" name="TextBox 76"/>
        <xdr:cNvSpPr txBox="1"/>
      </xdr:nvSpPr>
      <xdr:spPr>
        <a:xfrm>
          <a:off x="152304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8" name="TextBox 77"/>
        <xdr:cNvSpPr txBox="1"/>
      </xdr:nvSpPr>
      <xdr:spPr>
        <a:xfrm>
          <a:off x="152304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9" name="TextBox 78"/>
        <xdr:cNvSpPr txBox="1"/>
      </xdr:nvSpPr>
      <xdr:spPr>
        <a:xfrm>
          <a:off x="152304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80" name="TextBox 79"/>
        <xdr:cNvSpPr txBox="1"/>
      </xdr:nvSpPr>
      <xdr:spPr>
        <a:xfrm>
          <a:off x="152304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1" name="TextBox 80"/>
        <xdr:cNvSpPr txBox="1"/>
      </xdr:nvSpPr>
      <xdr:spPr>
        <a:xfrm>
          <a:off x="152304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2" name="TextBox 81"/>
        <xdr:cNvSpPr txBox="1"/>
      </xdr:nvSpPr>
      <xdr:spPr>
        <a:xfrm>
          <a:off x="152304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3" name="TextBox 82"/>
        <xdr:cNvSpPr txBox="1"/>
      </xdr:nvSpPr>
      <xdr:spPr>
        <a:xfrm>
          <a:off x="152304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4" name="TextBox 83"/>
        <xdr:cNvSpPr txBox="1"/>
      </xdr:nvSpPr>
      <xdr:spPr>
        <a:xfrm>
          <a:off x="152304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5" name="TextBox 84"/>
        <xdr:cNvSpPr txBox="1"/>
      </xdr:nvSpPr>
      <xdr:spPr>
        <a:xfrm>
          <a:off x="152304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6" name="TextBox 85"/>
        <xdr:cNvSpPr txBox="1"/>
      </xdr:nvSpPr>
      <xdr:spPr>
        <a:xfrm>
          <a:off x="152304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7" name="TextBox 86"/>
        <xdr:cNvSpPr txBox="1"/>
      </xdr:nvSpPr>
      <xdr:spPr>
        <a:xfrm>
          <a:off x="152304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8" name="TextBox 87"/>
        <xdr:cNvSpPr txBox="1"/>
      </xdr:nvSpPr>
      <xdr:spPr>
        <a:xfrm>
          <a:off x="152304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66454" cy="264560"/>
    <xdr:sp macro="" textlink="">
      <xdr:nvSpPr>
        <xdr:cNvPr id="89" name="TextBox 88"/>
        <xdr:cNvSpPr txBox="1"/>
      </xdr:nvSpPr>
      <xdr:spPr>
        <a:xfrm flipH="1">
          <a:off x="1523047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90" name="TextBox 89"/>
        <xdr:cNvSpPr txBox="1"/>
      </xdr:nvSpPr>
      <xdr:spPr>
        <a:xfrm>
          <a:off x="152304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91" name="TextBox 90"/>
        <xdr:cNvSpPr txBox="1"/>
      </xdr:nvSpPr>
      <xdr:spPr>
        <a:xfrm>
          <a:off x="152304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66454" cy="264560"/>
    <xdr:sp macro="" textlink="">
      <xdr:nvSpPr>
        <xdr:cNvPr id="92" name="TextBox 91"/>
        <xdr:cNvSpPr txBox="1"/>
      </xdr:nvSpPr>
      <xdr:spPr>
        <a:xfrm flipH="1">
          <a:off x="1523047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595386</xdr:rowOff>
    </xdr:from>
    <xdr:ext cx="264560" cy="1248882"/>
    <xdr:sp macro="" textlink="">
      <xdr:nvSpPr>
        <xdr:cNvPr id="93" name="TextBox 92"/>
        <xdr:cNvSpPr txBox="1"/>
      </xdr:nvSpPr>
      <xdr:spPr>
        <a:xfrm rot="4668514">
          <a:off x="14738314" y="9269522"/>
          <a:ext cx="124888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94" name="TextBox 93"/>
        <xdr:cNvSpPr txBox="1"/>
      </xdr:nvSpPr>
      <xdr:spPr>
        <a:xfrm>
          <a:off x="152304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95" name="TextBox 94"/>
        <xdr:cNvSpPr txBox="1"/>
      </xdr:nvSpPr>
      <xdr:spPr>
        <a:xfrm>
          <a:off x="152304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66454" cy="264560"/>
    <xdr:sp macro="" textlink="">
      <xdr:nvSpPr>
        <xdr:cNvPr id="96" name="TextBox 95"/>
        <xdr:cNvSpPr txBox="1"/>
      </xdr:nvSpPr>
      <xdr:spPr>
        <a:xfrm flipH="1">
          <a:off x="1523047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5008" cy="255462"/>
    <xdr:sp macro="" textlink="">
      <xdr:nvSpPr>
        <xdr:cNvPr id="97" name="TextBox 96"/>
        <xdr:cNvSpPr txBox="1"/>
      </xdr:nvSpPr>
      <xdr:spPr>
        <a:xfrm>
          <a:off x="15230475" y="81819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5008" cy="255462"/>
    <xdr:sp macro="" textlink="">
      <xdr:nvSpPr>
        <xdr:cNvPr id="98" name="TextBox 97"/>
        <xdr:cNvSpPr txBox="1"/>
      </xdr:nvSpPr>
      <xdr:spPr>
        <a:xfrm>
          <a:off x="15230475" y="81819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99" name="TextBox 98"/>
        <xdr:cNvSpPr txBox="1"/>
      </xdr:nvSpPr>
      <xdr:spPr>
        <a:xfrm>
          <a:off x="152304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00" name="TextBox 99"/>
        <xdr:cNvSpPr txBox="1"/>
      </xdr:nvSpPr>
      <xdr:spPr>
        <a:xfrm>
          <a:off x="152304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66454" cy="264560"/>
    <xdr:sp macro="" textlink="">
      <xdr:nvSpPr>
        <xdr:cNvPr id="101" name="TextBox 100"/>
        <xdr:cNvSpPr txBox="1"/>
      </xdr:nvSpPr>
      <xdr:spPr>
        <a:xfrm flipH="1">
          <a:off x="15230475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02" name="TextBox 101"/>
        <xdr:cNvSpPr txBox="1"/>
      </xdr:nvSpPr>
      <xdr:spPr>
        <a:xfrm>
          <a:off x="152304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03" name="TextBox 102"/>
        <xdr:cNvSpPr txBox="1"/>
      </xdr:nvSpPr>
      <xdr:spPr>
        <a:xfrm>
          <a:off x="152304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04" name="TextBox 103"/>
        <xdr:cNvSpPr txBox="1"/>
      </xdr:nvSpPr>
      <xdr:spPr>
        <a:xfrm>
          <a:off x="152304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05" name="TextBox 104"/>
        <xdr:cNvSpPr txBox="1"/>
      </xdr:nvSpPr>
      <xdr:spPr>
        <a:xfrm>
          <a:off x="152304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06" name="TextBox 105"/>
        <xdr:cNvSpPr txBox="1"/>
      </xdr:nvSpPr>
      <xdr:spPr>
        <a:xfrm>
          <a:off x="152304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07" name="TextBox 106"/>
        <xdr:cNvSpPr txBox="1"/>
      </xdr:nvSpPr>
      <xdr:spPr>
        <a:xfrm>
          <a:off x="152304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08" name="TextBox 107"/>
        <xdr:cNvSpPr txBox="1"/>
      </xdr:nvSpPr>
      <xdr:spPr>
        <a:xfrm>
          <a:off x="152304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09" name="TextBox 108"/>
        <xdr:cNvSpPr txBox="1"/>
      </xdr:nvSpPr>
      <xdr:spPr>
        <a:xfrm>
          <a:off x="152304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0" name="TextBox 109"/>
        <xdr:cNvSpPr txBox="1"/>
      </xdr:nvSpPr>
      <xdr:spPr>
        <a:xfrm>
          <a:off x="152304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1" name="TextBox 110"/>
        <xdr:cNvSpPr txBox="1"/>
      </xdr:nvSpPr>
      <xdr:spPr>
        <a:xfrm>
          <a:off x="152304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2" name="TextBox 111"/>
        <xdr:cNvSpPr txBox="1"/>
      </xdr:nvSpPr>
      <xdr:spPr>
        <a:xfrm>
          <a:off x="152304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3" name="TextBox 112"/>
        <xdr:cNvSpPr txBox="1"/>
      </xdr:nvSpPr>
      <xdr:spPr>
        <a:xfrm>
          <a:off x="152304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4" name="TextBox 113"/>
        <xdr:cNvSpPr txBox="1"/>
      </xdr:nvSpPr>
      <xdr:spPr>
        <a:xfrm>
          <a:off x="152304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5" name="TextBox 114"/>
        <xdr:cNvSpPr txBox="1"/>
      </xdr:nvSpPr>
      <xdr:spPr>
        <a:xfrm>
          <a:off x="152304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6" name="TextBox 115"/>
        <xdr:cNvSpPr txBox="1"/>
      </xdr:nvSpPr>
      <xdr:spPr>
        <a:xfrm>
          <a:off x="152304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7" name="TextBox 116"/>
        <xdr:cNvSpPr txBox="1"/>
      </xdr:nvSpPr>
      <xdr:spPr>
        <a:xfrm>
          <a:off x="152304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8" name="TextBox 117"/>
        <xdr:cNvSpPr txBox="1"/>
      </xdr:nvSpPr>
      <xdr:spPr>
        <a:xfrm>
          <a:off x="152304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9" name="TextBox 118"/>
        <xdr:cNvSpPr txBox="1"/>
      </xdr:nvSpPr>
      <xdr:spPr>
        <a:xfrm>
          <a:off x="152304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0" name="TextBox 119"/>
        <xdr:cNvSpPr txBox="1"/>
      </xdr:nvSpPr>
      <xdr:spPr>
        <a:xfrm>
          <a:off x="152304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1" name="TextBox 120"/>
        <xdr:cNvSpPr txBox="1"/>
      </xdr:nvSpPr>
      <xdr:spPr>
        <a:xfrm>
          <a:off x="152304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2" name="TextBox 121"/>
        <xdr:cNvSpPr txBox="1"/>
      </xdr:nvSpPr>
      <xdr:spPr>
        <a:xfrm>
          <a:off x="152304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3" name="TextBox 122"/>
        <xdr:cNvSpPr txBox="1"/>
      </xdr:nvSpPr>
      <xdr:spPr>
        <a:xfrm>
          <a:off x="152304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4" name="TextBox 123"/>
        <xdr:cNvSpPr txBox="1"/>
      </xdr:nvSpPr>
      <xdr:spPr>
        <a:xfrm>
          <a:off x="152304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5" name="TextBox 124"/>
        <xdr:cNvSpPr txBox="1"/>
      </xdr:nvSpPr>
      <xdr:spPr>
        <a:xfrm>
          <a:off x="152304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6" name="TextBox 125"/>
        <xdr:cNvSpPr txBox="1"/>
      </xdr:nvSpPr>
      <xdr:spPr>
        <a:xfrm>
          <a:off x="152304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7" name="TextBox 126"/>
        <xdr:cNvSpPr txBox="1"/>
      </xdr:nvSpPr>
      <xdr:spPr>
        <a:xfrm>
          <a:off x="152304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8" name="TextBox 127"/>
        <xdr:cNvSpPr txBox="1"/>
      </xdr:nvSpPr>
      <xdr:spPr>
        <a:xfrm>
          <a:off x="152304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9" name="TextBox 128"/>
        <xdr:cNvSpPr txBox="1"/>
      </xdr:nvSpPr>
      <xdr:spPr>
        <a:xfrm>
          <a:off x="152304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0" name="TextBox 129"/>
        <xdr:cNvSpPr txBox="1"/>
      </xdr:nvSpPr>
      <xdr:spPr>
        <a:xfrm>
          <a:off x="152304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1" name="TextBox 130"/>
        <xdr:cNvSpPr txBox="1"/>
      </xdr:nvSpPr>
      <xdr:spPr>
        <a:xfrm>
          <a:off x="152304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2" name="TextBox 131"/>
        <xdr:cNvSpPr txBox="1"/>
      </xdr:nvSpPr>
      <xdr:spPr>
        <a:xfrm>
          <a:off x="152304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3" name="TextBox 132"/>
        <xdr:cNvSpPr txBox="1"/>
      </xdr:nvSpPr>
      <xdr:spPr>
        <a:xfrm>
          <a:off x="152304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4" name="TextBox 133"/>
        <xdr:cNvSpPr txBox="1"/>
      </xdr:nvSpPr>
      <xdr:spPr>
        <a:xfrm>
          <a:off x="152304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5" name="TextBox 134"/>
        <xdr:cNvSpPr txBox="1"/>
      </xdr:nvSpPr>
      <xdr:spPr>
        <a:xfrm>
          <a:off x="152304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6" name="TextBox 135"/>
        <xdr:cNvSpPr txBox="1"/>
      </xdr:nvSpPr>
      <xdr:spPr>
        <a:xfrm>
          <a:off x="152304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7" name="TextBox 136"/>
        <xdr:cNvSpPr txBox="1"/>
      </xdr:nvSpPr>
      <xdr:spPr>
        <a:xfrm>
          <a:off x="152304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8" name="TextBox 137"/>
        <xdr:cNvSpPr txBox="1"/>
      </xdr:nvSpPr>
      <xdr:spPr>
        <a:xfrm>
          <a:off x="152304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9" name="TextBox 138"/>
        <xdr:cNvSpPr txBox="1"/>
      </xdr:nvSpPr>
      <xdr:spPr>
        <a:xfrm>
          <a:off x="152304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0" name="TextBox 139"/>
        <xdr:cNvSpPr txBox="1"/>
      </xdr:nvSpPr>
      <xdr:spPr>
        <a:xfrm>
          <a:off x="152304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1" name="TextBox 140"/>
        <xdr:cNvSpPr txBox="1"/>
      </xdr:nvSpPr>
      <xdr:spPr>
        <a:xfrm>
          <a:off x="152304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2" name="TextBox 141"/>
        <xdr:cNvSpPr txBox="1"/>
      </xdr:nvSpPr>
      <xdr:spPr>
        <a:xfrm>
          <a:off x="152304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3" name="TextBox 142"/>
        <xdr:cNvSpPr txBox="1"/>
      </xdr:nvSpPr>
      <xdr:spPr>
        <a:xfrm>
          <a:off x="152304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4" name="TextBox 143"/>
        <xdr:cNvSpPr txBox="1"/>
      </xdr:nvSpPr>
      <xdr:spPr>
        <a:xfrm>
          <a:off x="152304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5" name="TextBox 144"/>
        <xdr:cNvSpPr txBox="1"/>
      </xdr:nvSpPr>
      <xdr:spPr>
        <a:xfrm>
          <a:off x="152304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6" name="TextBox 145"/>
        <xdr:cNvSpPr txBox="1"/>
      </xdr:nvSpPr>
      <xdr:spPr>
        <a:xfrm>
          <a:off x="152304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7" name="TextBox 146"/>
        <xdr:cNvSpPr txBox="1"/>
      </xdr:nvSpPr>
      <xdr:spPr>
        <a:xfrm>
          <a:off x="152304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8" name="TextBox 147"/>
        <xdr:cNvSpPr txBox="1"/>
      </xdr:nvSpPr>
      <xdr:spPr>
        <a:xfrm>
          <a:off x="152304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9" name="TextBox 148"/>
        <xdr:cNvSpPr txBox="1"/>
      </xdr:nvSpPr>
      <xdr:spPr>
        <a:xfrm>
          <a:off x="152304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50" name="TextBox 149"/>
        <xdr:cNvSpPr txBox="1"/>
      </xdr:nvSpPr>
      <xdr:spPr>
        <a:xfrm>
          <a:off x="152304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51" name="TextBox 150"/>
        <xdr:cNvSpPr txBox="1"/>
      </xdr:nvSpPr>
      <xdr:spPr>
        <a:xfrm>
          <a:off x="152304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52" name="TextBox 151"/>
        <xdr:cNvSpPr txBox="1"/>
      </xdr:nvSpPr>
      <xdr:spPr>
        <a:xfrm>
          <a:off x="152304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53" name="TextBox 152"/>
        <xdr:cNvSpPr txBox="1"/>
      </xdr:nvSpPr>
      <xdr:spPr>
        <a:xfrm>
          <a:off x="152304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54" name="TextBox 153"/>
        <xdr:cNvSpPr txBox="1"/>
      </xdr:nvSpPr>
      <xdr:spPr>
        <a:xfrm>
          <a:off x="152304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55" name="TextBox 154"/>
        <xdr:cNvSpPr txBox="1"/>
      </xdr:nvSpPr>
      <xdr:spPr>
        <a:xfrm>
          <a:off x="152304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56" name="TextBox 155"/>
        <xdr:cNvSpPr txBox="1"/>
      </xdr:nvSpPr>
      <xdr:spPr>
        <a:xfrm>
          <a:off x="152304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57" name="TextBox 156"/>
        <xdr:cNvSpPr txBox="1"/>
      </xdr:nvSpPr>
      <xdr:spPr>
        <a:xfrm>
          <a:off x="152304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58" name="TextBox 157"/>
        <xdr:cNvSpPr txBox="1"/>
      </xdr:nvSpPr>
      <xdr:spPr>
        <a:xfrm>
          <a:off x="152304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59" name="TextBox 158"/>
        <xdr:cNvSpPr txBox="1"/>
      </xdr:nvSpPr>
      <xdr:spPr>
        <a:xfrm>
          <a:off x="152304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60" name="TextBox 159"/>
        <xdr:cNvSpPr txBox="1"/>
      </xdr:nvSpPr>
      <xdr:spPr>
        <a:xfrm>
          <a:off x="152304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61" name="TextBox 160"/>
        <xdr:cNvSpPr txBox="1"/>
      </xdr:nvSpPr>
      <xdr:spPr>
        <a:xfrm>
          <a:off x="152304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62" name="TextBox 161"/>
        <xdr:cNvSpPr txBox="1"/>
      </xdr:nvSpPr>
      <xdr:spPr>
        <a:xfrm>
          <a:off x="152304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63" name="TextBox 162"/>
        <xdr:cNvSpPr txBox="1"/>
      </xdr:nvSpPr>
      <xdr:spPr>
        <a:xfrm>
          <a:off x="152304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64" name="TextBox 163"/>
        <xdr:cNvSpPr txBox="1"/>
      </xdr:nvSpPr>
      <xdr:spPr>
        <a:xfrm>
          <a:off x="152304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65" name="TextBox 164"/>
        <xdr:cNvSpPr txBox="1"/>
      </xdr:nvSpPr>
      <xdr:spPr>
        <a:xfrm>
          <a:off x="152304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66454" cy="264560"/>
    <xdr:sp macro="" textlink="">
      <xdr:nvSpPr>
        <xdr:cNvPr id="166" name="TextBox 165"/>
        <xdr:cNvSpPr txBox="1"/>
      </xdr:nvSpPr>
      <xdr:spPr>
        <a:xfrm flipH="1">
          <a:off x="15230475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67" name="TextBox 166"/>
        <xdr:cNvSpPr txBox="1"/>
      </xdr:nvSpPr>
      <xdr:spPr>
        <a:xfrm>
          <a:off x="152304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68" name="TextBox 167"/>
        <xdr:cNvSpPr txBox="1"/>
      </xdr:nvSpPr>
      <xdr:spPr>
        <a:xfrm>
          <a:off x="152304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66454" cy="264560"/>
    <xdr:sp macro="" textlink="">
      <xdr:nvSpPr>
        <xdr:cNvPr id="169" name="TextBox 168"/>
        <xdr:cNvSpPr txBox="1"/>
      </xdr:nvSpPr>
      <xdr:spPr>
        <a:xfrm flipH="1">
          <a:off x="15230475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29</xdr:row>
      <xdr:rowOff>6240</xdr:rowOff>
    </xdr:from>
    <xdr:ext cx="264560" cy="1248882"/>
    <xdr:sp macro="" textlink="">
      <xdr:nvSpPr>
        <xdr:cNvPr id="170" name="TextBox 169"/>
        <xdr:cNvSpPr txBox="1"/>
      </xdr:nvSpPr>
      <xdr:spPr>
        <a:xfrm rot="4668514">
          <a:off x="14738314" y="8013626"/>
          <a:ext cx="124888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71" name="TextBox 170"/>
        <xdr:cNvSpPr txBox="1"/>
      </xdr:nvSpPr>
      <xdr:spPr>
        <a:xfrm>
          <a:off x="152304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72" name="TextBox 171"/>
        <xdr:cNvSpPr txBox="1"/>
      </xdr:nvSpPr>
      <xdr:spPr>
        <a:xfrm>
          <a:off x="152304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66454" cy="264560"/>
    <xdr:sp macro="" textlink="">
      <xdr:nvSpPr>
        <xdr:cNvPr id="173" name="TextBox 172"/>
        <xdr:cNvSpPr txBox="1"/>
      </xdr:nvSpPr>
      <xdr:spPr>
        <a:xfrm flipH="1">
          <a:off x="15230475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2" name="TextBox 1"/>
        <xdr:cNvSpPr txBox="1"/>
      </xdr:nvSpPr>
      <xdr:spPr>
        <a:xfrm>
          <a:off x="1303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3" name="TextBox 2"/>
        <xdr:cNvSpPr txBox="1"/>
      </xdr:nvSpPr>
      <xdr:spPr>
        <a:xfrm>
          <a:off x="1303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4" name="TextBox 3"/>
        <xdr:cNvSpPr txBox="1"/>
      </xdr:nvSpPr>
      <xdr:spPr>
        <a:xfrm>
          <a:off x="1303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5" name="TextBox 4"/>
        <xdr:cNvSpPr txBox="1"/>
      </xdr:nvSpPr>
      <xdr:spPr>
        <a:xfrm>
          <a:off x="1303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66454" cy="264560"/>
    <xdr:sp macro="" textlink="">
      <xdr:nvSpPr>
        <xdr:cNvPr id="6" name="TextBox 5"/>
        <xdr:cNvSpPr txBox="1"/>
      </xdr:nvSpPr>
      <xdr:spPr>
        <a:xfrm flipH="1">
          <a:off x="13030200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7" name="TextBox 6"/>
        <xdr:cNvSpPr txBox="1"/>
      </xdr:nvSpPr>
      <xdr:spPr>
        <a:xfrm>
          <a:off x="1303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8" name="TextBox 7"/>
        <xdr:cNvSpPr txBox="1"/>
      </xdr:nvSpPr>
      <xdr:spPr>
        <a:xfrm>
          <a:off x="1303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9" name="TextBox 8"/>
        <xdr:cNvSpPr txBox="1"/>
      </xdr:nvSpPr>
      <xdr:spPr>
        <a:xfrm>
          <a:off x="1303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0" name="TextBox 9"/>
        <xdr:cNvSpPr txBox="1"/>
      </xdr:nvSpPr>
      <xdr:spPr>
        <a:xfrm>
          <a:off x="1303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1" name="TextBox 10"/>
        <xdr:cNvSpPr txBox="1"/>
      </xdr:nvSpPr>
      <xdr:spPr>
        <a:xfrm>
          <a:off x="1303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2" name="TextBox 11"/>
        <xdr:cNvSpPr txBox="1"/>
      </xdr:nvSpPr>
      <xdr:spPr>
        <a:xfrm>
          <a:off x="1303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3" name="TextBox 12"/>
        <xdr:cNvSpPr txBox="1"/>
      </xdr:nvSpPr>
      <xdr:spPr>
        <a:xfrm>
          <a:off x="1303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4" name="TextBox 13"/>
        <xdr:cNvSpPr txBox="1"/>
      </xdr:nvSpPr>
      <xdr:spPr>
        <a:xfrm>
          <a:off x="1303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66454" cy="264560"/>
    <xdr:sp macro="" textlink="">
      <xdr:nvSpPr>
        <xdr:cNvPr id="15" name="TextBox 14"/>
        <xdr:cNvSpPr txBox="1"/>
      </xdr:nvSpPr>
      <xdr:spPr>
        <a:xfrm flipH="1">
          <a:off x="13030200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6" name="TextBox 15"/>
        <xdr:cNvSpPr txBox="1"/>
      </xdr:nvSpPr>
      <xdr:spPr>
        <a:xfrm>
          <a:off x="1303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7" name="TextBox 16"/>
        <xdr:cNvSpPr txBox="1"/>
      </xdr:nvSpPr>
      <xdr:spPr>
        <a:xfrm>
          <a:off x="1303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8" name="TextBox 17"/>
        <xdr:cNvSpPr txBox="1"/>
      </xdr:nvSpPr>
      <xdr:spPr>
        <a:xfrm>
          <a:off x="1303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9" name="TextBox 18"/>
        <xdr:cNvSpPr txBox="1"/>
      </xdr:nvSpPr>
      <xdr:spPr>
        <a:xfrm>
          <a:off x="1303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5008" cy="255462"/>
    <xdr:sp macro="" textlink="">
      <xdr:nvSpPr>
        <xdr:cNvPr id="20" name="TextBox 19"/>
        <xdr:cNvSpPr txBox="1"/>
      </xdr:nvSpPr>
      <xdr:spPr>
        <a:xfrm>
          <a:off x="16411575" y="94773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5008" cy="255462"/>
    <xdr:sp macro="" textlink="">
      <xdr:nvSpPr>
        <xdr:cNvPr id="21" name="TextBox 20"/>
        <xdr:cNvSpPr txBox="1"/>
      </xdr:nvSpPr>
      <xdr:spPr>
        <a:xfrm>
          <a:off x="16411575" y="94773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22" name="TextBox 21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23" name="TextBox 22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66454" cy="264560"/>
    <xdr:sp macro="" textlink="">
      <xdr:nvSpPr>
        <xdr:cNvPr id="24" name="TextBox 23"/>
        <xdr:cNvSpPr txBox="1"/>
      </xdr:nvSpPr>
      <xdr:spPr>
        <a:xfrm flipH="1">
          <a:off x="1641157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25" name="TextBox 24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26" name="TextBox 25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27" name="TextBox 26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28" name="TextBox 27"/>
        <xdr:cNvSpPr txBox="1"/>
      </xdr:nvSpPr>
      <xdr:spPr>
        <a:xfrm>
          <a:off x="164115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29" name="TextBox 28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0" name="TextBox 29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1" name="TextBox 30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2" name="TextBox 31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3" name="TextBox 32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4" name="TextBox 33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5" name="TextBox 34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6" name="TextBox 35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7" name="TextBox 36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8" name="TextBox 37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9" name="TextBox 38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0" name="TextBox 39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1" name="TextBox 40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2" name="TextBox 41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3" name="TextBox 42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4" name="TextBox 43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5" name="TextBox 44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6" name="TextBox 45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7" name="TextBox 46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8" name="TextBox 47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9" name="TextBox 48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0" name="TextBox 49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1" name="TextBox 50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2" name="TextBox 51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3" name="TextBox 52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4" name="TextBox 53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5" name="TextBox 54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6" name="TextBox 55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7" name="TextBox 56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8" name="TextBox 57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9" name="TextBox 58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0" name="TextBox 59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1" name="TextBox 60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2" name="TextBox 61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3" name="TextBox 62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4" name="TextBox 63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5" name="TextBox 64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6" name="TextBox 65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7" name="TextBox 66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8" name="TextBox 67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9" name="TextBox 68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0" name="TextBox 69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1" name="TextBox 70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2" name="TextBox 71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3" name="TextBox 72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4" name="TextBox 73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5" name="TextBox 74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6" name="TextBox 75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7" name="TextBox 76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8" name="TextBox 77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9" name="TextBox 78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80" name="TextBox 79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1" name="TextBox 80"/>
        <xdr:cNvSpPr txBox="1"/>
      </xdr:nvSpPr>
      <xdr:spPr>
        <a:xfrm>
          <a:off x="164115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2" name="TextBox 81"/>
        <xdr:cNvSpPr txBox="1"/>
      </xdr:nvSpPr>
      <xdr:spPr>
        <a:xfrm>
          <a:off x="164115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3" name="TextBox 82"/>
        <xdr:cNvSpPr txBox="1"/>
      </xdr:nvSpPr>
      <xdr:spPr>
        <a:xfrm>
          <a:off x="164115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4" name="TextBox 83"/>
        <xdr:cNvSpPr txBox="1"/>
      </xdr:nvSpPr>
      <xdr:spPr>
        <a:xfrm>
          <a:off x="164115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5" name="TextBox 84"/>
        <xdr:cNvSpPr txBox="1"/>
      </xdr:nvSpPr>
      <xdr:spPr>
        <a:xfrm>
          <a:off x="164115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6" name="TextBox 85"/>
        <xdr:cNvSpPr txBox="1"/>
      </xdr:nvSpPr>
      <xdr:spPr>
        <a:xfrm>
          <a:off x="164115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7" name="TextBox 86"/>
        <xdr:cNvSpPr txBox="1"/>
      </xdr:nvSpPr>
      <xdr:spPr>
        <a:xfrm>
          <a:off x="164115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8" name="TextBox 87"/>
        <xdr:cNvSpPr txBox="1"/>
      </xdr:nvSpPr>
      <xdr:spPr>
        <a:xfrm>
          <a:off x="164115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66454" cy="264560"/>
    <xdr:sp macro="" textlink="">
      <xdr:nvSpPr>
        <xdr:cNvPr id="89" name="TextBox 88"/>
        <xdr:cNvSpPr txBox="1"/>
      </xdr:nvSpPr>
      <xdr:spPr>
        <a:xfrm flipH="1">
          <a:off x="1641157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90" name="TextBox 89"/>
        <xdr:cNvSpPr txBox="1"/>
      </xdr:nvSpPr>
      <xdr:spPr>
        <a:xfrm>
          <a:off x="164115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91" name="TextBox 90"/>
        <xdr:cNvSpPr txBox="1"/>
      </xdr:nvSpPr>
      <xdr:spPr>
        <a:xfrm>
          <a:off x="164115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66454" cy="264560"/>
    <xdr:sp macro="" textlink="">
      <xdr:nvSpPr>
        <xdr:cNvPr id="92" name="TextBox 91"/>
        <xdr:cNvSpPr txBox="1"/>
      </xdr:nvSpPr>
      <xdr:spPr>
        <a:xfrm flipH="1">
          <a:off x="1641157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595386</xdr:rowOff>
    </xdr:from>
    <xdr:ext cx="264560" cy="1248882"/>
    <xdr:sp macro="" textlink="">
      <xdr:nvSpPr>
        <xdr:cNvPr id="93" name="TextBox 92"/>
        <xdr:cNvSpPr txBox="1"/>
      </xdr:nvSpPr>
      <xdr:spPr>
        <a:xfrm rot="4668514">
          <a:off x="15919414" y="9269522"/>
          <a:ext cx="124888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94" name="TextBox 93"/>
        <xdr:cNvSpPr txBox="1"/>
      </xdr:nvSpPr>
      <xdr:spPr>
        <a:xfrm>
          <a:off x="164115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95" name="TextBox 94"/>
        <xdr:cNvSpPr txBox="1"/>
      </xdr:nvSpPr>
      <xdr:spPr>
        <a:xfrm>
          <a:off x="164115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66454" cy="264560"/>
    <xdr:sp macro="" textlink="">
      <xdr:nvSpPr>
        <xdr:cNvPr id="96" name="TextBox 95"/>
        <xdr:cNvSpPr txBox="1"/>
      </xdr:nvSpPr>
      <xdr:spPr>
        <a:xfrm flipH="1">
          <a:off x="1641157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5008" cy="255462"/>
    <xdr:sp macro="" textlink="">
      <xdr:nvSpPr>
        <xdr:cNvPr id="97" name="TextBox 96"/>
        <xdr:cNvSpPr txBox="1"/>
      </xdr:nvSpPr>
      <xdr:spPr>
        <a:xfrm>
          <a:off x="16411575" y="81819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5008" cy="255462"/>
    <xdr:sp macro="" textlink="">
      <xdr:nvSpPr>
        <xdr:cNvPr id="98" name="TextBox 97"/>
        <xdr:cNvSpPr txBox="1"/>
      </xdr:nvSpPr>
      <xdr:spPr>
        <a:xfrm>
          <a:off x="16411575" y="81819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99" name="TextBox 98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00" name="TextBox 99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66454" cy="264560"/>
    <xdr:sp macro="" textlink="">
      <xdr:nvSpPr>
        <xdr:cNvPr id="101" name="TextBox 100"/>
        <xdr:cNvSpPr txBox="1"/>
      </xdr:nvSpPr>
      <xdr:spPr>
        <a:xfrm flipH="1">
          <a:off x="16411575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02" name="TextBox 101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03" name="TextBox 102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04" name="TextBox 103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05" name="TextBox 104"/>
        <xdr:cNvSpPr txBox="1"/>
      </xdr:nvSpPr>
      <xdr:spPr>
        <a:xfrm>
          <a:off x="164115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06" name="TextBox 105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07" name="TextBox 106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08" name="TextBox 107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09" name="TextBox 108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0" name="TextBox 109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1" name="TextBox 110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2" name="TextBox 111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3" name="TextBox 112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4" name="TextBox 113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5" name="TextBox 114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6" name="TextBox 115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7" name="TextBox 116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8" name="TextBox 117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9" name="TextBox 118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0" name="TextBox 119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1" name="TextBox 120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2" name="TextBox 121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3" name="TextBox 122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4" name="TextBox 123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5" name="TextBox 124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6" name="TextBox 125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7" name="TextBox 126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8" name="TextBox 127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9" name="TextBox 128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0" name="TextBox 129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1" name="TextBox 130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2" name="TextBox 131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3" name="TextBox 132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4" name="TextBox 133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5" name="TextBox 134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6" name="TextBox 135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7" name="TextBox 136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8" name="TextBox 137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9" name="TextBox 138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0" name="TextBox 139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1" name="TextBox 140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2" name="TextBox 141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3" name="TextBox 142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4" name="TextBox 143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5" name="TextBox 144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6" name="TextBox 145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7" name="TextBox 146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8" name="TextBox 147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9" name="TextBox 148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50" name="TextBox 149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51" name="TextBox 150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52" name="TextBox 151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53" name="TextBox 152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54" name="TextBox 153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55" name="TextBox 154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56" name="TextBox 155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57" name="TextBox 156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58" name="TextBox 157"/>
        <xdr:cNvSpPr txBox="1"/>
      </xdr:nvSpPr>
      <xdr:spPr>
        <a:xfrm>
          <a:off x="164115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59" name="TextBox 158"/>
        <xdr:cNvSpPr txBox="1"/>
      </xdr:nvSpPr>
      <xdr:spPr>
        <a:xfrm>
          <a:off x="164115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60" name="TextBox 159"/>
        <xdr:cNvSpPr txBox="1"/>
      </xdr:nvSpPr>
      <xdr:spPr>
        <a:xfrm>
          <a:off x="164115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61" name="TextBox 160"/>
        <xdr:cNvSpPr txBox="1"/>
      </xdr:nvSpPr>
      <xdr:spPr>
        <a:xfrm>
          <a:off x="164115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62" name="TextBox 161"/>
        <xdr:cNvSpPr txBox="1"/>
      </xdr:nvSpPr>
      <xdr:spPr>
        <a:xfrm>
          <a:off x="164115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63" name="TextBox 162"/>
        <xdr:cNvSpPr txBox="1"/>
      </xdr:nvSpPr>
      <xdr:spPr>
        <a:xfrm>
          <a:off x="164115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64" name="TextBox 163"/>
        <xdr:cNvSpPr txBox="1"/>
      </xdr:nvSpPr>
      <xdr:spPr>
        <a:xfrm>
          <a:off x="164115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65" name="TextBox 164"/>
        <xdr:cNvSpPr txBox="1"/>
      </xdr:nvSpPr>
      <xdr:spPr>
        <a:xfrm>
          <a:off x="164115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66454" cy="264560"/>
    <xdr:sp macro="" textlink="">
      <xdr:nvSpPr>
        <xdr:cNvPr id="166" name="TextBox 165"/>
        <xdr:cNvSpPr txBox="1"/>
      </xdr:nvSpPr>
      <xdr:spPr>
        <a:xfrm flipH="1">
          <a:off x="16411575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67" name="TextBox 166"/>
        <xdr:cNvSpPr txBox="1"/>
      </xdr:nvSpPr>
      <xdr:spPr>
        <a:xfrm>
          <a:off x="164115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68" name="TextBox 167"/>
        <xdr:cNvSpPr txBox="1"/>
      </xdr:nvSpPr>
      <xdr:spPr>
        <a:xfrm>
          <a:off x="164115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66454" cy="264560"/>
    <xdr:sp macro="" textlink="">
      <xdr:nvSpPr>
        <xdr:cNvPr id="169" name="TextBox 168"/>
        <xdr:cNvSpPr txBox="1"/>
      </xdr:nvSpPr>
      <xdr:spPr>
        <a:xfrm flipH="1">
          <a:off x="16411575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29</xdr:row>
      <xdr:rowOff>6240</xdr:rowOff>
    </xdr:from>
    <xdr:ext cx="264560" cy="1248882"/>
    <xdr:sp macro="" textlink="">
      <xdr:nvSpPr>
        <xdr:cNvPr id="170" name="TextBox 169"/>
        <xdr:cNvSpPr txBox="1"/>
      </xdr:nvSpPr>
      <xdr:spPr>
        <a:xfrm rot="4668514">
          <a:off x="15919414" y="8013626"/>
          <a:ext cx="124888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71" name="TextBox 170"/>
        <xdr:cNvSpPr txBox="1"/>
      </xdr:nvSpPr>
      <xdr:spPr>
        <a:xfrm>
          <a:off x="164115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72" name="TextBox 171"/>
        <xdr:cNvSpPr txBox="1"/>
      </xdr:nvSpPr>
      <xdr:spPr>
        <a:xfrm>
          <a:off x="164115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66454" cy="264560"/>
    <xdr:sp macro="" textlink="">
      <xdr:nvSpPr>
        <xdr:cNvPr id="173" name="TextBox 172"/>
        <xdr:cNvSpPr txBox="1"/>
      </xdr:nvSpPr>
      <xdr:spPr>
        <a:xfrm flipH="1">
          <a:off x="16411575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2" name="TextBox 1"/>
        <xdr:cNvSpPr txBox="1"/>
      </xdr:nvSpPr>
      <xdr:spPr>
        <a:xfrm>
          <a:off x="121443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3" name="TextBox 2"/>
        <xdr:cNvSpPr txBox="1"/>
      </xdr:nvSpPr>
      <xdr:spPr>
        <a:xfrm>
          <a:off x="121443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4" name="TextBox 3"/>
        <xdr:cNvSpPr txBox="1"/>
      </xdr:nvSpPr>
      <xdr:spPr>
        <a:xfrm>
          <a:off x="121443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5" name="TextBox 4"/>
        <xdr:cNvSpPr txBox="1"/>
      </xdr:nvSpPr>
      <xdr:spPr>
        <a:xfrm>
          <a:off x="121443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66454" cy="264560"/>
    <xdr:sp macro="" textlink="">
      <xdr:nvSpPr>
        <xdr:cNvPr id="6" name="TextBox 5"/>
        <xdr:cNvSpPr txBox="1"/>
      </xdr:nvSpPr>
      <xdr:spPr>
        <a:xfrm flipH="1">
          <a:off x="1214437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7" name="TextBox 6"/>
        <xdr:cNvSpPr txBox="1"/>
      </xdr:nvSpPr>
      <xdr:spPr>
        <a:xfrm>
          <a:off x="121443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8" name="TextBox 7"/>
        <xdr:cNvSpPr txBox="1"/>
      </xdr:nvSpPr>
      <xdr:spPr>
        <a:xfrm>
          <a:off x="121443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9" name="TextBox 8"/>
        <xdr:cNvSpPr txBox="1"/>
      </xdr:nvSpPr>
      <xdr:spPr>
        <a:xfrm>
          <a:off x="121443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0" name="TextBox 9"/>
        <xdr:cNvSpPr txBox="1"/>
      </xdr:nvSpPr>
      <xdr:spPr>
        <a:xfrm>
          <a:off x="121443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1" name="TextBox 10"/>
        <xdr:cNvSpPr txBox="1"/>
      </xdr:nvSpPr>
      <xdr:spPr>
        <a:xfrm>
          <a:off x="121443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2" name="TextBox 11"/>
        <xdr:cNvSpPr txBox="1"/>
      </xdr:nvSpPr>
      <xdr:spPr>
        <a:xfrm>
          <a:off x="121443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3" name="TextBox 12"/>
        <xdr:cNvSpPr txBox="1"/>
      </xdr:nvSpPr>
      <xdr:spPr>
        <a:xfrm>
          <a:off x="121443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4" name="TextBox 13"/>
        <xdr:cNvSpPr txBox="1"/>
      </xdr:nvSpPr>
      <xdr:spPr>
        <a:xfrm>
          <a:off x="121443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66454" cy="264560"/>
    <xdr:sp macro="" textlink="">
      <xdr:nvSpPr>
        <xdr:cNvPr id="15" name="TextBox 14"/>
        <xdr:cNvSpPr txBox="1"/>
      </xdr:nvSpPr>
      <xdr:spPr>
        <a:xfrm flipH="1">
          <a:off x="1214437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6" name="TextBox 15"/>
        <xdr:cNvSpPr txBox="1"/>
      </xdr:nvSpPr>
      <xdr:spPr>
        <a:xfrm>
          <a:off x="121443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7" name="TextBox 16"/>
        <xdr:cNvSpPr txBox="1"/>
      </xdr:nvSpPr>
      <xdr:spPr>
        <a:xfrm>
          <a:off x="121443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8" name="TextBox 17"/>
        <xdr:cNvSpPr txBox="1"/>
      </xdr:nvSpPr>
      <xdr:spPr>
        <a:xfrm>
          <a:off x="121443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9" name="TextBox 18"/>
        <xdr:cNvSpPr txBox="1"/>
      </xdr:nvSpPr>
      <xdr:spPr>
        <a:xfrm>
          <a:off x="121443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5008" cy="255462"/>
    <xdr:sp macro="" textlink="">
      <xdr:nvSpPr>
        <xdr:cNvPr id="20" name="TextBox 19"/>
        <xdr:cNvSpPr txBox="1"/>
      </xdr:nvSpPr>
      <xdr:spPr>
        <a:xfrm>
          <a:off x="13592175" y="94773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5008" cy="255462"/>
    <xdr:sp macro="" textlink="">
      <xdr:nvSpPr>
        <xdr:cNvPr id="21" name="TextBox 20"/>
        <xdr:cNvSpPr txBox="1"/>
      </xdr:nvSpPr>
      <xdr:spPr>
        <a:xfrm>
          <a:off x="13592175" y="94773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22" name="TextBox 21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23" name="TextBox 22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66454" cy="264560"/>
    <xdr:sp macro="" textlink="">
      <xdr:nvSpPr>
        <xdr:cNvPr id="24" name="TextBox 23"/>
        <xdr:cNvSpPr txBox="1"/>
      </xdr:nvSpPr>
      <xdr:spPr>
        <a:xfrm flipH="1">
          <a:off x="1359217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25" name="TextBox 24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26" name="TextBox 25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27" name="TextBox 26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28" name="TextBox 27"/>
        <xdr:cNvSpPr txBox="1"/>
      </xdr:nvSpPr>
      <xdr:spPr>
        <a:xfrm>
          <a:off x="135921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29" name="TextBox 28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0" name="TextBox 29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1" name="TextBox 30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2" name="TextBox 31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3" name="TextBox 32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4" name="TextBox 33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5" name="TextBox 34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6" name="TextBox 35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7" name="TextBox 36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8" name="TextBox 37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9" name="TextBox 38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0" name="TextBox 39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1" name="TextBox 40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2" name="TextBox 41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3" name="TextBox 42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4" name="TextBox 43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5" name="TextBox 44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6" name="TextBox 45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7" name="TextBox 46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8" name="TextBox 47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9" name="TextBox 48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0" name="TextBox 49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1" name="TextBox 50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2" name="TextBox 51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3" name="TextBox 52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4" name="TextBox 53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5" name="TextBox 54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6" name="TextBox 55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7" name="TextBox 56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8" name="TextBox 57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9" name="TextBox 58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0" name="TextBox 59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1" name="TextBox 60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2" name="TextBox 61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3" name="TextBox 62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4" name="TextBox 63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5" name="TextBox 64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6" name="TextBox 65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7" name="TextBox 66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8" name="TextBox 67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9" name="TextBox 68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0" name="TextBox 69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1" name="TextBox 70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2" name="TextBox 71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3" name="TextBox 72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4" name="TextBox 73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5" name="TextBox 74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6" name="TextBox 75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7" name="TextBox 76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8" name="TextBox 77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9" name="TextBox 78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80" name="TextBox 79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81" name="TextBox 80"/>
        <xdr:cNvSpPr txBox="1"/>
      </xdr:nvSpPr>
      <xdr:spPr>
        <a:xfrm>
          <a:off x="1404273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82" name="TextBox 81"/>
        <xdr:cNvSpPr txBox="1"/>
      </xdr:nvSpPr>
      <xdr:spPr>
        <a:xfrm>
          <a:off x="135921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83" name="TextBox 82"/>
        <xdr:cNvSpPr txBox="1"/>
      </xdr:nvSpPr>
      <xdr:spPr>
        <a:xfrm>
          <a:off x="1404273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84" name="TextBox 83"/>
        <xdr:cNvSpPr txBox="1"/>
      </xdr:nvSpPr>
      <xdr:spPr>
        <a:xfrm>
          <a:off x="135921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85" name="TextBox 84"/>
        <xdr:cNvSpPr txBox="1"/>
      </xdr:nvSpPr>
      <xdr:spPr>
        <a:xfrm>
          <a:off x="135921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86" name="TextBox 85"/>
        <xdr:cNvSpPr txBox="1"/>
      </xdr:nvSpPr>
      <xdr:spPr>
        <a:xfrm>
          <a:off x="135921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87" name="TextBox 86"/>
        <xdr:cNvSpPr txBox="1"/>
      </xdr:nvSpPr>
      <xdr:spPr>
        <a:xfrm>
          <a:off x="135921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88" name="TextBox 87"/>
        <xdr:cNvSpPr txBox="1"/>
      </xdr:nvSpPr>
      <xdr:spPr>
        <a:xfrm>
          <a:off x="135921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66454" cy="264560"/>
    <xdr:sp macro="" textlink="">
      <xdr:nvSpPr>
        <xdr:cNvPr id="89" name="TextBox 88"/>
        <xdr:cNvSpPr txBox="1"/>
      </xdr:nvSpPr>
      <xdr:spPr>
        <a:xfrm flipH="1">
          <a:off x="1359217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90" name="TextBox 89"/>
        <xdr:cNvSpPr txBox="1"/>
      </xdr:nvSpPr>
      <xdr:spPr>
        <a:xfrm>
          <a:off x="135921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91" name="TextBox 90"/>
        <xdr:cNvSpPr txBox="1"/>
      </xdr:nvSpPr>
      <xdr:spPr>
        <a:xfrm>
          <a:off x="135921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66454" cy="264560"/>
    <xdr:sp macro="" textlink="">
      <xdr:nvSpPr>
        <xdr:cNvPr id="92" name="TextBox 91"/>
        <xdr:cNvSpPr txBox="1"/>
      </xdr:nvSpPr>
      <xdr:spPr>
        <a:xfrm flipH="1">
          <a:off x="1359217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595386</xdr:rowOff>
    </xdr:from>
    <xdr:ext cx="264560" cy="1248882"/>
    <xdr:sp macro="" textlink="">
      <xdr:nvSpPr>
        <xdr:cNvPr id="93" name="TextBox 92"/>
        <xdr:cNvSpPr txBox="1"/>
      </xdr:nvSpPr>
      <xdr:spPr>
        <a:xfrm rot="4668514">
          <a:off x="13419951" y="9269522"/>
          <a:ext cx="124888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94" name="TextBox 93"/>
        <xdr:cNvSpPr txBox="1"/>
      </xdr:nvSpPr>
      <xdr:spPr>
        <a:xfrm>
          <a:off x="135921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95" name="TextBox 94"/>
        <xdr:cNvSpPr txBox="1"/>
      </xdr:nvSpPr>
      <xdr:spPr>
        <a:xfrm>
          <a:off x="135921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66454" cy="264560"/>
    <xdr:sp macro="" textlink="">
      <xdr:nvSpPr>
        <xdr:cNvPr id="96" name="TextBox 95"/>
        <xdr:cNvSpPr txBox="1"/>
      </xdr:nvSpPr>
      <xdr:spPr>
        <a:xfrm flipH="1">
          <a:off x="1359217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5008" cy="255462"/>
    <xdr:sp macro="" textlink="">
      <xdr:nvSpPr>
        <xdr:cNvPr id="97" name="TextBox 96"/>
        <xdr:cNvSpPr txBox="1"/>
      </xdr:nvSpPr>
      <xdr:spPr>
        <a:xfrm>
          <a:off x="13592175" y="81819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5008" cy="255462"/>
    <xdr:sp macro="" textlink="">
      <xdr:nvSpPr>
        <xdr:cNvPr id="98" name="TextBox 97"/>
        <xdr:cNvSpPr txBox="1"/>
      </xdr:nvSpPr>
      <xdr:spPr>
        <a:xfrm>
          <a:off x="13592175" y="81819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99" name="TextBox 98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00" name="TextBox 99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66454" cy="264560"/>
    <xdr:sp macro="" textlink="">
      <xdr:nvSpPr>
        <xdr:cNvPr id="101" name="TextBox 100"/>
        <xdr:cNvSpPr txBox="1"/>
      </xdr:nvSpPr>
      <xdr:spPr>
        <a:xfrm flipH="1">
          <a:off x="13592175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02" name="TextBox 101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03" name="TextBox 102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04" name="TextBox 103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05" name="TextBox 104"/>
        <xdr:cNvSpPr txBox="1"/>
      </xdr:nvSpPr>
      <xdr:spPr>
        <a:xfrm>
          <a:off x="135921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06" name="TextBox 105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07" name="TextBox 106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08" name="TextBox 107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09" name="TextBox 108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0" name="TextBox 109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1" name="TextBox 110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2" name="TextBox 111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3" name="TextBox 112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4" name="TextBox 113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5" name="TextBox 114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6" name="TextBox 115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7" name="TextBox 116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8" name="TextBox 117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9" name="TextBox 118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0" name="TextBox 119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1" name="TextBox 120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2" name="TextBox 121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3" name="TextBox 122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4" name="TextBox 123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5" name="TextBox 124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6" name="TextBox 125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7" name="TextBox 126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8" name="TextBox 127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9" name="TextBox 128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0" name="TextBox 129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1" name="TextBox 130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2" name="TextBox 131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3" name="TextBox 132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4" name="TextBox 133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5" name="TextBox 134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6" name="TextBox 135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7" name="TextBox 136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8" name="TextBox 137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9" name="TextBox 138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0" name="TextBox 139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1" name="TextBox 140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2" name="TextBox 141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3" name="TextBox 142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4" name="TextBox 143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5" name="TextBox 144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6" name="TextBox 145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7" name="TextBox 146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8" name="TextBox 147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9" name="TextBox 148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50" name="TextBox 149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51" name="TextBox 150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52" name="TextBox 151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53" name="TextBox 152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54" name="TextBox 153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55" name="TextBox 154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56" name="TextBox 155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57" name="TextBox 156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58" name="TextBox 157"/>
        <xdr:cNvSpPr txBox="1"/>
      </xdr:nvSpPr>
      <xdr:spPr>
        <a:xfrm>
          <a:off x="140427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59" name="TextBox 158"/>
        <xdr:cNvSpPr txBox="1"/>
      </xdr:nvSpPr>
      <xdr:spPr>
        <a:xfrm>
          <a:off x="135921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60" name="TextBox 159"/>
        <xdr:cNvSpPr txBox="1"/>
      </xdr:nvSpPr>
      <xdr:spPr>
        <a:xfrm>
          <a:off x="140427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61" name="TextBox 160"/>
        <xdr:cNvSpPr txBox="1"/>
      </xdr:nvSpPr>
      <xdr:spPr>
        <a:xfrm>
          <a:off x="135921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62" name="TextBox 161"/>
        <xdr:cNvSpPr txBox="1"/>
      </xdr:nvSpPr>
      <xdr:spPr>
        <a:xfrm>
          <a:off x="135921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63" name="TextBox 162"/>
        <xdr:cNvSpPr txBox="1"/>
      </xdr:nvSpPr>
      <xdr:spPr>
        <a:xfrm>
          <a:off x="135921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64" name="TextBox 163"/>
        <xdr:cNvSpPr txBox="1"/>
      </xdr:nvSpPr>
      <xdr:spPr>
        <a:xfrm>
          <a:off x="135921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65" name="TextBox 164"/>
        <xdr:cNvSpPr txBox="1"/>
      </xdr:nvSpPr>
      <xdr:spPr>
        <a:xfrm>
          <a:off x="135921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66454" cy="264560"/>
    <xdr:sp macro="" textlink="">
      <xdr:nvSpPr>
        <xdr:cNvPr id="166" name="TextBox 165"/>
        <xdr:cNvSpPr txBox="1"/>
      </xdr:nvSpPr>
      <xdr:spPr>
        <a:xfrm flipH="1">
          <a:off x="13592175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67" name="TextBox 166"/>
        <xdr:cNvSpPr txBox="1"/>
      </xdr:nvSpPr>
      <xdr:spPr>
        <a:xfrm>
          <a:off x="135921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68" name="TextBox 167"/>
        <xdr:cNvSpPr txBox="1"/>
      </xdr:nvSpPr>
      <xdr:spPr>
        <a:xfrm>
          <a:off x="135921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66454" cy="264560"/>
    <xdr:sp macro="" textlink="">
      <xdr:nvSpPr>
        <xdr:cNvPr id="169" name="TextBox 168"/>
        <xdr:cNvSpPr txBox="1"/>
      </xdr:nvSpPr>
      <xdr:spPr>
        <a:xfrm flipH="1">
          <a:off x="13592175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29</xdr:row>
      <xdr:rowOff>6240</xdr:rowOff>
    </xdr:from>
    <xdr:ext cx="264560" cy="1248882"/>
    <xdr:sp macro="" textlink="">
      <xdr:nvSpPr>
        <xdr:cNvPr id="170" name="TextBox 169"/>
        <xdr:cNvSpPr txBox="1"/>
      </xdr:nvSpPr>
      <xdr:spPr>
        <a:xfrm rot="4668514">
          <a:off x="13104851" y="8013626"/>
          <a:ext cx="124888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71" name="TextBox 170"/>
        <xdr:cNvSpPr txBox="1"/>
      </xdr:nvSpPr>
      <xdr:spPr>
        <a:xfrm>
          <a:off x="135921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72" name="TextBox 171"/>
        <xdr:cNvSpPr txBox="1"/>
      </xdr:nvSpPr>
      <xdr:spPr>
        <a:xfrm>
          <a:off x="135921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66454" cy="264560"/>
    <xdr:sp macro="" textlink="">
      <xdr:nvSpPr>
        <xdr:cNvPr id="173" name="TextBox 172"/>
        <xdr:cNvSpPr txBox="1"/>
      </xdr:nvSpPr>
      <xdr:spPr>
        <a:xfrm flipH="1">
          <a:off x="13592175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2" name="TextBox 1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3" name="TextBox 2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4" name="TextBox 3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5" name="TextBox 4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66454" cy="264560"/>
    <xdr:sp macro="" textlink="">
      <xdr:nvSpPr>
        <xdr:cNvPr id="6" name="TextBox 5"/>
        <xdr:cNvSpPr txBox="1"/>
      </xdr:nvSpPr>
      <xdr:spPr>
        <a:xfrm flipH="1">
          <a:off x="1223962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7" name="TextBox 6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8" name="TextBox 7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9" name="TextBox 8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0" name="TextBox 9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1" name="TextBox 10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2" name="TextBox 11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3" name="TextBox 12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4" name="TextBox 13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66454" cy="264560"/>
    <xdr:sp macro="" textlink="">
      <xdr:nvSpPr>
        <xdr:cNvPr id="15" name="TextBox 14"/>
        <xdr:cNvSpPr txBox="1"/>
      </xdr:nvSpPr>
      <xdr:spPr>
        <a:xfrm flipH="1">
          <a:off x="1223962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6" name="TextBox 15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7" name="TextBox 16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8" name="TextBox 17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9" name="TextBox 18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5008" cy="255462"/>
    <xdr:sp macro="" textlink="">
      <xdr:nvSpPr>
        <xdr:cNvPr id="20" name="TextBox 19"/>
        <xdr:cNvSpPr txBox="1"/>
      </xdr:nvSpPr>
      <xdr:spPr>
        <a:xfrm>
          <a:off x="13573125" y="94773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5008" cy="255462"/>
    <xdr:sp macro="" textlink="">
      <xdr:nvSpPr>
        <xdr:cNvPr id="21" name="TextBox 20"/>
        <xdr:cNvSpPr txBox="1"/>
      </xdr:nvSpPr>
      <xdr:spPr>
        <a:xfrm>
          <a:off x="13573125" y="94773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22" name="TextBox 21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23" name="TextBox 22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66454" cy="264560"/>
    <xdr:sp macro="" textlink="">
      <xdr:nvSpPr>
        <xdr:cNvPr id="24" name="TextBox 23"/>
        <xdr:cNvSpPr txBox="1"/>
      </xdr:nvSpPr>
      <xdr:spPr>
        <a:xfrm flipH="1">
          <a:off x="1357312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25" name="TextBox 24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26" name="TextBox 25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27" name="TextBox 26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25375" cy="264560"/>
    <xdr:sp macro="" textlink="">
      <xdr:nvSpPr>
        <xdr:cNvPr id="28" name="TextBox 27"/>
        <xdr:cNvSpPr txBox="1"/>
      </xdr:nvSpPr>
      <xdr:spPr>
        <a:xfrm>
          <a:off x="135731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29" name="TextBox 28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30" name="TextBox 29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31" name="TextBox 30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32" name="TextBox 31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33" name="TextBox 32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34" name="TextBox 33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35" name="TextBox 34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36" name="TextBox 35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37" name="TextBox 36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38" name="TextBox 37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39" name="TextBox 38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40" name="TextBox 39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41" name="TextBox 40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42" name="TextBox 41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43" name="TextBox 42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44" name="TextBox 43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45" name="TextBox 44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46" name="TextBox 45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47" name="TextBox 46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48" name="TextBox 47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49" name="TextBox 48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50" name="TextBox 49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51" name="TextBox 50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52" name="TextBox 51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53" name="TextBox 52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54" name="TextBox 53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55" name="TextBox 54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56" name="TextBox 55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57" name="TextBox 56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58" name="TextBox 57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59" name="TextBox 58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60" name="TextBox 59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61" name="TextBox 60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62" name="TextBox 61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63" name="TextBox 62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64" name="TextBox 63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65" name="TextBox 64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66" name="TextBox 65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67" name="TextBox 66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68" name="TextBox 67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69" name="TextBox 68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70" name="TextBox 69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71" name="TextBox 70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72" name="TextBox 71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73" name="TextBox 72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74" name="TextBox 73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75" name="TextBox 74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76" name="TextBox 75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77" name="TextBox 76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78" name="TextBox 77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79" name="TextBox 78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80" name="TextBox 79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25375" cy="264560"/>
    <xdr:sp macro="" textlink="">
      <xdr:nvSpPr>
        <xdr:cNvPr id="81" name="TextBox 80"/>
        <xdr:cNvSpPr txBox="1"/>
      </xdr:nvSpPr>
      <xdr:spPr>
        <a:xfrm>
          <a:off x="135731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25375" cy="264560"/>
    <xdr:sp macro="" textlink="">
      <xdr:nvSpPr>
        <xdr:cNvPr id="82" name="TextBox 81"/>
        <xdr:cNvSpPr txBox="1"/>
      </xdr:nvSpPr>
      <xdr:spPr>
        <a:xfrm>
          <a:off x="135731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25375" cy="264560"/>
    <xdr:sp macro="" textlink="">
      <xdr:nvSpPr>
        <xdr:cNvPr id="83" name="TextBox 82"/>
        <xdr:cNvSpPr txBox="1"/>
      </xdr:nvSpPr>
      <xdr:spPr>
        <a:xfrm>
          <a:off x="135731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25375" cy="264560"/>
    <xdr:sp macro="" textlink="">
      <xdr:nvSpPr>
        <xdr:cNvPr id="84" name="TextBox 83"/>
        <xdr:cNvSpPr txBox="1"/>
      </xdr:nvSpPr>
      <xdr:spPr>
        <a:xfrm>
          <a:off x="135731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25375" cy="264560"/>
    <xdr:sp macro="" textlink="">
      <xdr:nvSpPr>
        <xdr:cNvPr id="85" name="TextBox 84"/>
        <xdr:cNvSpPr txBox="1"/>
      </xdr:nvSpPr>
      <xdr:spPr>
        <a:xfrm>
          <a:off x="135731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25375" cy="264560"/>
    <xdr:sp macro="" textlink="">
      <xdr:nvSpPr>
        <xdr:cNvPr id="86" name="TextBox 85"/>
        <xdr:cNvSpPr txBox="1"/>
      </xdr:nvSpPr>
      <xdr:spPr>
        <a:xfrm>
          <a:off x="135731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25375" cy="264560"/>
    <xdr:sp macro="" textlink="">
      <xdr:nvSpPr>
        <xdr:cNvPr id="87" name="TextBox 86"/>
        <xdr:cNvSpPr txBox="1"/>
      </xdr:nvSpPr>
      <xdr:spPr>
        <a:xfrm>
          <a:off x="135731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25375" cy="264560"/>
    <xdr:sp macro="" textlink="">
      <xdr:nvSpPr>
        <xdr:cNvPr id="88" name="TextBox 87"/>
        <xdr:cNvSpPr txBox="1"/>
      </xdr:nvSpPr>
      <xdr:spPr>
        <a:xfrm>
          <a:off x="135731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66454" cy="264560"/>
    <xdr:sp macro="" textlink="">
      <xdr:nvSpPr>
        <xdr:cNvPr id="89" name="TextBox 88"/>
        <xdr:cNvSpPr txBox="1"/>
      </xdr:nvSpPr>
      <xdr:spPr>
        <a:xfrm flipH="1">
          <a:off x="1357312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25375" cy="264560"/>
    <xdr:sp macro="" textlink="">
      <xdr:nvSpPr>
        <xdr:cNvPr id="90" name="TextBox 89"/>
        <xdr:cNvSpPr txBox="1"/>
      </xdr:nvSpPr>
      <xdr:spPr>
        <a:xfrm>
          <a:off x="135731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25375" cy="264560"/>
    <xdr:sp macro="" textlink="">
      <xdr:nvSpPr>
        <xdr:cNvPr id="91" name="TextBox 90"/>
        <xdr:cNvSpPr txBox="1"/>
      </xdr:nvSpPr>
      <xdr:spPr>
        <a:xfrm>
          <a:off x="135731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66454" cy="264560"/>
    <xdr:sp macro="" textlink="">
      <xdr:nvSpPr>
        <xdr:cNvPr id="92" name="TextBox 91"/>
        <xdr:cNvSpPr txBox="1"/>
      </xdr:nvSpPr>
      <xdr:spPr>
        <a:xfrm flipH="1">
          <a:off x="1357312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595386</xdr:rowOff>
    </xdr:from>
    <xdr:ext cx="264560" cy="1248882"/>
    <xdr:sp macro="" textlink="">
      <xdr:nvSpPr>
        <xdr:cNvPr id="93" name="TextBox 92"/>
        <xdr:cNvSpPr txBox="1"/>
      </xdr:nvSpPr>
      <xdr:spPr>
        <a:xfrm rot="4668514">
          <a:off x="13080964" y="9269522"/>
          <a:ext cx="124888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25375" cy="264560"/>
    <xdr:sp macro="" textlink="">
      <xdr:nvSpPr>
        <xdr:cNvPr id="94" name="TextBox 93"/>
        <xdr:cNvSpPr txBox="1"/>
      </xdr:nvSpPr>
      <xdr:spPr>
        <a:xfrm>
          <a:off x="135731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25375" cy="264560"/>
    <xdr:sp macro="" textlink="">
      <xdr:nvSpPr>
        <xdr:cNvPr id="95" name="TextBox 94"/>
        <xdr:cNvSpPr txBox="1"/>
      </xdr:nvSpPr>
      <xdr:spPr>
        <a:xfrm>
          <a:off x="135731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66454" cy="264560"/>
    <xdr:sp macro="" textlink="">
      <xdr:nvSpPr>
        <xdr:cNvPr id="96" name="TextBox 95"/>
        <xdr:cNvSpPr txBox="1"/>
      </xdr:nvSpPr>
      <xdr:spPr>
        <a:xfrm flipH="1">
          <a:off x="1357312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5008" cy="255462"/>
    <xdr:sp macro="" textlink="">
      <xdr:nvSpPr>
        <xdr:cNvPr id="97" name="TextBox 96"/>
        <xdr:cNvSpPr txBox="1"/>
      </xdr:nvSpPr>
      <xdr:spPr>
        <a:xfrm>
          <a:off x="13573125" y="81819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5008" cy="255462"/>
    <xdr:sp macro="" textlink="">
      <xdr:nvSpPr>
        <xdr:cNvPr id="98" name="TextBox 97"/>
        <xdr:cNvSpPr txBox="1"/>
      </xdr:nvSpPr>
      <xdr:spPr>
        <a:xfrm>
          <a:off x="13573125" y="81819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99" name="TextBox 98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00" name="TextBox 99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6454" cy="264560"/>
    <xdr:sp macro="" textlink="">
      <xdr:nvSpPr>
        <xdr:cNvPr id="101" name="TextBox 100"/>
        <xdr:cNvSpPr txBox="1"/>
      </xdr:nvSpPr>
      <xdr:spPr>
        <a:xfrm flipH="1">
          <a:off x="13573125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02" name="TextBox 101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03" name="TextBox 102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04" name="TextBox 103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25375" cy="264560"/>
    <xdr:sp macro="" textlink="">
      <xdr:nvSpPr>
        <xdr:cNvPr id="105" name="TextBox 104"/>
        <xdr:cNvSpPr txBox="1"/>
      </xdr:nvSpPr>
      <xdr:spPr>
        <a:xfrm>
          <a:off x="1357312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06" name="TextBox 105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07" name="TextBox 106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08" name="TextBox 107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09" name="TextBox 108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10" name="TextBox 109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11" name="TextBox 110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12" name="TextBox 111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13" name="TextBox 112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14" name="TextBox 113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15" name="TextBox 114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16" name="TextBox 115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17" name="TextBox 116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18" name="TextBox 117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19" name="TextBox 118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20" name="TextBox 119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21" name="TextBox 120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22" name="TextBox 121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23" name="TextBox 122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24" name="TextBox 123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25" name="TextBox 124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26" name="TextBox 125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27" name="TextBox 126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28" name="TextBox 127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29" name="TextBox 128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30" name="TextBox 129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31" name="TextBox 130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32" name="TextBox 131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33" name="TextBox 132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34" name="TextBox 133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35" name="TextBox 134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36" name="TextBox 135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37" name="TextBox 136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38" name="TextBox 137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39" name="TextBox 138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40" name="TextBox 139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41" name="TextBox 140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42" name="TextBox 141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43" name="TextBox 142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44" name="TextBox 143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45" name="TextBox 144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46" name="TextBox 145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47" name="TextBox 146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48" name="TextBox 147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49" name="TextBox 148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50" name="TextBox 149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51" name="TextBox 150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52" name="TextBox 151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53" name="TextBox 152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54" name="TextBox 153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55" name="TextBox 154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56" name="TextBox 155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57" name="TextBox 156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25375" cy="264560"/>
    <xdr:sp macro="" textlink="">
      <xdr:nvSpPr>
        <xdr:cNvPr id="158" name="TextBox 157"/>
        <xdr:cNvSpPr txBox="1"/>
      </xdr:nvSpPr>
      <xdr:spPr>
        <a:xfrm>
          <a:off x="1357312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25375" cy="264560"/>
    <xdr:sp macro="" textlink="">
      <xdr:nvSpPr>
        <xdr:cNvPr id="159" name="TextBox 158"/>
        <xdr:cNvSpPr txBox="1"/>
      </xdr:nvSpPr>
      <xdr:spPr>
        <a:xfrm>
          <a:off x="1357312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25375" cy="264560"/>
    <xdr:sp macro="" textlink="">
      <xdr:nvSpPr>
        <xdr:cNvPr id="160" name="TextBox 159"/>
        <xdr:cNvSpPr txBox="1"/>
      </xdr:nvSpPr>
      <xdr:spPr>
        <a:xfrm>
          <a:off x="1357312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25375" cy="264560"/>
    <xdr:sp macro="" textlink="">
      <xdr:nvSpPr>
        <xdr:cNvPr id="161" name="TextBox 160"/>
        <xdr:cNvSpPr txBox="1"/>
      </xdr:nvSpPr>
      <xdr:spPr>
        <a:xfrm>
          <a:off x="1357312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25375" cy="264560"/>
    <xdr:sp macro="" textlink="">
      <xdr:nvSpPr>
        <xdr:cNvPr id="162" name="TextBox 161"/>
        <xdr:cNvSpPr txBox="1"/>
      </xdr:nvSpPr>
      <xdr:spPr>
        <a:xfrm>
          <a:off x="1357312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25375" cy="264560"/>
    <xdr:sp macro="" textlink="">
      <xdr:nvSpPr>
        <xdr:cNvPr id="163" name="TextBox 162"/>
        <xdr:cNvSpPr txBox="1"/>
      </xdr:nvSpPr>
      <xdr:spPr>
        <a:xfrm>
          <a:off x="1357312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25375" cy="264560"/>
    <xdr:sp macro="" textlink="">
      <xdr:nvSpPr>
        <xdr:cNvPr id="164" name="TextBox 163"/>
        <xdr:cNvSpPr txBox="1"/>
      </xdr:nvSpPr>
      <xdr:spPr>
        <a:xfrm>
          <a:off x="1357312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25375" cy="264560"/>
    <xdr:sp macro="" textlink="">
      <xdr:nvSpPr>
        <xdr:cNvPr id="165" name="TextBox 164"/>
        <xdr:cNvSpPr txBox="1"/>
      </xdr:nvSpPr>
      <xdr:spPr>
        <a:xfrm>
          <a:off x="1357312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6454" cy="264560"/>
    <xdr:sp macro="" textlink="">
      <xdr:nvSpPr>
        <xdr:cNvPr id="166" name="TextBox 165"/>
        <xdr:cNvSpPr txBox="1"/>
      </xdr:nvSpPr>
      <xdr:spPr>
        <a:xfrm flipH="1">
          <a:off x="13573125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25375" cy="264560"/>
    <xdr:sp macro="" textlink="">
      <xdr:nvSpPr>
        <xdr:cNvPr id="167" name="TextBox 166"/>
        <xdr:cNvSpPr txBox="1"/>
      </xdr:nvSpPr>
      <xdr:spPr>
        <a:xfrm>
          <a:off x="1357312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25375" cy="264560"/>
    <xdr:sp macro="" textlink="">
      <xdr:nvSpPr>
        <xdr:cNvPr id="168" name="TextBox 167"/>
        <xdr:cNvSpPr txBox="1"/>
      </xdr:nvSpPr>
      <xdr:spPr>
        <a:xfrm>
          <a:off x="1357312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6454" cy="264560"/>
    <xdr:sp macro="" textlink="">
      <xdr:nvSpPr>
        <xdr:cNvPr id="169" name="TextBox 168"/>
        <xdr:cNvSpPr txBox="1"/>
      </xdr:nvSpPr>
      <xdr:spPr>
        <a:xfrm flipH="1">
          <a:off x="13573125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29</xdr:row>
      <xdr:rowOff>6240</xdr:rowOff>
    </xdr:from>
    <xdr:ext cx="264560" cy="1248882"/>
    <xdr:sp macro="" textlink="">
      <xdr:nvSpPr>
        <xdr:cNvPr id="170" name="TextBox 169"/>
        <xdr:cNvSpPr txBox="1"/>
      </xdr:nvSpPr>
      <xdr:spPr>
        <a:xfrm rot="4668514">
          <a:off x="13080964" y="8013626"/>
          <a:ext cx="124888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25375" cy="264560"/>
    <xdr:sp macro="" textlink="">
      <xdr:nvSpPr>
        <xdr:cNvPr id="171" name="TextBox 170"/>
        <xdr:cNvSpPr txBox="1"/>
      </xdr:nvSpPr>
      <xdr:spPr>
        <a:xfrm>
          <a:off x="1357312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25375" cy="264560"/>
    <xdr:sp macro="" textlink="">
      <xdr:nvSpPr>
        <xdr:cNvPr id="172" name="TextBox 171"/>
        <xdr:cNvSpPr txBox="1"/>
      </xdr:nvSpPr>
      <xdr:spPr>
        <a:xfrm>
          <a:off x="1357312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6454" cy="264560"/>
    <xdr:sp macro="" textlink="">
      <xdr:nvSpPr>
        <xdr:cNvPr id="173" name="TextBox 172"/>
        <xdr:cNvSpPr txBox="1"/>
      </xdr:nvSpPr>
      <xdr:spPr>
        <a:xfrm flipH="1">
          <a:off x="13573125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2" name="TextBox 1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3" name="TextBox 2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4" name="TextBox 3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5" name="TextBox 4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66454" cy="264560"/>
    <xdr:sp macro="" textlink="">
      <xdr:nvSpPr>
        <xdr:cNvPr id="6" name="TextBox 5"/>
        <xdr:cNvSpPr txBox="1"/>
      </xdr:nvSpPr>
      <xdr:spPr>
        <a:xfrm flipH="1">
          <a:off x="1223962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7" name="TextBox 6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8" name="TextBox 7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9" name="TextBox 8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0" name="TextBox 9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1" name="TextBox 10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2" name="TextBox 11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3" name="TextBox 12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4" name="TextBox 13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66454" cy="264560"/>
    <xdr:sp macro="" textlink="">
      <xdr:nvSpPr>
        <xdr:cNvPr id="15" name="TextBox 14"/>
        <xdr:cNvSpPr txBox="1"/>
      </xdr:nvSpPr>
      <xdr:spPr>
        <a:xfrm flipH="1">
          <a:off x="1223962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6" name="TextBox 15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7" name="TextBox 16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8" name="TextBox 17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9" name="TextBox 18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5008" cy="255462"/>
    <xdr:sp macro="" textlink="">
      <xdr:nvSpPr>
        <xdr:cNvPr id="20" name="TextBox 19"/>
        <xdr:cNvSpPr txBox="1"/>
      </xdr:nvSpPr>
      <xdr:spPr>
        <a:xfrm>
          <a:off x="12544425" y="94773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5008" cy="255462"/>
    <xdr:sp macro="" textlink="">
      <xdr:nvSpPr>
        <xdr:cNvPr id="21" name="TextBox 20"/>
        <xdr:cNvSpPr txBox="1"/>
      </xdr:nvSpPr>
      <xdr:spPr>
        <a:xfrm>
          <a:off x="12544425" y="94773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22" name="TextBox 21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23" name="TextBox 22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66454" cy="264560"/>
    <xdr:sp macro="" textlink="">
      <xdr:nvSpPr>
        <xdr:cNvPr id="24" name="TextBox 23"/>
        <xdr:cNvSpPr txBox="1"/>
      </xdr:nvSpPr>
      <xdr:spPr>
        <a:xfrm flipH="1">
          <a:off x="1254442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25" name="TextBox 24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26" name="TextBox 25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27" name="TextBox 26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28" name="TextBox 27"/>
        <xdr:cNvSpPr txBox="1"/>
      </xdr:nvSpPr>
      <xdr:spPr>
        <a:xfrm>
          <a:off x="125444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29" name="TextBox 28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0" name="TextBox 29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1" name="TextBox 30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2" name="TextBox 31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3" name="TextBox 32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4" name="TextBox 33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5" name="TextBox 34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6" name="TextBox 35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7" name="TextBox 36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8" name="TextBox 37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9" name="TextBox 38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0" name="TextBox 39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1" name="TextBox 40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2" name="TextBox 41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3" name="TextBox 42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4" name="TextBox 43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5" name="TextBox 44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6" name="TextBox 45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7" name="TextBox 46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8" name="TextBox 47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9" name="TextBox 48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0" name="TextBox 49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1" name="TextBox 50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2" name="TextBox 51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3" name="TextBox 52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4" name="TextBox 53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5" name="TextBox 54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6" name="TextBox 55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7" name="TextBox 56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8" name="TextBox 57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9" name="TextBox 58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0" name="TextBox 59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1" name="TextBox 60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2" name="TextBox 61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3" name="TextBox 62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4" name="TextBox 63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5" name="TextBox 64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6" name="TextBox 65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7" name="TextBox 66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8" name="TextBox 67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9" name="TextBox 68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0" name="TextBox 69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1" name="TextBox 70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2" name="TextBox 71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3" name="TextBox 72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4" name="TextBox 73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5" name="TextBox 74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6" name="TextBox 75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7" name="TextBox 76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8" name="TextBox 77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9" name="TextBox 78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80" name="TextBox 79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81" name="TextBox 80"/>
        <xdr:cNvSpPr txBox="1"/>
      </xdr:nvSpPr>
      <xdr:spPr>
        <a:xfrm>
          <a:off x="125444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82" name="TextBox 81"/>
        <xdr:cNvSpPr txBox="1"/>
      </xdr:nvSpPr>
      <xdr:spPr>
        <a:xfrm>
          <a:off x="125444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83" name="TextBox 82"/>
        <xdr:cNvSpPr txBox="1"/>
      </xdr:nvSpPr>
      <xdr:spPr>
        <a:xfrm>
          <a:off x="125444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84" name="TextBox 83"/>
        <xdr:cNvSpPr txBox="1"/>
      </xdr:nvSpPr>
      <xdr:spPr>
        <a:xfrm>
          <a:off x="125444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85" name="TextBox 84"/>
        <xdr:cNvSpPr txBox="1"/>
      </xdr:nvSpPr>
      <xdr:spPr>
        <a:xfrm>
          <a:off x="125444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86" name="TextBox 85"/>
        <xdr:cNvSpPr txBox="1"/>
      </xdr:nvSpPr>
      <xdr:spPr>
        <a:xfrm>
          <a:off x="125444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87" name="TextBox 86"/>
        <xdr:cNvSpPr txBox="1"/>
      </xdr:nvSpPr>
      <xdr:spPr>
        <a:xfrm>
          <a:off x="125444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88" name="TextBox 87"/>
        <xdr:cNvSpPr txBox="1"/>
      </xdr:nvSpPr>
      <xdr:spPr>
        <a:xfrm>
          <a:off x="125444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66454" cy="264560"/>
    <xdr:sp macro="" textlink="">
      <xdr:nvSpPr>
        <xdr:cNvPr id="89" name="TextBox 88"/>
        <xdr:cNvSpPr txBox="1"/>
      </xdr:nvSpPr>
      <xdr:spPr>
        <a:xfrm flipH="1">
          <a:off x="1254442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90" name="TextBox 89"/>
        <xdr:cNvSpPr txBox="1"/>
      </xdr:nvSpPr>
      <xdr:spPr>
        <a:xfrm>
          <a:off x="125444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91" name="TextBox 90"/>
        <xdr:cNvSpPr txBox="1"/>
      </xdr:nvSpPr>
      <xdr:spPr>
        <a:xfrm>
          <a:off x="125444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66454" cy="264560"/>
    <xdr:sp macro="" textlink="">
      <xdr:nvSpPr>
        <xdr:cNvPr id="92" name="TextBox 91"/>
        <xdr:cNvSpPr txBox="1"/>
      </xdr:nvSpPr>
      <xdr:spPr>
        <a:xfrm flipH="1">
          <a:off x="1254442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595386</xdr:rowOff>
    </xdr:from>
    <xdr:ext cx="264560" cy="1248882"/>
    <xdr:sp macro="" textlink="">
      <xdr:nvSpPr>
        <xdr:cNvPr id="93" name="TextBox 92"/>
        <xdr:cNvSpPr txBox="1"/>
      </xdr:nvSpPr>
      <xdr:spPr>
        <a:xfrm rot="4668514">
          <a:off x="12052264" y="9269522"/>
          <a:ext cx="124888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94" name="TextBox 93"/>
        <xdr:cNvSpPr txBox="1"/>
      </xdr:nvSpPr>
      <xdr:spPr>
        <a:xfrm>
          <a:off x="125444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95" name="TextBox 94"/>
        <xdr:cNvSpPr txBox="1"/>
      </xdr:nvSpPr>
      <xdr:spPr>
        <a:xfrm>
          <a:off x="125444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66454" cy="264560"/>
    <xdr:sp macro="" textlink="">
      <xdr:nvSpPr>
        <xdr:cNvPr id="96" name="TextBox 95"/>
        <xdr:cNvSpPr txBox="1"/>
      </xdr:nvSpPr>
      <xdr:spPr>
        <a:xfrm flipH="1">
          <a:off x="1254442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5008" cy="255462"/>
    <xdr:sp macro="" textlink="">
      <xdr:nvSpPr>
        <xdr:cNvPr id="97" name="TextBox 96"/>
        <xdr:cNvSpPr txBox="1"/>
      </xdr:nvSpPr>
      <xdr:spPr>
        <a:xfrm>
          <a:off x="12544425" y="81819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5008" cy="255462"/>
    <xdr:sp macro="" textlink="">
      <xdr:nvSpPr>
        <xdr:cNvPr id="98" name="TextBox 97"/>
        <xdr:cNvSpPr txBox="1"/>
      </xdr:nvSpPr>
      <xdr:spPr>
        <a:xfrm>
          <a:off x="12544425" y="81819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99" name="TextBox 98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00" name="TextBox 99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66454" cy="264560"/>
    <xdr:sp macro="" textlink="">
      <xdr:nvSpPr>
        <xdr:cNvPr id="101" name="TextBox 100"/>
        <xdr:cNvSpPr txBox="1"/>
      </xdr:nvSpPr>
      <xdr:spPr>
        <a:xfrm flipH="1">
          <a:off x="12544425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02" name="TextBox 101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03" name="TextBox 102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04" name="TextBox 103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05" name="TextBox 104"/>
        <xdr:cNvSpPr txBox="1"/>
      </xdr:nvSpPr>
      <xdr:spPr>
        <a:xfrm>
          <a:off x="1254442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06" name="TextBox 105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07" name="TextBox 106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08" name="TextBox 107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09" name="TextBox 108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0" name="TextBox 109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1" name="TextBox 110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2" name="TextBox 111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3" name="TextBox 112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4" name="TextBox 113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5" name="TextBox 114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6" name="TextBox 115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7" name="TextBox 116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8" name="TextBox 117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9" name="TextBox 118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0" name="TextBox 119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1" name="TextBox 120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2" name="TextBox 121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3" name="TextBox 122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4" name="TextBox 123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5" name="TextBox 124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6" name="TextBox 125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7" name="TextBox 126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8" name="TextBox 127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9" name="TextBox 128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0" name="TextBox 129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1" name="TextBox 130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2" name="TextBox 131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3" name="TextBox 132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4" name="TextBox 133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5" name="TextBox 134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6" name="TextBox 135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7" name="TextBox 136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8" name="TextBox 137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9" name="TextBox 138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0" name="TextBox 139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1" name="TextBox 140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2" name="TextBox 141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3" name="TextBox 142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4" name="TextBox 143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5" name="TextBox 144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6" name="TextBox 145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7" name="TextBox 146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8" name="TextBox 147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9" name="TextBox 148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50" name="TextBox 149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51" name="TextBox 150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52" name="TextBox 151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53" name="TextBox 152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54" name="TextBox 153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55" name="TextBox 154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56" name="TextBox 155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57" name="TextBox 156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58" name="TextBox 157"/>
        <xdr:cNvSpPr txBox="1"/>
      </xdr:nvSpPr>
      <xdr:spPr>
        <a:xfrm>
          <a:off x="1254442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59" name="TextBox 158"/>
        <xdr:cNvSpPr txBox="1"/>
      </xdr:nvSpPr>
      <xdr:spPr>
        <a:xfrm>
          <a:off x="1254442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60" name="TextBox 159"/>
        <xdr:cNvSpPr txBox="1"/>
      </xdr:nvSpPr>
      <xdr:spPr>
        <a:xfrm>
          <a:off x="1254442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61" name="TextBox 160"/>
        <xdr:cNvSpPr txBox="1"/>
      </xdr:nvSpPr>
      <xdr:spPr>
        <a:xfrm>
          <a:off x="1254442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62" name="TextBox 161"/>
        <xdr:cNvSpPr txBox="1"/>
      </xdr:nvSpPr>
      <xdr:spPr>
        <a:xfrm>
          <a:off x="1254442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63" name="TextBox 162"/>
        <xdr:cNvSpPr txBox="1"/>
      </xdr:nvSpPr>
      <xdr:spPr>
        <a:xfrm>
          <a:off x="1254442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64" name="TextBox 163"/>
        <xdr:cNvSpPr txBox="1"/>
      </xdr:nvSpPr>
      <xdr:spPr>
        <a:xfrm>
          <a:off x="1254442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65" name="TextBox 164"/>
        <xdr:cNvSpPr txBox="1"/>
      </xdr:nvSpPr>
      <xdr:spPr>
        <a:xfrm>
          <a:off x="1254442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66454" cy="264560"/>
    <xdr:sp macro="" textlink="">
      <xdr:nvSpPr>
        <xdr:cNvPr id="166" name="TextBox 165"/>
        <xdr:cNvSpPr txBox="1"/>
      </xdr:nvSpPr>
      <xdr:spPr>
        <a:xfrm flipH="1">
          <a:off x="12544425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67" name="TextBox 166"/>
        <xdr:cNvSpPr txBox="1"/>
      </xdr:nvSpPr>
      <xdr:spPr>
        <a:xfrm>
          <a:off x="1254442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68" name="TextBox 167"/>
        <xdr:cNvSpPr txBox="1"/>
      </xdr:nvSpPr>
      <xdr:spPr>
        <a:xfrm>
          <a:off x="1254442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66454" cy="264560"/>
    <xdr:sp macro="" textlink="">
      <xdr:nvSpPr>
        <xdr:cNvPr id="169" name="TextBox 168"/>
        <xdr:cNvSpPr txBox="1"/>
      </xdr:nvSpPr>
      <xdr:spPr>
        <a:xfrm flipH="1">
          <a:off x="12544425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29</xdr:row>
      <xdr:rowOff>6240</xdr:rowOff>
    </xdr:from>
    <xdr:ext cx="264560" cy="1248882"/>
    <xdr:sp macro="" textlink="">
      <xdr:nvSpPr>
        <xdr:cNvPr id="170" name="TextBox 169"/>
        <xdr:cNvSpPr txBox="1"/>
      </xdr:nvSpPr>
      <xdr:spPr>
        <a:xfrm rot="4668514">
          <a:off x="12052264" y="8013626"/>
          <a:ext cx="124888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71" name="TextBox 170"/>
        <xdr:cNvSpPr txBox="1"/>
      </xdr:nvSpPr>
      <xdr:spPr>
        <a:xfrm>
          <a:off x="1254442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72" name="TextBox 171"/>
        <xdr:cNvSpPr txBox="1"/>
      </xdr:nvSpPr>
      <xdr:spPr>
        <a:xfrm>
          <a:off x="1254442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66454" cy="264560"/>
    <xdr:sp macro="" textlink="">
      <xdr:nvSpPr>
        <xdr:cNvPr id="173" name="TextBox 172"/>
        <xdr:cNvSpPr txBox="1"/>
      </xdr:nvSpPr>
      <xdr:spPr>
        <a:xfrm flipH="1">
          <a:off x="12544425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2" name="TextBox 1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3" name="TextBox 2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4" name="TextBox 3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5" name="TextBox 4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66454" cy="264560"/>
    <xdr:sp macro="" textlink="">
      <xdr:nvSpPr>
        <xdr:cNvPr id="6" name="TextBox 5"/>
        <xdr:cNvSpPr txBox="1"/>
      </xdr:nvSpPr>
      <xdr:spPr>
        <a:xfrm flipH="1">
          <a:off x="1223962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7" name="TextBox 6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8" name="TextBox 7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9" name="TextBox 8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0" name="TextBox 9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1" name="TextBox 10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2" name="TextBox 11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3" name="TextBox 12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4" name="TextBox 13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66454" cy="264560"/>
    <xdr:sp macro="" textlink="">
      <xdr:nvSpPr>
        <xdr:cNvPr id="15" name="TextBox 14"/>
        <xdr:cNvSpPr txBox="1"/>
      </xdr:nvSpPr>
      <xdr:spPr>
        <a:xfrm flipH="1">
          <a:off x="1223962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6" name="TextBox 15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7" name="TextBox 16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8" name="TextBox 17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9" name="TextBox 18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5008" cy="255462"/>
    <xdr:sp macro="" textlink="">
      <xdr:nvSpPr>
        <xdr:cNvPr id="20" name="TextBox 19"/>
        <xdr:cNvSpPr txBox="1"/>
      </xdr:nvSpPr>
      <xdr:spPr>
        <a:xfrm>
          <a:off x="13134975" y="94773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5008" cy="255462"/>
    <xdr:sp macro="" textlink="">
      <xdr:nvSpPr>
        <xdr:cNvPr id="21" name="TextBox 20"/>
        <xdr:cNvSpPr txBox="1"/>
      </xdr:nvSpPr>
      <xdr:spPr>
        <a:xfrm>
          <a:off x="13134975" y="94773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22" name="TextBox 21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23" name="TextBox 22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66454" cy="264560"/>
    <xdr:sp macro="" textlink="">
      <xdr:nvSpPr>
        <xdr:cNvPr id="24" name="TextBox 23"/>
        <xdr:cNvSpPr txBox="1"/>
      </xdr:nvSpPr>
      <xdr:spPr>
        <a:xfrm flipH="1">
          <a:off x="1313497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25" name="TextBox 24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26" name="TextBox 25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27" name="TextBox 26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28" name="TextBox 27"/>
        <xdr:cNvSpPr txBox="1"/>
      </xdr:nvSpPr>
      <xdr:spPr>
        <a:xfrm>
          <a:off x="131349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29" name="TextBox 28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0" name="TextBox 29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1" name="TextBox 30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2" name="TextBox 31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3" name="TextBox 32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4" name="TextBox 33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5" name="TextBox 34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6" name="TextBox 35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7" name="TextBox 36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8" name="TextBox 37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9" name="TextBox 38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0" name="TextBox 39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1" name="TextBox 40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2" name="TextBox 41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3" name="TextBox 42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4" name="TextBox 43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5" name="TextBox 44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6" name="TextBox 45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7" name="TextBox 46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8" name="TextBox 47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9" name="TextBox 48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0" name="TextBox 49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1" name="TextBox 50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2" name="TextBox 51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3" name="TextBox 52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4" name="TextBox 53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5" name="TextBox 54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6" name="TextBox 55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7" name="TextBox 56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8" name="TextBox 57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9" name="TextBox 58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0" name="TextBox 59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1" name="TextBox 60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2" name="TextBox 61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3" name="TextBox 62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4" name="TextBox 63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5" name="TextBox 64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6" name="TextBox 65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7" name="TextBox 66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8" name="TextBox 67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9" name="TextBox 68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0" name="TextBox 69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1" name="TextBox 70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2" name="TextBox 71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3" name="TextBox 72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4" name="TextBox 73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5" name="TextBox 74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6" name="TextBox 75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7" name="TextBox 76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8" name="TextBox 77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9" name="TextBox 78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80" name="TextBox 79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81" name="TextBox 80"/>
        <xdr:cNvSpPr txBox="1"/>
      </xdr:nvSpPr>
      <xdr:spPr>
        <a:xfrm>
          <a:off x="131349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82" name="TextBox 81"/>
        <xdr:cNvSpPr txBox="1"/>
      </xdr:nvSpPr>
      <xdr:spPr>
        <a:xfrm>
          <a:off x="131349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83" name="TextBox 82"/>
        <xdr:cNvSpPr txBox="1"/>
      </xdr:nvSpPr>
      <xdr:spPr>
        <a:xfrm>
          <a:off x="131349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84" name="TextBox 83"/>
        <xdr:cNvSpPr txBox="1"/>
      </xdr:nvSpPr>
      <xdr:spPr>
        <a:xfrm>
          <a:off x="131349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85" name="TextBox 84"/>
        <xdr:cNvSpPr txBox="1"/>
      </xdr:nvSpPr>
      <xdr:spPr>
        <a:xfrm>
          <a:off x="131349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86" name="TextBox 85"/>
        <xdr:cNvSpPr txBox="1"/>
      </xdr:nvSpPr>
      <xdr:spPr>
        <a:xfrm>
          <a:off x="131349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87" name="TextBox 86"/>
        <xdr:cNvSpPr txBox="1"/>
      </xdr:nvSpPr>
      <xdr:spPr>
        <a:xfrm>
          <a:off x="131349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88" name="TextBox 87"/>
        <xdr:cNvSpPr txBox="1"/>
      </xdr:nvSpPr>
      <xdr:spPr>
        <a:xfrm>
          <a:off x="131349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66454" cy="264560"/>
    <xdr:sp macro="" textlink="">
      <xdr:nvSpPr>
        <xdr:cNvPr id="89" name="TextBox 88"/>
        <xdr:cNvSpPr txBox="1"/>
      </xdr:nvSpPr>
      <xdr:spPr>
        <a:xfrm flipH="1">
          <a:off x="1313497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90" name="TextBox 89"/>
        <xdr:cNvSpPr txBox="1"/>
      </xdr:nvSpPr>
      <xdr:spPr>
        <a:xfrm>
          <a:off x="131349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91" name="TextBox 90"/>
        <xdr:cNvSpPr txBox="1"/>
      </xdr:nvSpPr>
      <xdr:spPr>
        <a:xfrm>
          <a:off x="131349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66454" cy="264560"/>
    <xdr:sp macro="" textlink="">
      <xdr:nvSpPr>
        <xdr:cNvPr id="92" name="TextBox 91"/>
        <xdr:cNvSpPr txBox="1"/>
      </xdr:nvSpPr>
      <xdr:spPr>
        <a:xfrm flipH="1">
          <a:off x="1313497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595386</xdr:rowOff>
    </xdr:from>
    <xdr:ext cx="264560" cy="1248882"/>
    <xdr:sp macro="" textlink="">
      <xdr:nvSpPr>
        <xdr:cNvPr id="93" name="TextBox 92"/>
        <xdr:cNvSpPr txBox="1"/>
      </xdr:nvSpPr>
      <xdr:spPr>
        <a:xfrm rot="4668514">
          <a:off x="12642814" y="9269522"/>
          <a:ext cx="124888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94" name="TextBox 93"/>
        <xdr:cNvSpPr txBox="1"/>
      </xdr:nvSpPr>
      <xdr:spPr>
        <a:xfrm>
          <a:off x="131349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95" name="TextBox 94"/>
        <xdr:cNvSpPr txBox="1"/>
      </xdr:nvSpPr>
      <xdr:spPr>
        <a:xfrm>
          <a:off x="131349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66454" cy="264560"/>
    <xdr:sp macro="" textlink="">
      <xdr:nvSpPr>
        <xdr:cNvPr id="96" name="TextBox 95"/>
        <xdr:cNvSpPr txBox="1"/>
      </xdr:nvSpPr>
      <xdr:spPr>
        <a:xfrm flipH="1">
          <a:off x="1313497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5008" cy="255462"/>
    <xdr:sp macro="" textlink="">
      <xdr:nvSpPr>
        <xdr:cNvPr id="97" name="TextBox 96"/>
        <xdr:cNvSpPr txBox="1"/>
      </xdr:nvSpPr>
      <xdr:spPr>
        <a:xfrm>
          <a:off x="13134975" y="81819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5008" cy="255462"/>
    <xdr:sp macro="" textlink="">
      <xdr:nvSpPr>
        <xdr:cNvPr id="98" name="TextBox 97"/>
        <xdr:cNvSpPr txBox="1"/>
      </xdr:nvSpPr>
      <xdr:spPr>
        <a:xfrm>
          <a:off x="13134975" y="81819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99" name="TextBox 98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00" name="TextBox 99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66454" cy="264560"/>
    <xdr:sp macro="" textlink="">
      <xdr:nvSpPr>
        <xdr:cNvPr id="101" name="TextBox 100"/>
        <xdr:cNvSpPr txBox="1"/>
      </xdr:nvSpPr>
      <xdr:spPr>
        <a:xfrm flipH="1">
          <a:off x="13134975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02" name="TextBox 101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03" name="TextBox 102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04" name="TextBox 103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05" name="TextBox 104"/>
        <xdr:cNvSpPr txBox="1"/>
      </xdr:nvSpPr>
      <xdr:spPr>
        <a:xfrm>
          <a:off x="131349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06" name="TextBox 105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07" name="TextBox 106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08" name="TextBox 107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09" name="TextBox 108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0" name="TextBox 109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1" name="TextBox 110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2" name="TextBox 111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3" name="TextBox 112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4" name="TextBox 113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5" name="TextBox 114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6" name="TextBox 115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7" name="TextBox 116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8" name="TextBox 117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9" name="TextBox 118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0" name="TextBox 119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1" name="TextBox 120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2" name="TextBox 121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3" name="TextBox 122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4" name="TextBox 123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5" name="TextBox 124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6" name="TextBox 125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7" name="TextBox 126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8" name="TextBox 127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9" name="TextBox 128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0" name="TextBox 129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1" name="TextBox 130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2" name="TextBox 131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3" name="TextBox 132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4" name="TextBox 133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5" name="TextBox 134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6" name="TextBox 135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7" name="TextBox 136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8" name="TextBox 137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9" name="TextBox 138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0" name="TextBox 139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1" name="TextBox 140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2" name="TextBox 141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3" name="TextBox 142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4" name="TextBox 143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5" name="TextBox 144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6" name="TextBox 145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7" name="TextBox 146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8" name="TextBox 147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9" name="TextBox 148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50" name="TextBox 149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51" name="TextBox 150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52" name="TextBox 151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53" name="TextBox 152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54" name="TextBox 153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55" name="TextBox 154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56" name="TextBox 155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57" name="TextBox 156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58" name="TextBox 157"/>
        <xdr:cNvSpPr txBox="1"/>
      </xdr:nvSpPr>
      <xdr:spPr>
        <a:xfrm>
          <a:off x="131349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59" name="TextBox 158"/>
        <xdr:cNvSpPr txBox="1"/>
      </xdr:nvSpPr>
      <xdr:spPr>
        <a:xfrm>
          <a:off x="131349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60" name="TextBox 159"/>
        <xdr:cNvSpPr txBox="1"/>
      </xdr:nvSpPr>
      <xdr:spPr>
        <a:xfrm>
          <a:off x="131349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61" name="TextBox 160"/>
        <xdr:cNvSpPr txBox="1"/>
      </xdr:nvSpPr>
      <xdr:spPr>
        <a:xfrm>
          <a:off x="131349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62" name="TextBox 161"/>
        <xdr:cNvSpPr txBox="1"/>
      </xdr:nvSpPr>
      <xdr:spPr>
        <a:xfrm>
          <a:off x="131349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63" name="TextBox 162"/>
        <xdr:cNvSpPr txBox="1"/>
      </xdr:nvSpPr>
      <xdr:spPr>
        <a:xfrm>
          <a:off x="131349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64" name="TextBox 163"/>
        <xdr:cNvSpPr txBox="1"/>
      </xdr:nvSpPr>
      <xdr:spPr>
        <a:xfrm>
          <a:off x="131349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65" name="TextBox 164"/>
        <xdr:cNvSpPr txBox="1"/>
      </xdr:nvSpPr>
      <xdr:spPr>
        <a:xfrm>
          <a:off x="131349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66454" cy="264560"/>
    <xdr:sp macro="" textlink="">
      <xdr:nvSpPr>
        <xdr:cNvPr id="166" name="TextBox 165"/>
        <xdr:cNvSpPr txBox="1"/>
      </xdr:nvSpPr>
      <xdr:spPr>
        <a:xfrm flipH="1">
          <a:off x="13134975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67" name="TextBox 166"/>
        <xdr:cNvSpPr txBox="1"/>
      </xdr:nvSpPr>
      <xdr:spPr>
        <a:xfrm>
          <a:off x="131349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68" name="TextBox 167"/>
        <xdr:cNvSpPr txBox="1"/>
      </xdr:nvSpPr>
      <xdr:spPr>
        <a:xfrm>
          <a:off x="131349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66454" cy="264560"/>
    <xdr:sp macro="" textlink="">
      <xdr:nvSpPr>
        <xdr:cNvPr id="169" name="TextBox 168"/>
        <xdr:cNvSpPr txBox="1"/>
      </xdr:nvSpPr>
      <xdr:spPr>
        <a:xfrm flipH="1">
          <a:off x="13134975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29</xdr:row>
      <xdr:rowOff>6240</xdr:rowOff>
    </xdr:from>
    <xdr:ext cx="264560" cy="1248882"/>
    <xdr:sp macro="" textlink="">
      <xdr:nvSpPr>
        <xdr:cNvPr id="170" name="TextBox 169"/>
        <xdr:cNvSpPr txBox="1"/>
      </xdr:nvSpPr>
      <xdr:spPr>
        <a:xfrm rot="4668514">
          <a:off x="12642814" y="8013626"/>
          <a:ext cx="124888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71" name="TextBox 170"/>
        <xdr:cNvSpPr txBox="1"/>
      </xdr:nvSpPr>
      <xdr:spPr>
        <a:xfrm>
          <a:off x="131349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72" name="TextBox 171"/>
        <xdr:cNvSpPr txBox="1"/>
      </xdr:nvSpPr>
      <xdr:spPr>
        <a:xfrm>
          <a:off x="131349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66454" cy="264560"/>
    <xdr:sp macro="" textlink="">
      <xdr:nvSpPr>
        <xdr:cNvPr id="173" name="TextBox 172"/>
        <xdr:cNvSpPr txBox="1"/>
      </xdr:nvSpPr>
      <xdr:spPr>
        <a:xfrm flipH="1">
          <a:off x="13134975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2" name="TextBox 1"/>
        <xdr:cNvSpPr txBox="1"/>
      </xdr:nvSpPr>
      <xdr:spPr>
        <a:xfrm>
          <a:off x="128778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3" name="TextBox 2"/>
        <xdr:cNvSpPr txBox="1"/>
      </xdr:nvSpPr>
      <xdr:spPr>
        <a:xfrm>
          <a:off x="128778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4" name="TextBox 3"/>
        <xdr:cNvSpPr txBox="1"/>
      </xdr:nvSpPr>
      <xdr:spPr>
        <a:xfrm>
          <a:off x="128778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5" name="TextBox 4"/>
        <xdr:cNvSpPr txBox="1"/>
      </xdr:nvSpPr>
      <xdr:spPr>
        <a:xfrm>
          <a:off x="128778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66454" cy="264560"/>
    <xdr:sp macro="" textlink="">
      <xdr:nvSpPr>
        <xdr:cNvPr id="6" name="TextBox 5"/>
        <xdr:cNvSpPr txBox="1"/>
      </xdr:nvSpPr>
      <xdr:spPr>
        <a:xfrm flipH="1">
          <a:off x="12877800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7" name="TextBox 6"/>
        <xdr:cNvSpPr txBox="1"/>
      </xdr:nvSpPr>
      <xdr:spPr>
        <a:xfrm>
          <a:off x="128778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8" name="TextBox 7"/>
        <xdr:cNvSpPr txBox="1"/>
      </xdr:nvSpPr>
      <xdr:spPr>
        <a:xfrm>
          <a:off x="128778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9" name="TextBox 8"/>
        <xdr:cNvSpPr txBox="1"/>
      </xdr:nvSpPr>
      <xdr:spPr>
        <a:xfrm>
          <a:off x="128778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0" name="TextBox 9"/>
        <xdr:cNvSpPr txBox="1"/>
      </xdr:nvSpPr>
      <xdr:spPr>
        <a:xfrm>
          <a:off x="128778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1" name="TextBox 10"/>
        <xdr:cNvSpPr txBox="1"/>
      </xdr:nvSpPr>
      <xdr:spPr>
        <a:xfrm>
          <a:off x="128778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2" name="TextBox 11"/>
        <xdr:cNvSpPr txBox="1"/>
      </xdr:nvSpPr>
      <xdr:spPr>
        <a:xfrm>
          <a:off x="128778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3" name="TextBox 12"/>
        <xdr:cNvSpPr txBox="1"/>
      </xdr:nvSpPr>
      <xdr:spPr>
        <a:xfrm>
          <a:off x="128778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4" name="TextBox 13"/>
        <xdr:cNvSpPr txBox="1"/>
      </xdr:nvSpPr>
      <xdr:spPr>
        <a:xfrm>
          <a:off x="128778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66454" cy="264560"/>
    <xdr:sp macro="" textlink="">
      <xdr:nvSpPr>
        <xdr:cNvPr id="15" name="TextBox 14"/>
        <xdr:cNvSpPr txBox="1"/>
      </xdr:nvSpPr>
      <xdr:spPr>
        <a:xfrm flipH="1">
          <a:off x="12877800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6" name="TextBox 15"/>
        <xdr:cNvSpPr txBox="1"/>
      </xdr:nvSpPr>
      <xdr:spPr>
        <a:xfrm>
          <a:off x="128778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7" name="TextBox 16"/>
        <xdr:cNvSpPr txBox="1"/>
      </xdr:nvSpPr>
      <xdr:spPr>
        <a:xfrm>
          <a:off x="128778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8" name="TextBox 17"/>
        <xdr:cNvSpPr txBox="1"/>
      </xdr:nvSpPr>
      <xdr:spPr>
        <a:xfrm>
          <a:off x="128778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9" name="TextBox 18"/>
        <xdr:cNvSpPr txBox="1"/>
      </xdr:nvSpPr>
      <xdr:spPr>
        <a:xfrm>
          <a:off x="128778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5008" cy="255462"/>
    <xdr:sp macro="" textlink="">
      <xdr:nvSpPr>
        <xdr:cNvPr id="20" name="TextBox 19"/>
        <xdr:cNvSpPr txBox="1"/>
      </xdr:nvSpPr>
      <xdr:spPr>
        <a:xfrm>
          <a:off x="13773150" y="94773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5008" cy="255462"/>
    <xdr:sp macro="" textlink="">
      <xdr:nvSpPr>
        <xdr:cNvPr id="21" name="TextBox 20"/>
        <xdr:cNvSpPr txBox="1"/>
      </xdr:nvSpPr>
      <xdr:spPr>
        <a:xfrm>
          <a:off x="13773150" y="94773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22" name="TextBox 21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23" name="TextBox 22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66454" cy="264560"/>
    <xdr:sp macro="" textlink="">
      <xdr:nvSpPr>
        <xdr:cNvPr id="24" name="TextBox 23"/>
        <xdr:cNvSpPr txBox="1"/>
      </xdr:nvSpPr>
      <xdr:spPr>
        <a:xfrm flipH="1">
          <a:off x="13773150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25" name="TextBox 24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26" name="TextBox 25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27" name="TextBox 26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28" name="TextBox 27"/>
        <xdr:cNvSpPr txBox="1"/>
      </xdr:nvSpPr>
      <xdr:spPr>
        <a:xfrm>
          <a:off x="1377315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29" name="TextBox 28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0" name="TextBox 29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1" name="TextBox 30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2" name="TextBox 31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3" name="TextBox 32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4" name="TextBox 33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5" name="TextBox 34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6" name="TextBox 35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7" name="TextBox 36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8" name="TextBox 37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9" name="TextBox 38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0" name="TextBox 39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1" name="TextBox 40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2" name="TextBox 41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3" name="TextBox 42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4" name="TextBox 43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5" name="TextBox 44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6" name="TextBox 45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7" name="TextBox 46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8" name="TextBox 47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9" name="TextBox 48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0" name="TextBox 49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1" name="TextBox 50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2" name="TextBox 51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3" name="TextBox 52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4" name="TextBox 53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5" name="TextBox 54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6" name="TextBox 55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7" name="TextBox 56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8" name="TextBox 57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9" name="TextBox 58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0" name="TextBox 59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1" name="TextBox 60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2" name="TextBox 61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3" name="TextBox 62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4" name="TextBox 63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5" name="TextBox 64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6" name="TextBox 65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7" name="TextBox 66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8" name="TextBox 67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9" name="TextBox 68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0" name="TextBox 69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1" name="TextBox 70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2" name="TextBox 71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3" name="TextBox 72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4" name="TextBox 73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5" name="TextBox 74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6" name="TextBox 75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7" name="TextBox 76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8" name="TextBox 77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9" name="TextBox 78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80" name="TextBox 79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1" name="TextBox 80"/>
        <xdr:cNvSpPr txBox="1"/>
      </xdr:nvSpPr>
      <xdr:spPr>
        <a:xfrm>
          <a:off x="1377315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2" name="TextBox 81"/>
        <xdr:cNvSpPr txBox="1"/>
      </xdr:nvSpPr>
      <xdr:spPr>
        <a:xfrm>
          <a:off x="1377315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3" name="TextBox 82"/>
        <xdr:cNvSpPr txBox="1"/>
      </xdr:nvSpPr>
      <xdr:spPr>
        <a:xfrm>
          <a:off x="1377315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4" name="TextBox 83"/>
        <xdr:cNvSpPr txBox="1"/>
      </xdr:nvSpPr>
      <xdr:spPr>
        <a:xfrm>
          <a:off x="1377315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5" name="TextBox 84"/>
        <xdr:cNvSpPr txBox="1"/>
      </xdr:nvSpPr>
      <xdr:spPr>
        <a:xfrm>
          <a:off x="1377315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6" name="TextBox 85"/>
        <xdr:cNvSpPr txBox="1"/>
      </xdr:nvSpPr>
      <xdr:spPr>
        <a:xfrm>
          <a:off x="1377315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7" name="TextBox 86"/>
        <xdr:cNvSpPr txBox="1"/>
      </xdr:nvSpPr>
      <xdr:spPr>
        <a:xfrm>
          <a:off x="1377315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8" name="TextBox 87"/>
        <xdr:cNvSpPr txBox="1"/>
      </xdr:nvSpPr>
      <xdr:spPr>
        <a:xfrm>
          <a:off x="1377315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66454" cy="264560"/>
    <xdr:sp macro="" textlink="">
      <xdr:nvSpPr>
        <xdr:cNvPr id="89" name="TextBox 88"/>
        <xdr:cNvSpPr txBox="1"/>
      </xdr:nvSpPr>
      <xdr:spPr>
        <a:xfrm flipH="1">
          <a:off x="13773150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90" name="TextBox 89"/>
        <xdr:cNvSpPr txBox="1"/>
      </xdr:nvSpPr>
      <xdr:spPr>
        <a:xfrm>
          <a:off x="1377315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91" name="TextBox 90"/>
        <xdr:cNvSpPr txBox="1"/>
      </xdr:nvSpPr>
      <xdr:spPr>
        <a:xfrm>
          <a:off x="1377315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66454" cy="264560"/>
    <xdr:sp macro="" textlink="">
      <xdr:nvSpPr>
        <xdr:cNvPr id="92" name="TextBox 91"/>
        <xdr:cNvSpPr txBox="1"/>
      </xdr:nvSpPr>
      <xdr:spPr>
        <a:xfrm flipH="1">
          <a:off x="13773150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595386</xdr:rowOff>
    </xdr:from>
    <xdr:ext cx="264560" cy="1248882"/>
    <xdr:sp macro="" textlink="">
      <xdr:nvSpPr>
        <xdr:cNvPr id="93" name="TextBox 92"/>
        <xdr:cNvSpPr txBox="1"/>
      </xdr:nvSpPr>
      <xdr:spPr>
        <a:xfrm rot="4668514">
          <a:off x="13280989" y="9269522"/>
          <a:ext cx="124888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94" name="TextBox 93"/>
        <xdr:cNvSpPr txBox="1"/>
      </xdr:nvSpPr>
      <xdr:spPr>
        <a:xfrm>
          <a:off x="1377315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95" name="TextBox 94"/>
        <xdr:cNvSpPr txBox="1"/>
      </xdr:nvSpPr>
      <xdr:spPr>
        <a:xfrm>
          <a:off x="1377315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66454" cy="264560"/>
    <xdr:sp macro="" textlink="">
      <xdr:nvSpPr>
        <xdr:cNvPr id="96" name="TextBox 95"/>
        <xdr:cNvSpPr txBox="1"/>
      </xdr:nvSpPr>
      <xdr:spPr>
        <a:xfrm flipH="1">
          <a:off x="13773150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5008" cy="255462"/>
    <xdr:sp macro="" textlink="">
      <xdr:nvSpPr>
        <xdr:cNvPr id="97" name="TextBox 96"/>
        <xdr:cNvSpPr txBox="1"/>
      </xdr:nvSpPr>
      <xdr:spPr>
        <a:xfrm>
          <a:off x="13773150" y="81819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5008" cy="255462"/>
    <xdr:sp macro="" textlink="">
      <xdr:nvSpPr>
        <xdr:cNvPr id="98" name="TextBox 97"/>
        <xdr:cNvSpPr txBox="1"/>
      </xdr:nvSpPr>
      <xdr:spPr>
        <a:xfrm>
          <a:off x="13773150" y="81819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99" name="TextBox 98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00" name="TextBox 99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66454" cy="264560"/>
    <xdr:sp macro="" textlink="">
      <xdr:nvSpPr>
        <xdr:cNvPr id="101" name="TextBox 100"/>
        <xdr:cNvSpPr txBox="1"/>
      </xdr:nvSpPr>
      <xdr:spPr>
        <a:xfrm flipH="1">
          <a:off x="13773150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02" name="TextBox 101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03" name="TextBox 102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04" name="TextBox 103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05" name="TextBox 104"/>
        <xdr:cNvSpPr txBox="1"/>
      </xdr:nvSpPr>
      <xdr:spPr>
        <a:xfrm>
          <a:off x="1377315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06" name="TextBox 105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07" name="TextBox 106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08" name="TextBox 107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09" name="TextBox 108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0" name="TextBox 109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1" name="TextBox 110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2" name="TextBox 111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3" name="TextBox 112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4" name="TextBox 113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5" name="TextBox 114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6" name="TextBox 115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7" name="TextBox 116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8" name="TextBox 117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9" name="TextBox 118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0" name="TextBox 119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1" name="TextBox 120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2" name="TextBox 121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3" name="TextBox 122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4" name="TextBox 123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5" name="TextBox 124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6" name="TextBox 125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7" name="TextBox 126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8" name="TextBox 127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9" name="TextBox 128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0" name="TextBox 129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1" name="TextBox 130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2" name="TextBox 131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3" name="TextBox 132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4" name="TextBox 133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5" name="TextBox 134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6" name="TextBox 135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7" name="TextBox 136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8" name="TextBox 137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9" name="TextBox 138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0" name="TextBox 139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1" name="TextBox 140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2" name="TextBox 141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3" name="TextBox 142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4" name="TextBox 143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5" name="TextBox 144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6" name="TextBox 145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7" name="TextBox 146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8" name="TextBox 147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9" name="TextBox 148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50" name="TextBox 149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51" name="TextBox 150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52" name="TextBox 151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53" name="TextBox 152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54" name="TextBox 153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55" name="TextBox 154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56" name="TextBox 155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57" name="TextBox 156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58" name="TextBox 157"/>
        <xdr:cNvSpPr txBox="1"/>
      </xdr:nvSpPr>
      <xdr:spPr>
        <a:xfrm>
          <a:off x="1377315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59" name="TextBox 158"/>
        <xdr:cNvSpPr txBox="1"/>
      </xdr:nvSpPr>
      <xdr:spPr>
        <a:xfrm>
          <a:off x="1377315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60" name="TextBox 159"/>
        <xdr:cNvSpPr txBox="1"/>
      </xdr:nvSpPr>
      <xdr:spPr>
        <a:xfrm>
          <a:off x="1377315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61" name="TextBox 160"/>
        <xdr:cNvSpPr txBox="1"/>
      </xdr:nvSpPr>
      <xdr:spPr>
        <a:xfrm>
          <a:off x="1377315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62" name="TextBox 161"/>
        <xdr:cNvSpPr txBox="1"/>
      </xdr:nvSpPr>
      <xdr:spPr>
        <a:xfrm>
          <a:off x="1377315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63" name="TextBox 162"/>
        <xdr:cNvSpPr txBox="1"/>
      </xdr:nvSpPr>
      <xdr:spPr>
        <a:xfrm>
          <a:off x="1377315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64" name="TextBox 163"/>
        <xdr:cNvSpPr txBox="1"/>
      </xdr:nvSpPr>
      <xdr:spPr>
        <a:xfrm>
          <a:off x="1377315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65" name="TextBox 164"/>
        <xdr:cNvSpPr txBox="1"/>
      </xdr:nvSpPr>
      <xdr:spPr>
        <a:xfrm>
          <a:off x="1377315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66454" cy="264560"/>
    <xdr:sp macro="" textlink="">
      <xdr:nvSpPr>
        <xdr:cNvPr id="166" name="TextBox 165"/>
        <xdr:cNvSpPr txBox="1"/>
      </xdr:nvSpPr>
      <xdr:spPr>
        <a:xfrm flipH="1">
          <a:off x="13773150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67" name="TextBox 166"/>
        <xdr:cNvSpPr txBox="1"/>
      </xdr:nvSpPr>
      <xdr:spPr>
        <a:xfrm>
          <a:off x="1377315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68" name="TextBox 167"/>
        <xdr:cNvSpPr txBox="1"/>
      </xdr:nvSpPr>
      <xdr:spPr>
        <a:xfrm>
          <a:off x="1377315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66454" cy="264560"/>
    <xdr:sp macro="" textlink="">
      <xdr:nvSpPr>
        <xdr:cNvPr id="169" name="TextBox 168"/>
        <xdr:cNvSpPr txBox="1"/>
      </xdr:nvSpPr>
      <xdr:spPr>
        <a:xfrm flipH="1">
          <a:off x="13773150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29</xdr:row>
      <xdr:rowOff>6240</xdr:rowOff>
    </xdr:from>
    <xdr:ext cx="264560" cy="1248882"/>
    <xdr:sp macro="" textlink="">
      <xdr:nvSpPr>
        <xdr:cNvPr id="170" name="TextBox 169"/>
        <xdr:cNvSpPr txBox="1"/>
      </xdr:nvSpPr>
      <xdr:spPr>
        <a:xfrm rot="4668514">
          <a:off x="13280989" y="8013626"/>
          <a:ext cx="124888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71" name="TextBox 170"/>
        <xdr:cNvSpPr txBox="1"/>
      </xdr:nvSpPr>
      <xdr:spPr>
        <a:xfrm>
          <a:off x="1377315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72" name="TextBox 171"/>
        <xdr:cNvSpPr txBox="1"/>
      </xdr:nvSpPr>
      <xdr:spPr>
        <a:xfrm>
          <a:off x="1377315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66454" cy="264560"/>
    <xdr:sp macro="" textlink="">
      <xdr:nvSpPr>
        <xdr:cNvPr id="173" name="TextBox 172"/>
        <xdr:cNvSpPr txBox="1"/>
      </xdr:nvSpPr>
      <xdr:spPr>
        <a:xfrm flipH="1">
          <a:off x="13773150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2" name="TextBox 1"/>
        <xdr:cNvSpPr txBox="1"/>
      </xdr:nvSpPr>
      <xdr:spPr>
        <a:xfrm>
          <a:off x="128778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3" name="TextBox 2"/>
        <xdr:cNvSpPr txBox="1"/>
      </xdr:nvSpPr>
      <xdr:spPr>
        <a:xfrm>
          <a:off x="128778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4" name="TextBox 3"/>
        <xdr:cNvSpPr txBox="1"/>
      </xdr:nvSpPr>
      <xdr:spPr>
        <a:xfrm>
          <a:off x="128778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5" name="TextBox 4"/>
        <xdr:cNvSpPr txBox="1"/>
      </xdr:nvSpPr>
      <xdr:spPr>
        <a:xfrm>
          <a:off x="128778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66454" cy="264560"/>
    <xdr:sp macro="" textlink="">
      <xdr:nvSpPr>
        <xdr:cNvPr id="6" name="TextBox 5"/>
        <xdr:cNvSpPr txBox="1"/>
      </xdr:nvSpPr>
      <xdr:spPr>
        <a:xfrm flipH="1">
          <a:off x="12877800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7" name="TextBox 6"/>
        <xdr:cNvSpPr txBox="1"/>
      </xdr:nvSpPr>
      <xdr:spPr>
        <a:xfrm>
          <a:off x="128778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8" name="TextBox 7"/>
        <xdr:cNvSpPr txBox="1"/>
      </xdr:nvSpPr>
      <xdr:spPr>
        <a:xfrm>
          <a:off x="128778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9" name="TextBox 8"/>
        <xdr:cNvSpPr txBox="1"/>
      </xdr:nvSpPr>
      <xdr:spPr>
        <a:xfrm>
          <a:off x="128778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0" name="TextBox 9"/>
        <xdr:cNvSpPr txBox="1"/>
      </xdr:nvSpPr>
      <xdr:spPr>
        <a:xfrm>
          <a:off x="128778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1" name="TextBox 10"/>
        <xdr:cNvSpPr txBox="1"/>
      </xdr:nvSpPr>
      <xdr:spPr>
        <a:xfrm>
          <a:off x="128778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2" name="TextBox 11"/>
        <xdr:cNvSpPr txBox="1"/>
      </xdr:nvSpPr>
      <xdr:spPr>
        <a:xfrm>
          <a:off x="128778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3" name="TextBox 12"/>
        <xdr:cNvSpPr txBox="1"/>
      </xdr:nvSpPr>
      <xdr:spPr>
        <a:xfrm>
          <a:off x="128778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4" name="TextBox 13"/>
        <xdr:cNvSpPr txBox="1"/>
      </xdr:nvSpPr>
      <xdr:spPr>
        <a:xfrm>
          <a:off x="128778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66454" cy="264560"/>
    <xdr:sp macro="" textlink="">
      <xdr:nvSpPr>
        <xdr:cNvPr id="15" name="TextBox 14"/>
        <xdr:cNvSpPr txBox="1"/>
      </xdr:nvSpPr>
      <xdr:spPr>
        <a:xfrm flipH="1">
          <a:off x="12877800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6" name="TextBox 15"/>
        <xdr:cNvSpPr txBox="1"/>
      </xdr:nvSpPr>
      <xdr:spPr>
        <a:xfrm>
          <a:off x="128778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7" name="TextBox 16"/>
        <xdr:cNvSpPr txBox="1"/>
      </xdr:nvSpPr>
      <xdr:spPr>
        <a:xfrm>
          <a:off x="128778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8" name="TextBox 17"/>
        <xdr:cNvSpPr txBox="1"/>
      </xdr:nvSpPr>
      <xdr:spPr>
        <a:xfrm>
          <a:off x="128778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9" name="TextBox 18"/>
        <xdr:cNvSpPr txBox="1"/>
      </xdr:nvSpPr>
      <xdr:spPr>
        <a:xfrm>
          <a:off x="128778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5008" cy="255462"/>
    <xdr:sp macro="" textlink="">
      <xdr:nvSpPr>
        <xdr:cNvPr id="20" name="TextBox 19"/>
        <xdr:cNvSpPr txBox="1"/>
      </xdr:nvSpPr>
      <xdr:spPr>
        <a:xfrm>
          <a:off x="16259175" y="94773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5008" cy="255462"/>
    <xdr:sp macro="" textlink="">
      <xdr:nvSpPr>
        <xdr:cNvPr id="21" name="TextBox 20"/>
        <xdr:cNvSpPr txBox="1"/>
      </xdr:nvSpPr>
      <xdr:spPr>
        <a:xfrm>
          <a:off x="16259175" y="94773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22" name="TextBox 21"/>
        <xdr:cNvSpPr txBox="1"/>
      </xdr:nvSpPr>
      <xdr:spPr>
        <a:xfrm>
          <a:off x="16259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23" name="TextBox 22"/>
        <xdr:cNvSpPr txBox="1"/>
      </xdr:nvSpPr>
      <xdr:spPr>
        <a:xfrm>
          <a:off x="16259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66454" cy="264560"/>
    <xdr:sp macro="" textlink="">
      <xdr:nvSpPr>
        <xdr:cNvPr id="24" name="TextBox 23"/>
        <xdr:cNvSpPr txBox="1"/>
      </xdr:nvSpPr>
      <xdr:spPr>
        <a:xfrm flipH="1">
          <a:off x="1625917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25" name="TextBox 24"/>
        <xdr:cNvSpPr txBox="1"/>
      </xdr:nvSpPr>
      <xdr:spPr>
        <a:xfrm>
          <a:off x="16259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26" name="TextBox 25"/>
        <xdr:cNvSpPr txBox="1"/>
      </xdr:nvSpPr>
      <xdr:spPr>
        <a:xfrm>
          <a:off x="16259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27" name="TextBox 26"/>
        <xdr:cNvSpPr txBox="1"/>
      </xdr:nvSpPr>
      <xdr:spPr>
        <a:xfrm>
          <a:off x="16259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28" name="TextBox 27"/>
        <xdr:cNvSpPr txBox="1"/>
      </xdr:nvSpPr>
      <xdr:spPr>
        <a:xfrm>
          <a:off x="162591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29" name="TextBox 28"/>
        <xdr:cNvSpPr txBox="1"/>
      </xdr:nvSpPr>
      <xdr:spPr>
        <a:xfrm>
          <a:off x="16259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0" name="TextBox 29"/>
        <xdr:cNvSpPr txBox="1"/>
      </xdr:nvSpPr>
      <xdr:spPr>
        <a:xfrm>
          <a:off x="16259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1" name="TextBox 30"/>
        <xdr:cNvSpPr txBox="1"/>
      </xdr:nvSpPr>
      <xdr:spPr>
        <a:xfrm>
          <a:off x="16259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2" name="TextBox 31"/>
        <xdr:cNvSpPr txBox="1"/>
      </xdr:nvSpPr>
      <xdr:spPr>
        <a:xfrm>
          <a:off x="16259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3" name="TextBox 32"/>
        <xdr:cNvSpPr txBox="1"/>
      </xdr:nvSpPr>
      <xdr:spPr>
        <a:xfrm>
          <a:off x="16259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4" name="TextBox 33"/>
        <xdr:cNvSpPr txBox="1"/>
      </xdr:nvSpPr>
      <xdr:spPr>
        <a:xfrm>
          <a:off x="16259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5" name="TextBox 34"/>
        <xdr:cNvSpPr txBox="1"/>
      </xdr:nvSpPr>
      <xdr:spPr>
        <a:xfrm>
          <a:off x="16259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6" name="TextBox 35"/>
        <xdr:cNvSpPr txBox="1"/>
      </xdr:nvSpPr>
      <xdr:spPr>
        <a:xfrm>
          <a:off x="16259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7" name="TextBox 36"/>
        <xdr:cNvSpPr txBox="1"/>
      </xdr:nvSpPr>
      <xdr:spPr>
        <a:xfrm>
          <a:off x="16259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8" name="TextBox 37"/>
        <xdr:cNvSpPr txBox="1"/>
      </xdr:nvSpPr>
      <xdr:spPr>
        <a:xfrm>
          <a:off x="16259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9" name="TextBox 38"/>
        <xdr:cNvSpPr txBox="1"/>
      </xdr:nvSpPr>
      <xdr:spPr>
        <a:xfrm>
          <a:off x="16259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0" name="TextBox 39"/>
        <xdr:cNvSpPr txBox="1"/>
      </xdr:nvSpPr>
      <xdr:spPr>
        <a:xfrm>
          <a:off x="16259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1" name="TextBox 40"/>
        <xdr:cNvSpPr txBox="1"/>
      </xdr:nvSpPr>
      <xdr:spPr>
        <a:xfrm>
          <a:off x="16259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2" name="TextBox 41"/>
        <xdr:cNvSpPr txBox="1"/>
      </xdr:nvSpPr>
      <xdr:spPr>
        <a:xfrm>
          <a:off x="16259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3" name="TextBox 42"/>
        <xdr:cNvSpPr txBox="1"/>
      </xdr:nvSpPr>
      <xdr:spPr>
        <a:xfrm>
          <a:off x="16259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4" name="TextBox 43"/>
        <xdr:cNvSpPr txBox="1"/>
      </xdr:nvSpPr>
      <xdr:spPr>
        <a:xfrm>
          <a:off x="16259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5" name="TextBox 44"/>
        <xdr:cNvSpPr txBox="1"/>
      </xdr:nvSpPr>
      <xdr:spPr>
        <a:xfrm>
          <a:off x="16259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6" name="TextBox 45"/>
        <xdr:cNvSpPr txBox="1"/>
      </xdr:nvSpPr>
      <xdr:spPr>
        <a:xfrm>
          <a:off x="16259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7" name="TextBox 46"/>
        <xdr:cNvSpPr txBox="1"/>
      </xdr:nvSpPr>
      <xdr:spPr>
        <a:xfrm>
          <a:off x="16259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8" name="TextBox 47"/>
        <xdr:cNvSpPr txBox="1"/>
      </xdr:nvSpPr>
      <xdr:spPr>
        <a:xfrm>
          <a:off x="16259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9" name="TextBox 48"/>
        <xdr:cNvSpPr txBox="1"/>
      </xdr:nvSpPr>
      <xdr:spPr>
        <a:xfrm>
          <a:off x="16259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0" name="TextBox 49"/>
        <xdr:cNvSpPr txBox="1"/>
      </xdr:nvSpPr>
      <xdr:spPr>
        <a:xfrm>
          <a:off x="16259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1" name="TextBox 50"/>
        <xdr:cNvSpPr txBox="1"/>
      </xdr:nvSpPr>
      <xdr:spPr>
        <a:xfrm>
          <a:off x="16259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2" name="TextBox 51"/>
        <xdr:cNvSpPr txBox="1"/>
      </xdr:nvSpPr>
      <xdr:spPr>
        <a:xfrm>
          <a:off x="16259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3" name="TextBox 52"/>
        <xdr:cNvSpPr txBox="1"/>
      </xdr:nvSpPr>
      <xdr:spPr>
        <a:xfrm>
          <a:off x="16259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4" name="TextBox 53"/>
        <xdr:cNvSpPr txBox="1"/>
      </xdr:nvSpPr>
      <xdr:spPr>
        <a:xfrm>
          <a:off x="16259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5" name="TextBox 54"/>
        <xdr:cNvSpPr txBox="1"/>
      </xdr:nvSpPr>
      <xdr:spPr>
        <a:xfrm>
          <a:off x="16259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6" name="TextBox 55"/>
        <xdr:cNvSpPr txBox="1"/>
      </xdr:nvSpPr>
      <xdr:spPr>
        <a:xfrm>
          <a:off x="16259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7" name="TextBox 56"/>
        <xdr:cNvSpPr txBox="1"/>
      </xdr:nvSpPr>
      <xdr:spPr>
        <a:xfrm>
          <a:off x="16259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8" name="TextBox 57"/>
        <xdr:cNvSpPr txBox="1"/>
      </xdr:nvSpPr>
      <xdr:spPr>
        <a:xfrm>
          <a:off x="16259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9" name="TextBox 58"/>
        <xdr:cNvSpPr txBox="1"/>
      </xdr:nvSpPr>
      <xdr:spPr>
        <a:xfrm>
          <a:off x="16259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0" name="TextBox 59"/>
        <xdr:cNvSpPr txBox="1"/>
      </xdr:nvSpPr>
      <xdr:spPr>
        <a:xfrm>
          <a:off x="16259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1" name="TextBox 60"/>
        <xdr:cNvSpPr txBox="1"/>
      </xdr:nvSpPr>
      <xdr:spPr>
        <a:xfrm>
          <a:off x="16259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2" name="TextBox 61"/>
        <xdr:cNvSpPr txBox="1"/>
      </xdr:nvSpPr>
      <xdr:spPr>
        <a:xfrm>
          <a:off x="16259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3" name="TextBox 62"/>
        <xdr:cNvSpPr txBox="1"/>
      </xdr:nvSpPr>
      <xdr:spPr>
        <a:xfrm>
          <a:off x="16259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4" name="TextBox 63"/>
        <xdr:cNvSpPr txBox="1"/>
      </xdr:nvSpPr>
      <xdr:spPr>
        <a:xfrm>
          <a:off x="16259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5" name="TextBox 64"/>
        <xdr:cNvSpPr txBox="1"/>
      </xdr:nvSpPr>
      <xdr:spPr>
        <a:xfrm>
          <a:off x="16259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6" name="TextBox 65"/>
        <xdr:cNvSpPr txBox="1"/>
      </xdr:nvSpPr>
      <xdr:spPr>
        <a:xfrm>
          <a:off x="16259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7" name="TextBox 66"/>
        <xdr:cNvSpPr txBox="1"/>
      </xdr:nvSpPr>
      <xdr:spPr>
        <a:xfrm>
          <a:off x="16259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8" name="TextBox 67"/>
        <xdr:cNvSpPr txBox="1"/>
      </xdr:nvSpPr>
      <xdr:spPr>
        <a:xfrm>
          <a:off x="16259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9" name="TextBox 68"/>
        <xdr:cNvSpPr txBox="1"/>
      </xdr:nvSpPr>
      <xdr:spPr>
        <a:xfrm>
          <a:off x="16259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0" name="TextBox 69"/>
        <xdr:cNvSpPr txBox="1"/>
      </xdr:nvSpPr>
      <xdr:spPr>
        <a:xfrm>
          <a:off x="16259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1" name="TextBox 70"/>
        <xdr:cNvSpPr txBox="1"/>
      </xdr:nvSpPr>
      <xdr:spPr>
        <a:xfrm>
          <a:off x="16259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2" name="TextBox 71"/>
        <xdr:cNvSpPr txBox="1"/>
      </xdr:nvSpPr>
      <xdr:spPr>
        <a:xfrm>
          <a:off x="16259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3" name="TextBox 72"/>
        <xdr:cNvSpPr txBox="1"/>
      </xdr:nvSpPr>
      <xdr:spPr>
        <a:xfrm>
          <a:off x="16259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4" name="TextBox 73"/>
        <xdr:cNvSpPr txBox="1"/>
      </xdr:nvSpPr>
      <xdr:spPr>
        <a:xfrm>
          <a:off x="16259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5" name="TextBox 74"/>
        <xdr:cNvSpPr txBox="1"/>
      </xdr:nvSpPr>
      <xdr:spPr>
        <a:xfrm>
          <a:off x="16259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6" name="TextBox 75"/>
        <xdr:cNvSpPr txBox="1"/>
      </xdr:nvSpPr>
      <xdr:spPr>
        <a:xfrm>
          <a:off x="16259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7" name="TextBox 76"/>
        <xdr:cNvSpPr txBox="1"/>
      </xdr:nvSpPr>
      <xdr:spPr>
        <a:xfrm>
          <a:off x="16259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8" name="TextBox 77"/>
        <xdr:cNvSpPr txBox="1"/>
      </xdr:nvSpPr>
      <xdr:spPr>
        <a:xfrm>
          <a:off x="16259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9" name="TextBox 78"/>
        <xdr:cNvSpPr txBox="1"/>
      </xdr:nvSpPr>
      <xdr:spPr>
        <a:xfrm>
          <a:off x="16259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80" name="TextBox 79"/>
        <xdr:cNvSpPr txBox="1"/>
      </xdr:nvSpPr>
      <xdr:spPr>
        <a:xfrm>
          <a:off x="16259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1" name="TextBox 80"/>
        <xdr:cNvSpPr txBox="1"/>
      </xdr:nvSpPr>
      <xdr:spPr>
        <a:xfrm>
          <a:off x="162591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2" name="TextBox 81"/>
        <xdr:cNvSpPr txBox="1"/>
      </xdr:nvSpPr>
      <xdr:spPr>
        <a:xfrm>
          <a:off x="162591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3" name="TextBox 82"/>
        <xdr:cNvSpPr txBox="1"/>
      </xdr:nvSpPr>
      <xdr:spPr>
        <a:xfrm>
          <a:off x="162591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4" name="TextBox 83"/>
        <xdr:cNvSpPr txBox="1"/>
      </xdr:nvSpPr>
      <xdr:spPr>
        <a:xfrm>
          <a:off x="162591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5" name="TextBox 84"/>
        <xdr:cNvSpPr txBox="1"/>
      </xdr:nvSpPr>
      <xdr:spPr>
        <a:xfrm>
          <a:off x="162591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6" name="TextBox 85"/>
        <xdr:cNvSpPr txBox="1"/>
      </xdr:nvSpPr>
      <xdr:spPr>
        <a:xfrm>
          <a:off x="162591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7" name="TextBox 86"/>
        <xdr:cNvSpPr txBox="1"/>
      </xdr:nvSpPr>
      <xdr:spPr>
        <a:xfrm>
          <a:off x="162591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8" name="TextBox 87"/>
        <xdr:cNvSpPr txBox="1"/>
      </xdr:nvSpPr>
      <xdr:spPr>
        <a:xfrm>
          <a:off x="162591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66454" cy="264560"/>
    <xdr:sp macro="" textlink="">
      <xdr:nvSpPr>
        <xdr:cNvPr id="89" name="TextBox 88"/>
        <xdr:cNvSpPr txBox="1"/>
      </xdr:nvSpPr>
      <xdr:spPr>
        <a:xfrm flipH="1">
          <a:off x="1625917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90" name="TextBox 89"/>
        <xdr:cNvSpPr txBox="1"/>
      </xdr:nvSpPr>
      <xdr:spPr>
        <a:xfrm>
          <a:off x="162591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91" name="TextBox 90"/>
        <xdr:cNvSpPr txBox="1"/>
      </xdr:nvSpPr>
      <xdr:spPr>
        <a:xfrm>
          <a:off x="162591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66454" cy="264560"/>
    <xdr:sp macro="" textlink="">
      <xdr:nvSpPr>
        <xdr:cNvPr id="92" name="TextBox 91"/>
        <xdr:cNvSpPr txBox="1"/>
      </xdr:nvSpPr>
      <xdr:spPr>
        <a:xfrm flipH="1">
          <a:off x="1625917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595386</xdr:rowOff>
    </xdr:from>
    <xdr:ext cx="264560" cy="1248882"/>
    <xdr:sp macro="" textlink="">
      <xdr:nvSpPr>
        <xdr:cNvPr id="93" name="TextBox 92"/>
        <xdr:cNvSpPr txBox="1"/>
      </xdr:nvSpPr>
      <xdr:spPr>
        <a:xfrm rot="4668514">
          <a:off x="15767014" y="9269522"/>
          <a:ext cx="124888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94" name="TextBox 93"/>
        <xdr:cNvSpPr txBox="1"/>
      </xdr:nvSpPr>
      <xdr:spPr>
        <a:xfrm>
          <a:off x="162591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95" name="TextBox 94"/>
        <xdr:cNvSpPr txBox="1"/>
      </xdr:nvSpPr>
      <xdr:spPr>
        <a:xfrm>
          <a:off x="162591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66454" cy="264560"/>
    <xdr:sp macro="" textlink="">
      <xdr:nvSpPr>
        <xdr:cNvPr id="96" name="TextBox 95"/>
        <xdr:cNvSpPr txBox="1"/>
      </xdr:nvSpPr>
      <xdr:spPr>
        <a:xfrm flipH="1">
          <a:off x="1625917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5008" cy="255462"/>
    <xdr:sp macro="" textlink="">
      <xdr:nvSpPr>
        <xdr:cNvPr id="97" name="TextBox 96"/>
        <xdr:cNvSpPr txBox="1"/>
      </xdr:nvSpPr>
      <xdr:spPr>
        <a:xfrm>
          <a:off x="16259175" y="81819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5008" cy="255462"/>
    <xdr:sp macro="" textlink="">
      <xdr:nvSpPr>
        <xdr:cNvPr id="98" name="TextBox 97"/>
        <xdr:cNvSpPr txBox="1"/>
      </xdr:nvSpPr>
      <xdr:spPr>
        <a:xfrm>
          <a:off x="16259175" y="81819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99" name="TextBox 98"/>
        <xdr:cNvSpPr txBox="1"/>
      </xdr:nvSpPr>
      <xdr:spPr>
        <a:xfrm>
          <a:off x="16259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00" name="TextBox 99"/>
        <xdr:cNvSpPr txBox="1"/>
      </xdr:nvSpPr>
      <xdr:spPr>
        <a:xfrm>
          <a:off x="16259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66454" cy="264560"/>
    <xdr:sp macro="" textlink="">
      <xdr:nvSpPr>
        <xdr:cNvPr id="101" name="TextBox 100"/>
        <xdr:cNvSpPr txBox="1"/>
      </xdr:nvSpPr>
      <xdr:spPr>
        <a:xfrm flipH="1">
          <a:off x="16259175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02" name="TextBox 101"/>
        <xdr:cNvSpPr txBox="1"/>
      </xdr:nvSpPr>
      <xdr:spPr>
        <a:xfrm>
          <a:off x="16259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03" name="TextBox 102"/>
        <xdr:cNvSpPr txBox="1"/>
      </xdr:nvSpPr>
      <xdr:spPr>
        <a:xfrm>
          <a:off x="16259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04" name="TextBox 103"/>
        <xdr:cNvSpPr txBox="1"/>
      </xdr:nvSpPr>
      <xdr:spPr>
        <a:xfrm>
          <a:off x="16259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05" name="TextBox 104"/>
        <xdr:cNvSpPr txBox="1"/>
      </xdr:nvSpPr>
      <xdr:spPr>
        <a:xfrm>
          <a:off x="162591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06" name="TextBox 105"/>
        <xdr:cNvSpPr txBox="1"/>
      </xdr:nvSpPr>
      <xdr:spPr>
        <a:xfrm>
          <a:off x="16259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07" name="TextBox 106"/>
        <xdr:cNvSpPr txBox="1"/>
      </xdr:nvSpPr>
      <xdr:spPr>
        <a:xfrm>
          <a:off x="16259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08" name="TextBox 107"/>
        <xdr:cNvSpPr txBox="1"/>
      </xdr:nvSpPr>
      <xdr:spPr>
        <a:xfrm>
          <a:off x="16259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09" name="TextBox 108"/>
        <xdr:cNvSpPr txBox="1"/>
      </xdr:nvSpPr>
      <xdr:spPr>
        <a:xfrm>
          <a:off x="16259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0" name="TextBox 109"/>
        <xdr:cNvSpPr txBox="1"/>
      </xdr:nvSpPr>
      <xdr:spPr>
        <a:xfrm>
          <a:off x="16259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1" name="TextBox 110"/>
        <xdr:cNvSpPr txBox="1"/>
      </xdr:nvSpPr>
      <xdr:spPr>
        <a:xfrm>
          <a:off x="16259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2" name="TextBox 111"/>
        <xdr:cNvSpPr txBox="1"/>
      </xdr:nvSpPr>
      <xdr:spPr>
        <a:xfrm>
          <a:off x="16259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3" name="TextBox 112"/>
        <xdr:cNvSpPr txBox="1"/>
      </xdr:nvSpPr>
      <xdr:spPr>
        <a:xfrm>
          <a:off x="16259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4" name="TextBox 113"/>
        <xdr:cNvSpPr txBox="1"/>
      </xdr:nvSpPr>
      <xdr:spPr>
        <a:xfrm>
          <a:off x="16259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5" name="TextBox 114"/>
        <xdr:cNvSpPr txBox="1"/>
      </xdr:nvSpPr>
      <xdr:spPr>
        <a:xfrm>
          <a:off x="16259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6" name="TextBox 115"/>
        <xdr:cNvSpPr txBox="1"/>
      </xdr:nvSpPr>
      <xdr:spPr>
        <a:xfrm>
          <a:off x="16259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7" name="TextBox 116"/>
        <xdr:cNvSpPr txBox="1"/>
      </xdr:nvSpPr>
      <xdr:spPr>
        <a:xfrm>
          <a:off x="16259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8" name="TextBox 117"/>
        <xdr:cNvSpPr txBox="1"/>
      </xdr:nvSpPr>
      <xdr:spPr>
        <a:xfrm>
          <a:off x="16259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9" name="TextBox 118"/>
        <xdr:cNvSpPr txBox="1"/>
      </xdr:nvSpPr>
      <xdr:spPr>
        <a:xfrm>
          <a:off x="16259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0" name="TextBox 119"/>
        <xdr:cNvSpPr txBox="1"/>
      </xdr:nvSpPr>
      <xdr:spPr>
        <a:xfrm>
          <a:off x="16259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1" name="TextBox 120"/>
        <xdr:cNvSpPr txBox="1"/>
      </xdr:nvSpPr>
      <xdr:spPr>
        <a:xfrm>
          <a:off x="16259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2" name="TextBox 121"/>
        <xdr:cNvSpPr txBox="1"/>
      </xdr:nvSpPr>
      <xdr:spPr>
        <a:xfrm>
          <a:off x="16259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3" name="TextBox 122"/>
        <xdr:cNvSpPr txBox="1"/>
      </xdr:nvSpPr>
      <xdr:spPr>
        <a:xfrm>
          <a:off x="16259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4" name="TextBox 123"/>
        <xdr:cNvSpPr txBox="1"/>
      </xdr:nvSpPr>
      <xdr:spPr>
        <a:xfrm>
          <a:off x="16259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5" name="TextBox 124"/>
        <xdr:cNvSpPr txBox="1"/>
      </xdr:nvSpPr>
      <xdr:spPr>
        <a:xfrm>
          <a:off x="16259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6" name="TextBox 125"/>
        <xdr:cNvSpPr txBox="1"/>
      </xdr:nvSpPr>
      <xdr:spPr>
        <a:xfrm>
          <a:off x="16259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7" name="TextBox 126"/>
        <xdr:cNvSpPr txBox="1"/>
      </xdr:nvSpPr>
      <xdr:spPr>
        <a:xfrm>
          <a:off x="16259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8" name="TextBox 127"/>
        <xdr:cNvSpPr txBox="1"/>
      </xdr:nvSpPr>
      <xdr:spPr>
        <a:xfrm>
          <a:off x="16259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9" name="TextBox 128"/>
        <xdr:cNvSpPr txBox="1"/>
      </xdr:nvSpPr>
      <xdr:spPr>
        <a:xfrm>
          <a:off x="16259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0" name="TextBox 129"/>
        <xdr:cNvSpPr txBox="1"/>
      </xdr:nvSpPr>
      <xdr:spPr>
        <a:xfrm>
          <a:off x="16259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1" name="TextBox 130"/>
        <xdr:cNvSpPr txBox="1"/>
      </xdr:nvSpPr>
      <xdr:spPr>
        <a:xfrm>
          <a:off x="16259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2" name="TextBox 131"/>
        <xdr:cNvSpPr txBox="1"/>
      </xdr:nvSpPr>
      <xdr:spPr>
        <a:xfrm>
          <a:off x="16259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3" name="TextBox 132"/>
        <xdr:cNvSpPr txBox="1"/>
      </xdr:nvSpPr>
      <xdr:spPr>
        <a:xfrm>
          <a:off x="16259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4" name="TextBox 133"/>
        <xdr:cNvSpPr txBox="1"/>
      </xdr:nvSpPr>
      <xdr:spPr>
        <a:xfrm>
          <a:off x="16259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5" name="TextBox 134"/>
        <xdr:cNvSpPr txBox="1"/>
      </xdr:nvSpPr>
      <xdr:spPr>
        <a:xfrm>
          <a:off x="16259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6" name="TextBox 135"/>
        <xdr:cNvSpPr txBox="1"/>
      </xdr:nvSpPr>
      <xdr:spPr>
        <a:xfrm>
          <a:off x="16259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7" name="TextBox 136"/>
        <xdr:cNvSpPr txBox="1"/>
      </xdr:nvSpPr>
      <xdr:spPr>
        <a:xfrm>
          <a:off x="16259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8" name="TextBox 137"/>
        <xdr:cNvSpPr txBox="1"/>
      </xdr:nvSpPr>
      <xdr:spPr>
        <a:xfrm>
          <a:off x="16259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9" name="TextBox 138"/>
        <xdr:cNvSpPr txBox="1"/>
      </xdr:nvSpPr>
      <xdr:spPr>
        <a:xfrm>
          <a:off x="16259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0" name="TextBox 139"/>
        <xdr:cNvSpPr txBox="1"/>
      </xdr:nvSpPr>
      <xdr:spPr>
        <a:xfrm>
          <a:off x="16259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1" name="TextBox 140"/>
        <xdr:cNvSpPr txBox="1"/>
      </xdr:nvSpPr>
      <xdr:spPr>
        <a:xfrm>
          <a:off x="16259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2" name="TextBox 141"/>
        <xdr:cNvSpPr txBox="1"/>
      </xdr:nvSpPr>
      <xdr:spPr>
        <a:xfrm>
          <a:off x="16259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3" name="TextBox 142"/>
        <xdr:cNvSpPr txBox="1"/>
      </xdr:nvSpPr>
      <xdr:spPr>
        <a:xfrm>
          <a:off x="16259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4" name="TextBox 143"/>
        <xdr:cNvSpPr txBox="1"/>
      </xdr:nvSpPr>
      <xdr:spPr>
        <a:xfrm>
          <a:off x="16259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5" name="TextBox 144"/>
        <xdr:cNvSpPr txBox="1"/>
      </xdr:nvSpPr>
      <xdr:spPr>
        <a:xfrm>
          <a:off x="16259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6" name="TextBox 145"/>
        <xdr:cNvSpPr txBox="1"/>
      </xdr:nvSpPr>
      <xdr:spPr>
        <a:xfrm>
          <a:off x="16259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7" name="TextBox 146"/>
        <xdr:cNvSpPr txBox="1"/>
      </xdr:nvSpPr>
      <xdr:spPr>
        <a:xfrm>
          <a:off x="16259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8" name="TextBox 147"/>
        <xdr:cNvSpPr txBox="1"/>
      </xdr:nvSpPr>
      <xdr:spPr>
        <a:xfrm>
          <a:off x="16259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9" name="TextBox 148"/>
        <xdr:cNvSpPr txBox="1"/>
      </xdr:nvSpPr>
      <xdr:spPr>
        <a:xfrm>
          <a:off x="16259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50" name="TextBox 149"/>
        <xdr:cNvSpPr txBox="1"/>
      </xdr:nvSpPr>
      <xdr:spPr>
        <a:xfrm>
          <a:off x="16259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51" name="TextBox 150"/>
        <xdr:cNvSpPr txBox="1"/>
      </xdr:nvSpPr>
      <xdr:spPr>
        <a:xfrm>
          <a:off x="16259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52" name="TextBox 151"/>
        <xdr:cNvSpPr txBox="1"/>
      </xdr:nvSpPr>
      <xdr:spPr>
        <a:xfrm>
          <a:off x="16259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53" name="TextBox 152"/>
        <xdr:cNvSpPr txBox="1"/>
      </xdr:nvSpPr>
      <xdr:spPr>
        <a:xfrm>
          <a:off x="16259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54" name="TextBox 153"/>
        <xdr:cNvSpPr txBox="1"/>
      </xdr:nvSpPr>
      <xdr:spPr>
        <a:xfrm>
          <a:off x="16259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55" name="TextBox 154"/>
        <xdr:cNvSpPr txBox="1"/>
      </xdr:nvSpPr>
      <xdr:spPr>
        <a:xfrm>
          <a:off x="16259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56" name="TextBox 155"/>
        <xdr:cNvSpPr txBox="1"/>
      </xdr:nvSpPr>
      <xdr:spPr>
        <a:xfrm>
          <a:off x="16259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57" name="TextBox 156"/>
        <xdr:cNvSpPr txBox="1"/>
      </xdr:nvSpPr>
      <xdr:spPr>
        <a:xfrm>
          <a:off x="16259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58" name="TextBox 157"/>
        <xdr:cNvSpPr txBox="1"/>
      </xdr:nvSpPr>
      <xdr:spPr>
        <a:xfrm>
          <a:off x="162591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59" name="TextBox 158"/>
        <xdr:cNvSpPr txBox="1"/>
      </xdr:nvSpPr>
      <xdr:spPr>
        <a:xfrm>
          <a:off x="162591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60" name="TextBox 159"/>
        <xdr:cNvSpPr txBox="1"/>
      </xdr:nvSpPr>
      <xdr:spPr>
        <a:xfrm>
          <a:off x="162591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61" name="TextBox 160"/>
        <xdr:cNvSpPr txBox="1"/>
      </xdr:nvSpPr>
      <xdr:spPr>
        <a:xfrm>
          <a:off x="162591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62" name="TextBox 161"/>
        <xdr:cNvSpPr txBox="1"/>
      </xdr:nvSpPr>
      <xdr:spPr>
        <a:xfrm>
          <a:off x="162591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63" name="TextBox 162"/>
        <xdr:cNvSpPr txBox="1"/>
      </xdr:nvSpPr>
      <xdr:spPr>
        <a:xfrm>
          <a:off x="162591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64" name="TextBox 163"/>
        <xdr:cNvSpPr txBox="1"/>
      </xdr:nvSpPr>
      <xdr:spPr>
        <a:xfrm>
          <a:off x="162591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65" name="TextBox 164"/>
        <xdr:cNvSpPr txBox="1"/>
      </xdr:nvSpPr>
      <xdr:spPr>
        <a:xfrm>
          <a:off x="162591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66454" cy="264560"/>
    <xdr:sp macro="" textlink="">
      <xdr:nvSpPr>
        <xdr:cNvPr id="166" name="TextBox 165"/>
        <xdr:cNvSpPr txBox="1"/>
      </xdr:nvSpPr>
      <xdr:spPr>
        <a:xfrm flipH="1">
          <a:off x="16259175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67" name="TextBox 166"/>
        <xdr:cNvSpPr txBox="1"/>
      </xdr:nvSpPr>
      <xdr:spPr>
        <a:xfrm>
          <a:off x="162591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68" name="TextBox 167"/>
        <xdr:cNvSpPr txBox="1"/>
      </xdr:nvSpPr>
      <xdr:spPr>
        <a:xfrm>
          <a:off x="162591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66454" cy="264560"/>
    <xdr:sp macro="" textlink="">
      <xdr:nvSpPr>
        <xdr:cNvPr id="169" name="TextBox 168"/>
        <xdr:cNvSpPr txBox="1"/>
      </xdr:nvSpPr>
      <xdr:spPr>
        <a:xfrm flipH="1">
          <a:off x="16259175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29</xdr:row>
      <xdr:rowOff>6240</xdr:rowOff>
    </xdr:from>
    <xdr:ext cx="264560" cy="1248882"/>
    <xdr:sp macro="" textlink="">
      <xdr:nvSpPr>
        <xdr:cNvPr id="170" name="TextBox 169"/>
        <xdr:cNvSpPr txBox="1"/>
      </xdr:nvSpPr>
      <xdr:spPr>
        <a:xfrm rot="4668514">
          <a:off x="15767014" y="8013626"/>
          <a:ext cx="124888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71" name="TextBox 170"/>
        <xdr:cNvSpPr txBox="1"/>
      </xdr:nvSpPr>
      <xdr:spPr>
        <a:xfrm>
          <a:off x="162591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72" name="TextBox 171"/>
        <xdr:cNvSpPr txBox="1"/>
      </xdr:nvSpPr>
      <xdr:spPr>
        <a:xfrm>
          <a:off x="162591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66454" cy="264560"/>
    <xdr:sp macro="" textlink="">
      <xdr:nvSpPr>
        <xdr:cNvPr id="173" name="TextBox 172"/>
        <xdr:cNvSpPr txBox="1"/>
      </xdr:nvSpPr>
      <xdr:spPr>
        <a:xfrm flipH="1">
          <a:off x="16259175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2" name="TextBox 1"/>
        <xdr:cNvSpPr txBox="1"/>
      </xdr:nvSpPr>
      <xdr:spPr>
        <a:xfrm>
          <a:off x="1303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3" name="TextBox 2"/>
        <xdr:cNvSpPr txBox="1"/>
      </xdr:nvSpPr>
      <xdr:spPr>
        <a:xfrm>
          <a:off x="1303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4" name="TextBox 3"/>
        <xdr:cNvSpPr txBox="1"/>
      </xdr:nvSpPr>
      <xdr:spPr>
        <a:xfrm>
          <a:off x="1303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5" name="TextBox 4"/>
        <xdr:cNvSpPr txBox="1"/>
      </xdr:nvSpPr>
      <xdr:spPr>
        <a:xfrm>
          <a:off x="1303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66454" cy="264560"/>
    <xdr:sp macro="" textlink="">
      <xdr:nvSpPr>
        <xdr:cNvPr id="6" name="TextBox 5"/>
        <xdr:cNvSpPr txBox="1"/>
      </xdr:nvSpPr>
      <xdr:spPr>
        <a:xfrm flipH="1">
          <a:off x="13030200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7" name="TextBox 6"/>
        <xdr:cNvSpPr txBox="1"/>
      </xdr:nvSpPr>
      <xdr:spPr>
        <a:xfrm>
          <a:off x="1303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8" name="TextBox 7"/>
        <xdr:cNvSpPr txBox="1"/>
      </xdr:nvSpPr>
      <xdr:spPr>
        <a:xfrm>
          <a:off x="1303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9" name="TextBox 8"/>
        <xdr:cNvSpPr txBox="1"/>
      </xdr:nvSpPr>
      <xdr:spPr>
        <a:xfrm>
          <a:off x="1303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0" name="TextBox 9"/>
        <xdr:cNvSpPr txBox="1"/>
      </xdr:nvSpPr>
      <xdr:spPr>
        <a:xfrm>
          <a:off x="1303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1" name="TextBox 10"/>
        <xdr:cNvSpPr txBox="1"/>
      </xdr:nvSpPr>
      <xdr:spPr>
        <a:xfrm>
          <a:off x="1303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2" name="TextBox 11"/>
        <xdr:cNvSpPr txBox="1"/>
      </xdr:nvSpPr>
      <xdr:spPr>
        <a:xfrm>
          <a:off x="1303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3" name="TextBox 12"/>
        <xdr:cNvSpPr txBox="1"/>
      </xdr:nvSpPr>
      <xdr:spPr>
        <a:xfrm>
          <a:off x="1303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4" name="TextBox 13"/>
        <xdr:cNvSpPr txBox="1"/>
      </xdr:nvSpPr>
      <xdr:spPr>
        <a:xfrm>
          <a:off x="1303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66454" cy="264560"/>
    <xdr:sp macro="" textlink="">
      <xdr:nvSpPr>
        <xdr:cNvPr id="15" name="TextBox 14"/>
        <xdr:cNvSpPr txBox="1"/>
      </xdr:nvSpPr>
      <xdr:spPr>
        <a:xfrm flipH="1">
          <a:off x="13030200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6" name="TextBox 15"/>
        <xdr:cNvSpPr txBox="1"/>
      </xdr:nvSpPr>
      <xdr:spPr>
        <a:xfrm>
          <a:off x="1303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7" name="TextBox 16"/>
        <xdr:cNvSpPr txBox="1"/>
      </xdr:nvSpPr>
      <xdr:spPr>
        <a:xfrm>
          <a:off x="1303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8" name="TextBox 17"/>
        <xdr:cNvSpPr txBox="1"/>
      </xdr:nvSpPr>
      <xdr:spPr>
        <a:xfrm>
          <a:off x="1303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9" name="TextBox 18"/>
        <xdr:cNvSpPr txBox="1"/>
      </xdr:nvSpPr>
      <xdr:spPr>
        <a:xfrm>
          <a:off x="1303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5008" cy="255462"/>
    <xdr:sp macro="" textlink="">
      <xdr:nvSpPr>
        <xdr:cNvPr id="20" name="TextBox 19"/>
        <xdr:cNvSpPr txBox="1"/>
      </xdr:nvSpPr>
      <xdr:spPr>
        <a:xfrm>
          <a:off x="16411575" y="94773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5008" cy="255462"/>
    <xdr:sp macro="" textlink="">
      <xdr:nvSpPr>
        <xdr:cNvPr id="21" name="TextBox 20"/>
        <xdr:cNvSpPr txBox="1"/>
      </xdr:nvSpPr>
      <xdr:spPr>
        <a:xfrm>
          <a:off x="16411575" y="94773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22" name="TextBox 21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23" name="TextBox 22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66454" cy="264560"/>
    <xdr:sp macro="" textlink="">
      <xdr:nvSpPr>
        <xdr:cNvPr id="24" name="TextBox 23"/>
        <xdr:cNvSpPr txBox="1"/>
      </xdr:nvSpPr>
      <xdr:spPr>
        <a:xfrm flipH="1">
          <a:off x="1641157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25" name="TextBox 24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26" name="TextBox 25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27" name="TextBox 26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28" name="TextBox 27"/>
        <xdr:cNvSpPr txBox="1"/>
      </xdr:nvSpPr>
      <xdr:spPr>
        <a:xfrm>
          <a:off x="164115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29" name="TextBox 28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0" name="TextBox 29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1" name="TextBox 30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2" name="TextBox 31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3" name="TextBox 32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4" name="TextBox 33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5" name="TextBox 34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6" name="TextBox 35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7" name="TextBox 36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8" name="TextBox 37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9" name="TextBox 38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0" name="TextBox 39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1" name="TextBox 40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2" name="TextBox 41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3" name="TextBox 42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4" name="TextBox 43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5" name="TextBox 44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6" name="TextBox 45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7" name="TextBox 46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8" name="TextBox 47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9" name="TextBox 48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0" name="TextBox 49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1" name="TextBox 50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2" name="TextBox 51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3" name="TextBox 52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4" name="TextBox 53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5" name="TextBox 54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6" name="TextBox 55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7" name="TextBox 56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8" name="TextBox 57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9" name="TextBox 58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0" name="TextBox 59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1" name="TextBox 60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2" name="TextBox 61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3" name="TextBox 62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4" name="TextBox 63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5" name="TextBox 64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6" name="TextBox 65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7" name="TextBox 66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8" name="TextBox 67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9" name="TextBox 68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0" name="TextBox 69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1" name="TextBox 70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2" name="TextBox 71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3" name="TextBox 72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4" name="TextBox 73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5" name="TextBox 74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6" name="TextBox 75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7" name="TextBox 76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8" name="TextBox 77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9" name="TextBox 78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80" name="TextBox 79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1" name="TextBox 80"/>
        <xdr:cNvSpPr txBox="1"/>
      </xdr:nvSpPr>
      <xdr:spPr>
        <a:xfrm>
          <a:off x="164115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2" name="TextBox 81"/>
        <xdr:cNvSpPr txBox="1"/>
      </xdr:nvSpPr>
      <xdr:spPr>
        <a:xfrm>
          <a:off x="164115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3" name="TextBox 82"/>
        <xdr:cNvSpPr txBox="1"/>
      </xdr:nvSpPr>
      <xdr:spPr>
        <a:xfrm>
          <a:off x="164115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4" name="TextBox 83"/>
        <xdr:cNvSpPr txBox="1"/>
      </xdr:nvSpPr>
      <xdr:spPr>
        <a:xfrm>
          <a:off x="164115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5" name="TextBox 84"/>
        <xdr:cNvSpPr txBox="1"/>
      </xdr:nvSpPr>
      <xdr:spPr>
        <a:xfrm>
          <a:off x="164115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6" name="TextBox 85"/>
        <xdr:cNvSpPr txBox="1"/>
      </xdr:nvSpPr>
      <xdr:spPr>
        <a:xfrm>
          <a:off x="164115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7" name="TextBox 86"/>
        <xdr:cNvSpPr txBox="1"/>
      </xdr:nvSpPr>
      <xdr:spPr>
        <a:xfrm>
          <a:off x="164115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8" name="TextBox 87"/>
        <xdr:cNvSpPr txBox="1"/>
      </xdr:nvSpPr>
      <xdr:spPr>
        <a:xfrm>
          <a:off x="164115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66454" cy="264560"/>
    <xdr:sp macro="" textlink="">
      <xdr:nvSpPr>
        <xdr:cNvPr id="89" name="TextBox 88"/>
        <xdr:cNvSpPr txBox="1"/>
      </xdr:nvSpPr>
      <xdr:spPr>
        <a:xfrm flipH="1">
          <a:off x="1641157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90" name="TextBox 89"/>
        <xdr:cNvSpPr txBox="1"/>
      </xdr:nvSpPr>
      <xdr:spPr>
        <a:xfrm>
          <a:off x="164115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91" name="TextBox 90"/>
        <xdr:cNvSpPr txBox="1"/>
      </xdr:nvSpPr>
      <xdr:spPr>
        <a:xfrm>
          <a:off x="164115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66454" cy="264560"/>
    <xdr:sp macro="" textlink="">
      <xdr:nvSpPr>
        <xdr:cNvPr id="92" name="TextBox 91"/>
        <xdr:cNvSpPr txBox="1"/>
      </xdr:nvSpPr>
      <xdr:spPr>
        <a:xfrm flipH="1">
          <a:off x="1641157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595386</xdr:rowOff>
    </xdr:from>
    <xdr:ext cx="264560" cy="1248882"/>
    <xdr:sp macro="" textlink="">
      <xdr:nvSpPr>
        <xdr:cNvPr id="93" name="TextBox 92"/>
        <xdr:cNvSpPr txBox="1"/>
      </xdr:nvSpPr>
      <xdr:spPr>
        <a:xfrm rot="4668514">
          <a:off x="15919414" y="9269522"/>
          <a:ext cx="124888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94" name="TextBox 93"/>
        <xdr:cNvSpPr txBox="1"/>
      </xdr:nvSpPr>
      <xdr:spPr>
        <a:xfrm>
          <a:off x="164115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95" name="TextBox 94"/>
        <xdr:cNvSpPr txBox="1"/>
      </xdr:nvSpPr>
      <xdr:spPr>
        <a:xfrm>
          <a:off x="164115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66454" cy="264560"/>
    <xdr:sp macro="" textlink="">
      <xdr:nvSpPr>
        <xdr:cNvPr id="96" name="TextBox 95"/>
        <xdr:cNvSpPr txBox="1"/>
      </xdr:nvSpPr>
      <xdr:spPr>
        <a:xfrm flipH="1">
          <a:off x="1641157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5008" cy="255462"/>
    <xdr:sp macro="" textlink="">
      <xdr:nvSpPr>
        <xdr:cNvPr id="97" name="TextBox 96"/>
        <xdr:cNvSpPr txBox="1"/>
      </xdr:nvSpPr>
      <xdr:spPr>
        <a:xfrm>
          <a:off x="16411575" y="81819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5008" cy="255462"/>
    <xdr:sp macro="" textlink="">
      <xdr:nvSpPr>
        <xdr:cNvPr id="98" name="TextBox 97"/>
        <xdr:cNvSpPr txBox="1"/>
      </xdr:nvSpPr>
      <xdr:spPr>
        <a:xfrm>
          <a:off x="16411575" y="81819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99" name="TextBox 98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00" name="TextBox 99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66454" cy="264560"/>
    <xdr:sp macro="" textlink="">
      <xdr:nvSpPr>
        <xdr:cNvPr id="101" name="TextBox 100"/>
        <xdr:cNvSpPr txBox="1"/>
      </xdr:nvSpPr>
      <xdr:spPr>
        <a:xfrm flipH="1">
          <a:off x="16411575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02" name="TextBox 101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03" name="TextBox 102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04" name="TextBox 103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05" name="TextBox 104"/>
        <xdr:cNvSpPr txBox="1"/>
      </xdr:nvSpPr>
      <xdr:spPr>
        <a:xfrm>
          <a:off x="164115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06" name="TextBox 105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07" name="TextBox 106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08" name="TextBox 107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09" name="TextBox 108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0" name="TextBox 109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1" name="TextBox 110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2" name="TextBox 111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3" name="TextBox 112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4" name="TextBox 113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5" name="TextBox 114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6" name="TextBox 115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7" name="TextBox 116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8" name="TextBox 117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9" name="TextBox 118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0" name="TextBox 119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1" name="TextBox 120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2" name="TextBox 121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3" name="TextBox 122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4" name="TextBox 123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5" name="TextBox 124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6" name="TextBox 125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7" name="TextBox 126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8" name="TextBox 127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9" name="TextBox 128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0" name="TextBox 129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1" name="TextBox 130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2" name="TextBox 131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3" name="TextBox 132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4" name="TextBox 133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5" name="TextBox 134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6" name="TextBox 135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7" name="TextBox 136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8" name="TextBox 137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9" name="TextBox 138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0" name="TextBox 139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1" name="TextBox 140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2" name="TextBox 141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3" name="TextBox 142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4" name="TextBox 143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5" name="TextBox 144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6" name="TextBox 145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7" name="TextBox 146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8" name="TextBox 147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9" name="TextBox 148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50" name="TextBox 149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51" name="TextBox 150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52" name="TextBox 151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53" name="TextBox 152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54" name="TextBox 153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55" name="TextBox 154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56" name="TextBox 155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57" name="TextBox 156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58" name="TextBox 157"/>
        <xdr:cNvSpPr txBox="1"/>
      </xdr:nvSpPr>
      <xdr:spPr>
        <a:xfrm>
          <a:off x="164115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59" name="TextBox 158"/>
        <xdr:cNvSpPr txBox="1"/>
      </xdr:nvSpPr>
      <xdr:spPr>
        <a:xfrm>
          <a:off x="164115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60" name="TextBox 159"/>
        <xdr:cNvSpPr txBox="1"/>
      </xdr:nvSpPr>
      <xdr:spPr>
        <a:xfrm>
          <a:off x="164115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61" name="TextBox 160"/>
        <xdr:cNvSpPr txBox="1"/>
      </xdr:nvSpPr>
      <xdr:spPr>
        <a:xfrm>
          <a:off x="164115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62" name="TextBox 161"/>
        <xdr:cNvSpPr txBox="1"/>
      </xdr:nvSpPr>
      <xdr:spPr>
        <a:xfrm>
          <a:off x="164115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63" name="TextBox 162"/>
        <xdr:cNvSpPr txBox="1"/>
      </xdr:nvSpPr>
      <xdr:spPr>
        <a:xfrm>
          <a:off x="164115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64" name="TextBox 163"/>
        <xdr:cNvSpPr txBox="1"/>
      </xdr:nvSpPr>
      <xdr:spPr>
        <a:xfrm>
          <a:off x="164115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65" name="TextBox 164"/>
        <xdr:cNvSpPr txBox="1"/>
      </xdr:nvSpPr>
      <xdr:spPr>
        <a:xfrm>
          <a:off x="164115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66454" cy="264560"/>
    <xdr:sp macro="" textlink="">
      <xdr:nvSpPr>
        <xdr:cNvPr id="166" name="TextBox 165"/>
        <xdr:cNvSpPr txBox="1"/>
      </xdr:nvSpPr>
      <xdr:spPr>
        <a:xfrm flipH="1">
          <a:off x="16411575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67" name="TextBox 166"/>
        <xdr:cNvSpPr txBox="1"/>
      </xdr:nvSpPr>
      <xdr:spPr>
        <a:xfrm>
          <a:off x="164115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68" name="TextBox 167"/>
        <xdr:cNvSpPr txBox="1"/>
      </xdr:nvSpPr>
      <xdr:spPr>
        <a:xfrm>
          <a:off x="164115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66454" cy="264560"/>
    <xdr:sp macro="" textlink="">
      <xdr:nvSpPr>
        <xdr:cNvPr id="169" name="TextBox 168"/>
        <xdr:cNvSpPr txBox="1"/>
      </xdr:nvSpPr>
      <xdr:spPr>
        <a:xfrm flipH="1">
          <a:off x="16411575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29</xdr:row>
      <xdr:rowOff>6240</xdr:rowOff>
    </xdr:from>
    <xdr:ext cx="264560" cy="1248882"/>
    <xdr:sp macro="" textlink="">
      <xdr:nvSpPr>
        <xdr:cNvPr id="170" name="TextBox 169"/>
        <xdr:cNvSpPr txBox="1"/>
      </xdr:nvSpPr>
      <xdr:spPr>
        <a:xfrm rot="4668514">
          <a:off x="15919414" y="8013626"/>
          <a:ext cx="124888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71" name="TextBox 170"/>
        <xdr:cNvSpPr txBox="1"/>
      </xdr:nvSpPr>
      <xdr:spPr>
        <a:xfrm>
          <a:off x="164115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72" name="TextBox 171"/>
        <xdr:cNvSpPr txBox="1"/>
      </xdr:nvSpPr>
      <xdr:spPr>
        <a:xfrm>
          <a:off x="164115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66454" cy="264560"/>
    <xdr:sp macro="" textlink="">
      <xdr:nvSpPr>
        <xdr:cNvPr id="173" name="TextBox 172"/>
        <xdr:cNvSpPr txBox="1"/>
      </xdr:nvSpPr>
      <xdr:spPr>
        <a:xfrm flipH="1">
          <a:off x="16411575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2" name="TextBox 1"/>
        <xdr:cNvSpPr txBox="1"/>
      </xdr:nvSpPr>
      <xdr:spPr>
        <a:xfrm>
          <a:off x="1303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3" name="TextBox 2"/>
        <xdr:cNvSpPr txBox="1"/>
      </xdr:nvSpPr>
      <xdr:spPr>
        <a:xfrm>
          <a:off x="1303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4" name="TextBox 3"/>
        <xdr:cNvSpPr txBox="1"/>
      </xdr:nvSpPr>
      <xdr:spPr>
        <a:xfrm>
          <a:off x="1303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5" name="TextBox 4"/>
        <xdr:cNvSpPr txBox="1"/>
      </xdr:nvSpPr>
      <xdr:spPr>
        <a:xfrm>
          <a:off x="1303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66454" cy="264560"/>
    <xdr:sp macro="" textlink="">
      <xdr:nvSpPr>
        <xdr:cNvPr id="6" name="TextBox 5"/>
        <xdr:cNvSpPr txBox="1"/>
      </xdr:nvSpPr>
      <xdr:spPr>
        <a:xfrm flipH="1">
          <a:off x="13030200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7" name="TextBox 6"/>
        <xdr:cNvSpPr txBox="1"/>
      </xdr:nvSpPr>
      <xdr:spPr>
        <a:xfrm>
          <a:off x="1303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8" name="TextBox 7"/>
        <xdr:cNvSpPr txBox="1"/>
      </xdr:nvSpPr>
      <xdr:spPr>
        <a:xfrm>
          <a:off x="1303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9" name="TextBox 8"/>
        <xdr:cNvSpPr txBox="1"/>
      </xdr:nvSpPr>
      <xdr:spPr>
        <a:xfrm>
          <a:off x="1303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0" name="TextBox 9"/>
        <xdr:cNvSpPr txBox="1"/>
      </xdr:nvSpPr>
      <xdr:spPr>
        <a:xfrm>
          <a:off x="1303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1" name="TextBox 10"/>
        <xdr:cNvSpPr txBox="1"/>
      </xdr:nvSpPr>
      <xdr:spPr>
        <a:xfrm>
          <a:off x="1303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2" name="TextBox 11"/>
        <xdr:cNvSpPr txBox="1"/>
      </xdr:nvSpPr>
      <xdr:spPr>
        <a:xfrm>
          <a:off x="1303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3" name="TextBox 12"/>
        <xdr:cNvSpPr txBox="1"/>
      </xdr:nvSpPr>
      <xdr:spPr>
        <a:xfrm>
          <a:off x="1303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4" name="TextBox 13"/>
        <xdr:cNvSpPr txBox="1"/>
      </xdr:nvSpPr>
      <xdr:spPr>
        <a:xfrm>
          <a:off x="1303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66454" cy="264560"/>
    <xdr:sp macro="" textlink="">
      <xdr:nvSpPr>
        <xdr:cNvPr id="15" name="TextBox 14"/>
        <xdr:cNvSpPr txBox="1"/>
      </xdr:nvSpPr>
      <xdr:spPr>
        <a:xfrm flipH="1">
          <a:off x="13030200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6" name="TextBox 15"/>
        <xdr:cNvSpPr txBox="1"/>
      </xdr:nvSpPr>
      <xdr:spPr>
        <a:xfrm>
          <a:off x="1303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7" name="TextBox 16"/>
        <xdr:cNvSpPr txBox="1"/>
      </xdr:nvSpPr>
      <xdr:spPr>
        <a:xfrm>
          <a:off x="1303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8" name="TextBox 17"/>
        <xdr:cNvSpPr txBox="1"/>
      </xdr:nvSpPr>
      <xdr:spPr>
        <a:xfrm>
          <a:off x="1303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9" name="TextBox 18"/>
        <xdr:cNvSpPr txBox="1"/>
      </xdr:nvSpPr>
      <xdr:spPr>
        <a:xfrm>
          <a:off x="1303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5008" cy="255462"/>
    <xdr:sp macro="" textlink="">
      <xdr:nvSpPr>
        <xdr:cNvPr id="20" name="TextBox 19"/>
        <xdr:cNvSpPr txBox="1"/>
      </xdr:nvSpPr>
      <xdr:spPr>
        <a:xfrm>
          <a:off x="16411575" y="94773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5008" cy="255462"/>
    <xdr:sp macro="" textlink="">
      <xdr:nvSpPr>
        <xdr:cNvPr id="21" name="TextBox 20"/>
        <xdr:cNvSpPr txBox="1"/>
      </xdr:nvSpPr>
      <xdr:spPr>
        <a:xfrm>
          <a:off x="16411575" y="94773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22" name="TextBox 21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23" name="TextBox 22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66454" cy="264560"/>
    <xdr:sp macro="" textlink="">
      <xdr:nvSpPr>
        <xdr:cNvPr id="24" name="TextBox 23"/>
        <xdr:cNvSpPr txBox="1"/>
      </xdr:nvSpPr>
      <xdr:spPr>
        <a:xfrm flipH="1">
          <a:off x="1641157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25" name="TextBox 24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26" name="TextBox 25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27" name="TextBox 26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28" name="TextBox 27"/>
        <xdr:cNvSpPr txBox="1"/>
      </xdr:nvSpPr>
      <xdr:spPr>
        <a:xfrm>
          <a:off x="164115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29" name="TextBox 28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0" name="TextBox 29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1" name="TextBox 30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2" name="TextBox 31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3" name="TextBox 32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4" name="TextBox 33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5" name="TextBox 34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6" name="TextBox 35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7" name="TextBox 36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8" name="TextBox 37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9" name="TextBox 38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0" name="TextBox 39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1" name="TextBox 40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2" name="TextBox 41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3" name="TextBox 42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4" name="TextBox 43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5" name="TextBox 44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6" name="TextBox 45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7" name="TextBox 46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8" name="TextBox 47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9" name="TextBox 48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0" name="TextBox 49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1" name="TextBox 50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2" name="TextBox 51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3" name="TextBox 52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4" name="TextBox 53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5" name="TextBox 54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6" name="TextBox 55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7" name="TextBox 56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8" name="TextBox 57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59" name="TextBox 58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0" name="TextBox 59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1" name="TextBox 60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2" name="TextBox 61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3" name="TextBox 62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4" name="TextBox 63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5" name="TextBox 64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6" name="TextBox 65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7" name="TextBox 66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8" name="TextBox 67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69" name="TextBox 68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0" name="TextBox 69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1" name="TextBox 70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2" name="TextBox 71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3" name="TextBox 72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4" name="TextBox 73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5" name="TextBox 74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6" name="TextBox 75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7" name="TextBox 76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8" name="TextBox 77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79" name="TextBox 78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80" name="TextBox 79"/>
        <xdr:cNvSpPr txBox="1"/>
      </xdr:nvSpPr>
      <xdr:spPr>
        <a:xfrm>
          <a:off x="164115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1" name="TextBox 80"/>
        <xdr:cNvSpPr txBox="1"/>
      </xdr:nvSpPr>
      <xdr:spPr>
        <a:xfrm>
          <a:off x="164115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2" name="TextBox 81"/>
        <xdr:cNvSpPr txBox="1"/>
      </xdr:nvSpPr>
      <xdr:spPr>
        <a:xfrm>
          <a:off x="164115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3" name="TextBox 82"/>
        <xdr:cNvSpPr txBox="1"/>
      </xdr:nvSpPr>
      <xdr:spPr>
        <a:xfrm>
          <a:off x="164115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4" name="TextBox 83"/>
        <xdr:cNvSpPr txBox="1"/>
      </xdr:nvSpPr>
      <xdr:spPr>
        <a:xfrm>
          <a:off x="164115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5" name="TextBox 84"/>
        <xdr:cNvSpPr txBox="1"/>
      </xdr:nvSpPr>
      <xdr:spPr>
        <a:xfrm>
          <a:off x="164115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6" name="TextBox 85"/>
        <xdr:cNvSpPr txBox="1"/>
      </xdr:nvSpPr>
      <xdr:spPr>
        <a:xfrm>
          <a:off x="164115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7" name="TextBox 86"/>
        <xdr:cNvSpPr txBox="1"/>
      </xdr:nvSpPr>
      <xdr:spPr>
        <a:xfrm>
          <a:off x="164115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8" name="TextBox 87"/>
        <xdr:cNvSpPr txBox="1"/>
      </xdr:nvSpPr>
      <xdr:spPr>
        <a:xfrm>
          <a:off x="164115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66454" cy="264560"/>
    <xdr:sp macro="" textlink="">
      <xdr:nvSpPr>
        <xdr:cNvPr id="89" name="TextBox 88"/>
        <xdr:cNvSpPr txBox="1"/>
      </xdr:nvSpPr>
      <xdr:spPr>
        <a:xfrm flipH="1">
          <a:off x="1641157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90" name="TextBox 89"/>
        <xdr:cNvSpPr txBox="1"/>
      </xdr:nvSpPr>
      <xdr:spPr>
        <a:xfrm>
          <a:off x="164115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91" name="TextBox 90"/>
        <xdr:cNvSpPr txBox="1"/>
      </xdr:nvSpPr>
      <xdr:spPr>
        <a:xfrm>
          <a:off x="164115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66454" cy="264560"/>
    <xdr:sp macro="" textlink="">
      <xdr:nvSpPr>
        <xdr:cNvPr id="92" name="TextBox 91"/>
        <xdr:cNvSpPr txBox="1"/>
      </xdr:nvSpPr>
      <xdr:spPr>
        <a:xfrm flipH="1">
          <a:off x="1641157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595386</xdr:rowOff>
    </xdr:from>
    <xdr:ext cx="264560" cy="1248882"/>
    <xdr:sp macro="" textlink="">
      <xdr:nvSpPr>
        <xdr:cNvPr id="93" name="TextBox 92"/>
        <xdr:cNvSpPr txBox="1"/>
      </xdr:nvSpPr>
      <xdr:spPr>
        <a:xfrm rot="4668514">
          <a:off x="15919414" y="9269522"/>
          <a:ext cx="124888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94" name="TextBox 93"/>
        <xdr:cNvSpPr txBox="1"/>
      </xdr:nvSpPr>
      <xdr:spPr>
        <a:xfrm>
          <a:off x="164115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95" name="TextBox 94"/>
        <xdr:cNvSpPr txBox="1"/>
      </xdr:nvSpPr>
      <xdr:spPr>
        <a:xfrm>
          <a:off x="164115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66454" cy="264560"/>
    <xdr:sp macro="" textlink="">
      <xdr:nvSpPr>
        <xdr:cNvPr id="96" name="TextBox 95"/>
        <xdr:cNvSpPr txBox="1"/>
      </xdr:nvSpPr>
      <xdr:spPr>
        <a:xfrm flipH="1">
          <a:off x="1641157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5008" cy="255462"/>
    <xdr:sp macro="" textlink="">
      <xdr:nvSpPr>
        <xdr:cNvPr id="97" name="TextBox 96"/>
        <xdr:cNvSpPr txBox="1"/>
      </xdr:nvSpPr>
      <xdr:spPr>
        <a:xfrm>
          <a:off x="16411575" y="81819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5008" cy="255462"/>
    <xdr:sp macro="" textlink="">
      <xdr:nvSpPr>
        <xdr:cNvPr id="98" name="TextBox 97"/>
        <xdr:cNvSpPr txBox="1"/>
      </xdr:nvSpPr>
      <xdr:spPr>
        <a:xfrm>
          <a:off x="16411575" y="81819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99" name="TextBox 98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00" name="TextBox 99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66454" cy="264560"/>
    <xdr:sp macro="" textlink="">
      <xdr:nvSpPr>
        <xdr:cNvPr id="101" name="TextBox 100"/>
        <xdr:cNvSpPr txBox="1"/>
      </xdr:nvSpPr>
      <xdr:spPr>
        <a:xfrm flipH="1">
          <a:off x="16411575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02" name="TextBox 101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03" name="TextBox 102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04" name="TextBox 103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05" name="TextBox 104"/>
        <xdr:cNvSpPr txBox="1"/>
      </xdr:nvSpPr>
      <xdr:spPr>
        <a:xfrm>
          <a:off x="164115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06" name="TextBox 105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07" name="TextBox 106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08" name="TextBox 107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09" name="TextBox 108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0" name="TextBox 109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1" name="TextBox 110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2" name="TextBox 111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3" name="TextBox 112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4" name="TextBox 113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5" name="TextBox 114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6" name="TextBox 115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7" name="TextBox 116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8" name="TextBox 117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19" name="TextBox 118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0" name="TextBox 119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1" name="TextBox 120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2" name="TextBox 121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3" name="TextBox 122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4" name="TextBox 123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5" name="TextBox 124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6" name="TextBox 125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7" name="TextBox 126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8" name="TextBox 127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29" name="TextBox 128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0" name="TextBox 129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1" name="TextBox 130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2" name="TextBox 131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3" name="TextBox 132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4" name="TextBox 133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5" name="TextBox 134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6" name="TextBox 135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7" name="TextBox 136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8" name="TextBox 137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39" name="TextBox 138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0" name="TextBox 139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1" name="TextBox 140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2" name="TextBox 141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3" name="TextBox 142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4" name="TextBox 143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5" name="TextBox 144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6" name="TextBox 145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7" name="TextBox 146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8" name="TextBox 147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49" name="TextBox 148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50" name="TextBox 149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51" name="TextBox 150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52" name="TextBox 151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53" name="TextBox 152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54" name="TextBox 153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55" name="TextBox 154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56" name="TextBox 155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157" name="TextBox 156"/>
        <xdr:cNvSpPr txBox="1"/>
      </xdr:nvSpPr>
      <xdr:spPr>
        <a:xfrm>
          <a:off x="164115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58" name="TextBox 157"/>
        <xdr:cNvSpPr txBox="1"/>
      </xdr:nvSpPr>
      <xdr:spPr>
        <a:xfrm>
          <a:off x="164115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59" name="TextBox 158"/>
        <xdr:cNvSpPr txBox="1"/>
      </xdr:nvSpPr>
      <xdr:spPr>
        <a:xfrm>
          <a:off x="164115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60" name="TextBox 159"/>
        <xdr:cNvSpPr txBox="1"/>
      </xdr:nvSpPr>
      <xdr:spPr>
        <a:xfrm>
          <a:off x="164115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61" name="TextBox 160"/>
        <xdr:cNvSpPr txBox="1"/>
      </xdr:nvSpPr>
      <xdr:spPr>
        <a:xfrm>
          <a:off x="164115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62" name="TextBox 161"/>
        <xdr:cNvSpPr txBox="1"/>
      </xdr:nvSpPr>
      <xdr:spPr>
        <a:xfrm>
          <a:off x="164115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63" name="TextBox 162"/>
        <xdr:cNvSpPr txBox="1"/>
      </xdr:nvSpPr>
      <xdr:spPr>
        <a:xfrm>
          <a:off x="164115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64" name="TextBox 163"/>
        <xdr:cNvSpPr txBox="1"/>
      </xdr:nvSpPr>
      <xdr:spPr>
        <a:xfrm>
          <a:off x="164115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65" name="TextBox 164"/>
        <xdr:cNvSpPr txBox="1"/>
      </xdr:nvSpPr>
      <xdr:spPr>
        <a:xfrm>
          <a:off x="164115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66454" cy="264560"/>
    <xdr:sp macro="" textlink="">
      <xdr:nvSpPr>
        <xdr:cNvPr id="166" name="TextBox 165"/>
        <xdr:cNvSpPr txBox="1"/>
      </xdr:nvSpPr>
      <xdr:spPr>
        <a:xfrm flipH="1">
          <a:off x="16411575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67" name="TextBox 166"/>
        <xdr:cNvSpPr txBox="1"/>
      </xdr:nvSpPr>
      <xdr:spPr>
        <a:xfrm>
          <a:off x="164115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68" name="TextBox 167"/>
        <xdr:cNvSpPr txBox="1"/>
      </xdr:nvSpPr>
      <xdr:spPr>
        <a:xfrm>
          <a:off x="164115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66454" cy="264560"/>
    <xdr:sp macro="" textlink="">
      <xdr:nvSpPr>
        <xdr:cNvPr id="169" name="TextBox 168"/>
        <xdr:cNvSpPr txBox="1"/>
      </xdr:nvSpPr>
      <xdr:spPr>
        <a:xfrm flipH="1">
          <a:off x="16411575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29</xdr:row>
      <xdr:rowOff>6240</xdr:rowOff>
    </xdr:from>
    <xdr:ext cx="264560" cy="1248882"/>
    <xdr:sp macro="" textlink="">
      <xdr:nvSpPr>
        <xdr:cNvPr id="170" name="TextBox 169"/>
        <xdr:cNvSpPr txBox="1"/>
      </xdr:nvSpPr>
      <xdr:spPr>
        <a:xfrm rot="4668514">
          <a:off x="15919414" y="8013626"/>
          <a:ext cx="124888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71" name="TextBox 170"/>
        <xdr:cNvSpPr txBox="1"/>
      </xdr:nvSpPr>
      <xdr:spPr>
        <a:xfrm>
          <a:off x="164115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72" name="TextBox 171"/>
        <xdr:cNvSpPr txBox="1"/>
      </xdr:nvSpPr>
      <xdr:spPr>
        <a:xfrm>
          <a:off x="164115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66454" cy="264560"/>
    <xdr:sp macro="" textlink="">
      <xdr:nvSpPr>
        <xdr:cNvPr id="173" name="TextBox 172"/>
        <xdr:cNvSpPr txBox="1"/>
      </xdr:nvSpPr>
      <xdr:spPr>
        <a:xfrm flipH="1">
          <a:off x="16411575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239"/>
  <sheetViews>
    <sheetView workbookViewId="0">
      <pane xSplit="10" ySplit="15" topLeftCell="K197" activePane="bottomRight" state="frozen"/>
      <selection pane="topRight" activeCell="J1" sqref="J1"/>
      <selection pane="bottomLeft" activeCell="A16" sqref="A16"/>
      <selection pane="bottomRight" activeCell="H191" sqref="H191"/>
    </sheetView>
  </sheetViews>
  <sheetFormatPr defaultRowHeight="15"/>
  <cols>
    <col min="1" max="1" width="8.85546875" customWidth="1"/>
    <col min="2" max="2" width="38.42578125" customWidth="1"/>
    <col min="3" max="3" width="13.140625" customWidth="1"/>
    <col min="4" max="4" width="14.5703125" customWidth="1"/>
    <col min="5" max="5" width="13" customWidth="1"/>
    <col min="6" max="6" width="14.5703125" customWidth="1"/>
    <col min="7" max="7" width="12.5703125" customWidth="1"/>
    <col min="8" max="8" width="15" customWidth="1"/>
    <col min="9" max="9" width="14.7109375" customWidth="1"/>
    <col min="10" max="10" width="13.7109375" customWidth="1"/>
    <col min="11" max="11" width="12.85546875" customWidth="1"/>
    <col min="12" max="12" width="10.7109375" customWidth="1"/>
    <col min="13" max="13" width="14.85546875" hidden="1" customWidth="1"/>
    <col min="14" max="14" width="15.5703125" hidden="1" customWidth="1"/>
    <col min="15" max="15" width="20.85546875" customWidth="1"/>
    <col min="16" max="16" width="12.140625" customWidth="1"/>
    <col min="17" max="17" width="6.140625" hidden="1" customWidth="1"/>
    <col min="18" max="18" width="14.5703125" hidden="1" customWidth="1"/>
    <col min="19" max="19" width="11.5703125" customWidth="1"/>
    <col min="20" max="20" width="17" customWidth="1"/>
  </cols>
  <sheetData>
    <row r="1" spans="1:20" ht="54" customHeight="1">
      <c r="A1" s="241" t="s">
        <v>226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</row>
    <row r="2" spans="1:20" ht="42.75" customHeight="1">
      <c r="A2" s="242" t="s">
        <v>313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</row>
    <row r="3" spans="1:20" ht="1.5" customHeight="1">
      <c r="A3" s="243"/>
      <c r="B3" s="243"/>
      <c r="C3" s="243"/>
      <c r="D3" s="34"/>
      <c r="E3" s="34"/>
      <c r="F3" s="34"/>
      <c r="G3" s="34"/>
      <c r="H3" s="29"/>
      <c r="I3" s="29"/>
      <c r="J3" s="29"/>
      <c r="K3" s="29"/>
      <c r="L3" s="29"/>
      <c r="M3" s="29"/>
      <c r="N3" s="29"/>
    </row>
    <row r="4" spans="1:20" ht="18.75">
      <c r="A4" s="244" t="s">
        <v>0</v>
      </c>
      <c r="B4" s="247" t="s">
        <v>1</v>
      </c>
      <c r="C4" s="244" t="s">
        <v>217</v>
      </c>
      <c r="D4" s="250" t="s">
        <v>304</v>
      </c>
      <c r="E4" s="251"/>
      <c r="F4" s="251"/>
      <c r="G4" s="252"/>
      <c r="H4" s="250" t="s">
        <v>227</v>
      </c>
      <c r="I4" s="251"/>
      <c r="J4" s="251"/>
      <c r="K4" s="251"/>
      <c r="L4" s="252"/>
      <c r="M4" s="253" t="s">
        <v>239</v>
      </c>
      <c r="N4" s="254"/>
    </row>
    <row r="5" spans="1:20" ht="15" customHeight="1">
      <c r="A5" s="245"/>
      <c r="B5" s="248"/>
      <c r="C5" s="245"/>
      <c r="D5" s="237" t="s">
        <v>305</v>
      </c>
      <c r="E5" s="237" t="s">
        <v>306</v>
      </c>
      <c r="F5" s="237" t="s">
        <v>229</v>
      </c>
      <c r="G5" s="237" t="s">
        <v>219</v>
      </c>
      <c r="H5" s="237" t="s">
        <v>305</v>
      </c>
      <c r="I5" s="237" t="s">
        <v>306</v>
      </c>
      <c r="J5" s="237" t="s">
        <v>229</v>
      </c>
      <c r="K5" s="237" t="s">
        <v>219</v>
      </c>
      <c r="L5" s="237" t="s">
        <v>236</v>
      </c>
      <c r="M5" s="255"/>
      <c r="N5" s="256"/>
    </row>
    <row r="6" spans="1:20" ht="41.25" customHeight="1">
      <c r="A6" s="246"/>
      <c r="B6" s="249"/>
      <c r="C6" s="246"/>
      <c r="D6" s="238"/>
      <c r="E6" s="238"/>
      <c r="F6" s="238"/>
      <c r="G6" s="238"/>
      <c r="H6" s="238"/>
      <c r="I6" s="238"/>
      <c r="J6" s="238"/>
      <c r="K6" s="238"/>
      <c r="L6" s="238"/>
      <c r="M6" s="257"/>
      <c r="N6" s="258"/>
    </row>
    <row r="7" spans="1:20" ht="15.75" customHeight="1">
      <c r="A7" s="5">
        <v>1</v>
      </c>
      <c r="B7" s="5">
        <v>2</v>
      </c>
      <c r="C7" s="5">
        <v>3</v>
      </c>
      <c r="D7" s="35"/>
      <c r="E7" s="35"/>
      <c r="F7" s="35"/>
      <c r="G7" s="35"/>
      <c r="H7" s="5">
        <v>4</v>
      </c>
      <c r="I7" s="5">
        <v>5</v>
      </c>
      <c r="J7" s="5">
        <v>6</v>
      </c>
      <c r="K7" s="35"/>
      <c r="L7" s="5">
        <v>7</v>
      </c>
      <c r="M7" s="239">
        <v>8</v>
      </c>
      <c r="N7" s="240"/>
      <c r="O7" s="30">
        <f>O8-F8</f>
        <v>-35.89100000000326</v>
      </c>
    </row>
    <row r="8" spans="1:20" ht="39" customHeight="1">
      <c r="A8" s="31" t="s">
        <v>2</v>
      </c>
      <c r="B8" s="6" t="s">
        <v>3</v>
      </c>
      <c r="C8" s="31" t="s">
        <v>4</v>
      </c>
      <c r="D8" s="7">
        <f>D9+D87+D93+D95+D97</f>
        <v>73170.115000000005</v>
      </c>
      <c r="E8" s="21">
        <f>E9+E87+E93+E95+E97</f>
        <v>68097.582999999999</v>
      </c>
      <c r="F8" s="7">
        <f>F9+F87+F93+F95+F97</f>
        <v>66152.906000000003</v>
      </c>
      <c r="G8" s="7">
        <f>F8-E8</f>
        <v>-1944.676999999996</v>
      </c>
      <c r="H8" s="7">
        <f>H9+H87+H93+H95+H97</f>
        <v>73170.115000000005</v>
      </c>
      <c r="I8" s="21">
        <f>I9+I87+I93+I95+I97</f>
        <v>68097.582999999999</v>
      </c>
      <c r="J8" s="7">
        <f>J9+J87+J93+J95+J97</f>
        <v>66152.906000000003</v>
      </c>
      <c r="K8" s="7">
        <f>J8-I8</f>
        <v>-1944.676999999996</v>
      </c>
      <c r="L8" s="21">
        <f>K8/I8*100</f>
        <v>-2.8557210319784714</v>
      </c>
      <c r="M8" s="220"/>
      <c r="N8" s="221"/>
      <c r="O8">
        <v>66117.014999999999</v>
      </c>
      <c r="P8">
        <v>817171</v>
      </c>
      <c r="S8">
        <f>P8/12</f>
        <v>68097.583333333328</v>
      </c>
      <c r="T8" s="30">
        <f>J8-F8</f>
        <v>0</v>
      </c>
    </row>
    <row r="9" spans="1:20" ht="17.25" customHeight="1">
      <c r="A9" s="31" t="s">
        <v>5</v>
      </c>
      <c r="B9" s="6" t="s">
        <v>6</v>
      </c>
      <c r="C9" s="31" t="s">
        <v>4</v>
      </c>
      <c r="D9" s="7">
        <f>D10+D37+D72</f>
        <v>35732.106</v>
      </c>
      <c r="E9" s="21">
        <f>E10+E37+E72</f>
        <v>32135.084000000003</v>
      </c>
      <c r="F9" s="7">
        <f>F10+F37+F72</f>
        <v>35332.527000000002</v>
      </c>
      <c r="G9" s="7">
        <f>F9-E9</f>
        <v>3197.4429999999993</v>
      </c>
      <c r="H9" s="7">
        <f>H10+H37+H72</f>
        <v>35732.106</v>
      </c>
      <c r="I9" s="21">
        <f>I10+I37+I72</f>
        <v>32135.084000000003</v>
      </c>
      <c r="J9" s="7">
        <f>J10+J37+J72</f>
        <v>35332.527000000002</v>
      </c>
      <c r="K9" s="7">
        <f>J9-I9</f>
        <v>3197.4429999999993</v>
      </c>
      <c r="L9" s="21">
        <f>K9/I9*100</f>
        <v>9.9500066656119497</v>
      </c>
      <c r="M9" s="220"/>
      <c r="N9" s="221"/>
      <c r="T9" s="30">
        <f t="shared" ref="T9:T72" si="0">J9-F9</f>
        <v>0</v>
      </c>
    </row>
    <row r="10" spans="1:20" ht="17.25" customHeight="1">
      <c r="A10" s="8" t="s">
        <v>7</v>
      </c>
      <c r="B10" s="9" t="s">
        <v>8</v>
      </c>
      <c r="C10" s="8" t="s">
        <v>4</v>
      </c>
      <c r="D10" s="10">
        <f>D11+D30+D35</f>
        <v>7601.0440000000008</v>
      </c>
      <c r="E10" s="10">
        <f>E11+E30+E35</f>
        <v>5895.3339999999998</v>
      </c>
      <c r="F10" s="10">
        <f>F11+F30+F35</f>
        <v>4165.6280000000006</v>
      </c>
      <c r="G10" s="10">
        <f>F10-E10</f>
        <v>-1729.7059999999992</v>
      </c>
      <c r="H10" s="10">
        <f>H11+H30+H35</f>
        <v>7601.0440000000008</v>
      </c>
      <c r="I10" s="10">
        <f>I11+I30+I35</f>
        <v>5895.3339999999998</v>
      </c>
      <c r="J10" s="10">
        <f>J11+J30+J35</f>
        <v>4165.6280000000006</v>
      </c>
      <c r="K10" s="10">
        <f>J10-I10</f>
        <v>-1729.7059999999992</v>
      </c>
      <c r="L10" s="16">
        <f>K10/I10*100</f>
        <v>-29.340254513145471</v>
      </c>
      <c r="M10" s="220"/>
      <c r="N10" s="221"/>
      <c r="T10" s="30">
        <f t="shared" si="0"/>
        <v>0</v>
      </c>
    </row>
    <row r="11" spans="1:20" ht="17.25" customHeight="1">
      <c r="A11" s="8" t="s">
        <v>9</v>
      </c>
      <c r="B11" s="9" t="s">
        <v>10</v>
      </c>
      <c r="C11" s="8" t="s">
        <v>4</v>
      </c>
      <c r="D11" s="10">
        <f>D12+D15+D18+D21+D24+D27</f>
        <v>5032.2450000000008</v>
      </c>
      <c r="E11" s="8">
        <v>4970.0829999999996</v>
      </c>
      <c r="F11" s="10">
        <f>F12+F15+F18+F21+F24+F27</f>
        <v>3023.9790000000003</v>
      </c>
      <c r="G11" s="10">
        <f t="shared" ref="G11:G74" si="1">F11-E11</f>
        <v>-1946.1039999999994</v>
      </c>
      <c r="H11" s="10">
        <f>H12+H15+H18+H21+H24+H27</f>
        <v>5032.2450000000008</v>
      </c>
      <c r="I11" s="8">
        <v>4970.0829999999996</v>
      </c>
      <c r="J11" s="10">
        <f>J12+J15+J18+J21+J24+J27</f>
        <v>3023.9790000000003</v>
      </c>
      <c r="K11" s="10">
        <f t="shared" ref="K11:K74" si="2">J11-I11</f>
        <v>-1946.1039999999994</v>
      </c>
      <c r="L11" s="16">
        <f t="shared" ref="L11:L72" si="3">K11/I11*100</f>
        <v>-39.15636821356906</v>
      </c>
      <c r="M11" s="220"/>
      <c r="N11" s="221"/>
      <c r="T11" s="30">
        <f t="shared" si="0"/>
        <v>0</v>
      </c>
    </row>
    <row r="12" spans="1:20" ht="18.75" customHeight="1">
      <c r="A12" s="8" t="s">
        <v>11</v>
      </c>
      <c r="B12" s="9" t="s">
        <v>12</v>
      </c>
      <c r="C12" s="8" t="s">
        <v>4</v>
      </c>
      <c r="D12" s="10">
        <v>852.13199999999995</v>
      </c>
      <c r="E12" s="8"/>
      <c r="F12" s="55">
        <v>517.89300000000003</v>
      </c>
      <c r="G12" s="10">
        <f t="shared" si="1"/>
        <v>517.89300000000003</v>
      </c>
      <c r="H12" s="10">
        <v>852.13199999999995</v>
      </c>
      <c r="I12" s="8"/>
      <c r="J12" s="8">
        <v>517.89300000000003</v>
      </c>
      <c r="K12" s="10">
        <f t="shared" si="2"/>
        <v>517.89300000000003</v>
      </c>
      <c r="L12" s="16"/>
      <c r="M12" s="222" t="s">
        <v>297</v>
      </c>
      <c r="N12" s="223"/>
      <c r="T12" s="30">
        <f t="shared" si="0"/>
        <v>0</v>
      </c>
    </row>
    <row r="13" spans="1:20" ht="17.25" customHeight="1">
      <c r="A13" s="8"/>
      <c r="B13" s="12" t="s">
        <v>13</v>
      </c>
      <c r="C13" s="13" t="s">
        <v>14</v>
      </c>
      <c r="D13" s="14">
        <v>3667</v>
      </c>
      <c r="E13" s="13"/>
      <c r="F13" s="13">
        <v>1706</v>
      </c>
      <c r="G13" s="10">
        <f t="shared" si="1"/>
        <v>1706</v>
      </c>
      <c r="H13" s="14">
        <v>3667</v>
      </c>
      <c r="I13" s="13"/>
      <c r="J13" s="13">
        <v>1706</v>
      </c>
      <c r="K13" s="10">
        <f t="shared" si="2"/>
        <v>1706</v>
      </c>
      <c r="L13" s="16"/>
      <c r="M13" s="220"/>
      <c r="N13" s="221"/>
      <c r="T13" s="30">
        <f t="shared" si="0"/>
        <v>0</v>
      </c>
    </row>
    <row r="14" spans="1:20" ht="17.25" customHeight="1">
      <c r="A14" s="15"/>
      <c r="B14" s="12" t="s">
        <v>15</v>
      </c>
      <c r="C14" s="13" t="s">
        <v>16</v>
      </c>
      <c r="D14" s="16">
        <f>D12/D13*1000</f>
        <v>232.37851104445048</v>
      </c>
      <c r="E14" s="13"/>
      <c r="F14" s="16">
        <f>F12/F13*1000</f>
        <v>303.57151230949592</v>
      </c>
      <c r="G14" s="10">
        <f t="shared" si="1"/>
        <v>303.57151230949592</v>
      </c>
      <c r="H14" s="16">
        <f>H12/H13*1000</f>
        <v>232.37851104445048</v>
      </c>
      <c r="I14" s="13"/>
      <c r="J14" s="16">
        <f>J12/J13*1000</f>
        <v>303.57151230949592</v>
      </c>
      <c r="K14" s="10">
        <f t="shared" si="2"/>
        <v>303.57151230949592</v>
      </c>
      <c r="L14" s="16"/>
      <c r="M14" s="220"/>
      <c r="N14" s="221"/>
      <c r="T14" s="30">
        <f t="shared" si="0"/>
        <v>0</v>
      </c>
    </row>
    <row r="15" spans="1:20" ht="17.25" customHeight="1">
      <c r="A15" s="8" t="s">
        <v>17</v>
      </c>
      <c r="B15" s="9" t="s">
        <v>18</v>
      </c>
      <c r="C15" s="8" t="s">
        <v>4</v>
      </c>
      <c r="D15" s="10">
        <v>2808.576</v>
      </c>
      <c r="E15" s="8"/>
      <c r="F15" s="55">
        <v>1535.886</v>
      </c>
      <c r="G15" s="10">
        <f t="shared" si="1"/>
        <v>1535.886</v>
      </c>
      <c r="H15" s="10">
        <v>2808.576</v>
      </c>
      <c r="I15" s="8"/>
      <c r="J15" s="8">
        <v>1535.886</v>
      </c>
      <c r="K15" s="10">
        <f t="shared" si="2"/>
        <v>1535.886</v>
      </c>
      <c r="L15" s="16"/>
      <c r="M15" s="220"/>
      <c r="N15" s="221"/>
      <c r="T15" s="30">
        <f t="shared" si="0"/>
        <v>0</v>
      </c>
    </row>
    <row r="16" spans="1:20" ht="17.25" customHeight="1">
      <c r="A16" s="8"/>
      <c r="B16" s="12" t="s">
        <v>13</v>
      </c>
      <c r="C16" s="13" t="s">
        <v>14</v>
      </c>
      <c r="D16" s="14">
        <v>15000</v>
      </c>
      <c r="E16" s="13"/>
      <c r="F16" s="13">
        <v>12151</v>
      </c>
      <c r="G16" s="10">
        <f t="shared" si="1"/>
        <v>12151</v>
      </c>
      <c r="H16" s="14">
        <v>15000</v>
      </c>
      <c r="I16" s="13"/>
      <c r="J16" s="13">
        <v>12151</v>
      </c>
      <c r="K16" s="10">
        <f t="shared" si="2"/>
        <v>12151</v>
      </c>
      <c r="L16" s="16"/>
      <c r="M16" s="220"/>
      <c r="N16" s="221"/>
      <c r="T16" s="30">
        <f t="shared" si="0"/>
        <v>0</v>
      </c>
    </row>
    <row r="17" spans="1:20" ht="17.25" customHeight="1">
      <c r="A17" s="8"/>
      <c r="B17" s="12" t="s">
        <v>15</v>
      </c>
      <c r="C17" s="13" t="s">
        <v>16</v>
      </c>
      <c r="D17" s="16">
        <f>D15/D16*1000</f>
        <v>187.23840000000001</v>
      </c>
      <c r="E17" s="16"/>
      <c r="F17" s="16">
        <f t="shared" ref="F17" si="4">F15/F16*1000</f>
        <v>126.39996708089868</v>
      </c>
      <c r="G17" s="10">
        <f t="shared" si="1"/>
        <v>126.39996708089868</v>
      </c>
      <c r="H17" s="16">
        <f>H15/H16*1000</f>
        <v>187.23840000000001</v>
      </c>
      <c r="I17" s="16"/>
      <c r="J17" s="16">
        <f t="shared" ref="J17" si="5">J15/J16*1000</f>
        <v>126.39996708089868</v>
      </c>
      <c r="K17" s="10">
        <f t="shared" si="2"/>
        <v>126.39996708089868</v>
      </c>
      <c r="L17" s="16"/>
      <c r="M17" s="220"/>
      <c r="N17" s="221"/>
      <c r="T17" s="30">
        <f t="shared" si="0"/>
        <v>0</v>
      </c>
    </row>
    <row r="18" spans="1:20" ht="17.25" customHeight="1">
      <c r="A18" s="8" t="s">
        <v>19</v>
      </c>
      <c r="B18" s="9" t="s">
        <v>20</v>
      </c>
      <c r="C18" s="8" t="s">
        <v>4</v>
      </c>
      <c r="D18" s="10">
        <v>241.64599999999999</v>
      </c>
      <c r="E18" s="8"/>
      <c r="F18" s="54">
        <v>88</v>
      </c>
      <c r="G18" s="10">
        <f t="shared" si="1"/>
        <v>88</v>
      </c>
      <c r="H18" s="10">
        <v>241.64599999999999</v>
      </c>
      <c r="I18" s="8"/>
      <c r="J18" s="10">
        <v>88</v>
      </c>
      <c r="K18" s="10">
        <f t="shared" si="2"/>
        <v>88</v>
      </c>
      <c r="L18" s="16"/>
      <c r="M18" s="220"/>
      <c r="N18" s="221"/>
      <c r="T18" s="30">
        <f t="shared" si="0"/>
        <v>0</v>
      </c>
    </row>
    <row r="19" spans="1:20" ht="17.25" customHeight="1">
      <c r="A19" s="8"/>
      <c r="B19" s="12" t="s">
        <v>13</v>
      </c>
      <c r="C19" s="13" t="s">
        <v>14</v>
      </c>
      <c r="D19" s="14">
        <v>1025</v>
      </c>
      <c r="E19" s="13"/>
      <c r="F19" s="13">
        <v>200</v>
      </c>
      <c r="G19" s="10">
        <f t="shared" si="1"/>
        <v>200</v>
      </c>
      <c r="H19" s="14">
        <v>1025</v>
      </c>
      <c r="I19" s="13"/>
      <c r="J19" s="13">
        <v>200</v>
      </c>
      <c r="K19" s="10">
        <f t="shared" si="2"/>
        <v>200</v>
      </c>
      <c r="L19" s="16"/>
      <c r="M19" s="220"/>
      <c r="N19" s="221"/>
      <c r="T19" s="30">
        <f t="shared" si="0"/>
        <v>0</v>
      </c>
    </row>
    <row r="20" spans="1:20" ht="17.25" customHeight="1">
      <c r="A20" s="8"/>
      <c r="B20" s="12" t="s">
        <v>15</v>
      </c>
      <c r="C20" s="13" t="s">
        <v>16</v>
      </c>
      <c r="D20" s="16">
        <f>D18/D19*1000</f>
        <v>235.75219512195119</v>
      </c>
      <c r="E20" s="13"/>
      <c r="F20" s="13"/>
      <c r="G20" s="10">
        <f t="shared" si="1"/>
        <v>0</v>
      </c>
      <c r="H20" s="16">
        <f>H18/H19*1000</f>
        <v>235.75219512195119</v>
      </c>
      <c r="I20" s="16"/>
      <c r="J20" s="16">
        <f t="shared" ref="J20" si="6">J18/J19*1000</f>
        <v>440</v>
      </c>
      <c r="K20" s="10">
        <f t="shared" si="2"/>
        <v>440</v>
      </c>
      <c r="L20" s="16"/>
      <c r="M20" s="220"/>
      <c r="N20" s="221"/>
      <c r="T20" s="30">
        <f t="shared" si="0"/>
        <v>440</v>
      </c>
    </row>
    <row r="21" spans="1:20" ht="17.25" customHeight="1">
      <c r="A21" s="8" t="s">
        <v>21</v>
      </c>
      <c r="B21" s="9" t="s">
        <v>22</v>
      </c>
      <c r="C21" s="8" t="s">
        <v>4</v>
      </c>
      <c r="D21" s="10">
        <v>750.73</v>
      </c>
      <c r="E21" s="8"/>
      <c r="F21" s="54">
        <v>882.2</v>
      </c>
      <c r="G21" s="10">
        <f t="shared" si="1"/>
        <v>882.2</v>
      </c>
      <c r="H21" s="10">
        <v>750.73</v>
      </c>
      <c r="I21" s="8"/>
      <c r="J21" s="10">
        <v>882.2</v>
      </c>
      <c r="K21" s="10">
        <f t="shared" si="2"/>
        <v>882.2</v>
      </c>
      <c r="L21" s="16"/>
      <c r="M21" s="220"/>
      <c r="N21" s="221"/>
      <c r="T21" s="30">
        <f t="shared" si="0"/>
        <v>0</v>
      </c>
    </row>
    <row r="22" spans="1:20" ht="17.25" customHeight="1">
      <c r="A22" s="8"/>
      <c r="B22" s="12" t="s">
        <v>13</v>
      </c>
      <c r="C22" s="13" t="s">
        <v>14</v>
      </c>
      <c r="D22" s="14">
        <v>5883</v>
      </c>
      <c r="E22" s="13"/>
      <c r="F22" s="13">
        <v>4900</v>
      </c>
      <c r="G22" s="10">
        <f t="shared" si="1"/>
        <v>4900</v>
      </c>
      <c r="H22" s="14">
        <v>5883</v>
      </c>
      <c r="I22" s="13"/>
      <c r="J22" s="13">
        <v>4900</v>
      </c>
      <c r="K22" s="10">
        <f t="shared" si="2"/>
        <v>4900</v>
      </c>
      <c r="L22" s="16"/>
      <c r="M22" s="220"/>
      <c r="N22" s="221"/>
      <c r="T22" s="30">
        <f t="shared" si="0"/>
        <v>0</v>
      </c>
    </row>
    <row r="23" spans="1:20" ht="17.25" customHeight="1">
      <c r="A23" s="8"/>
      <c r="B23" s="12" t="s">
        <v>15</v>
      </c>
      <c r="C23" s="13" t="s">
        <v>16</v>
      </c>
      <c r="D23" s="16">
        <f>D21/D22*1000</f>
        <v>127.61006289308177</v>
      </c>
      <c r="E23" s="13"/>
      <c r="F23" s="13"/>
      <c r="G23" s="10">
        <f t="shared" si="1"/>
        <v>0</v>
      </c>
      <c r="H23" s="16">
        <f>H21/H22*1000</f>
        <v>127.61006289308177</v>
      </c>
      <c r="I23" s="16"/>
      <c r="J23" s="16">
        <f t="shared" ref="J23" si="7">J21/J22*1000</f>
        <v>180.04081632653063</v>
      </c>
      <c r="K23" s="10">
        <f t="shared" si="2"/>
        <v>180.04081632653063</v>
      </c>
      <c r="L23" s="16"/>
      <c r="M23" s="220"/>
      <c r="N23" s="221"/>
      <c r="T23" s="30">
        <f t="shared" si="0"/>
        <v>180.04081632653063</v>
      </c>
    </row>
    <row r="24" spans="1:20" ht="17.25" customHeight="1">
      <c r="A24" s="8" t="s">
        <v>23</v>
      </c>
      <c r="B24" s="9" t="s">
        <v>24</v>
      </c>
      <c r="C24" s="8" t="s">
        <v>4</v>
      </c>
      <c r="D24" s="10">
        <v>165.005</v>
      </c>
      <c r="E24" s="8"/>
      <c r="F24" s="8"/>
      <c r="G24" s="10">
        <f t="shared" si="1"/>
        <v>0</v>
      </c>
      <c r="H24" s="10">
        <v>165.005</v>
      </c>
      <c r="I24" s="8"/>
      <c r="J24" s="8">
        <v>0</v>
      </c>
      <c r="K24" s="10">
        <f t="shared" si="2"/>
        <v>0</v>
      </c>
      <c r="L24" s="16"/>
      <c r="M24" s="220"/>
      <c r="N24" s="221"/>
      <c r="T24" s="30">
        <f t="shared" si="0"/>
        <v>0</v>
      </c>
    </row>
    <row r="25" spans="1:20" ht="17.25" customHeight="1">
      <c r="A25" s="8"/>
      <c r="B25" s="12" t="s">
        <v>13</v>
      </c>
      <c r="C25" s="13" t="s">
        <v>14</v>
      </c>
      <c r="D25" s="14">
        <v>251</v>
      </c>
      <c r="E25" s="13"/>
      <c r="F25" s="13"/>
      <c r="G25" s="10">
        <f t="shared" si="1"/>
        <v>0</v>
      </c>
      <c r="H25" s="14">
        <v>251</v>
      </c>
      <c r="I25" s="13"/>
      <c r="J25" s="13"/>
      <c r="K25" s="10">
        <f t="shared" si="2"/>
        <v>0</v>
      </c>
      <c r="L25" s="16"/>
      <c r="M25" s="220"/>
      <c r="N25" s="221"/>
      <c r="T25" s="30">
        <f t="shared" si="0"/>
        <v>0</v>
      </c>
    </row>
    <row r="26" spans="1:20" ht="17.25" customHeight="1">
      <c r="A26" s="8"/>
      <c r="B26" s="12" t="s">
        <v>15</v>
      </c>
      <c r="C26" s="13" t="s">
        <v>16</v>
      </c>
      <c r="D26" s="16">
        <f>D24/D25*1000</f>
        <v>657.39043824701196</v>
      </c>
      <c r="E26" s="16"/>
      <c r="F26" s="16"/>
      <c r="G26" s="10">
        <f t="shared" si="1"/>
        <v>0</v>
      </c>
      <c r="H26" s="16">
        <f>H24/H25*1000</f>
        <v>657.39043824701196</v>
      </c>
      <c r="I26" s="16"/>
      <c r="J26" s="16"/>
      <c r="K26" s="10"/>
      <c r="L26" s="16"/>
      <c r="M26" s="220"/>
      <c r="N26" s="221"/>
      <c r="T26" s="30">
        <f t="shared" si="0"/>
        <v>0</v>
      </c>
    </row>
    <row r="27" spans="1:20" ht="17.25" customHeight="1">
      <c r="A27" s="8" t="s">
        <v>23</v>
      </c>
      <c r="B27" s="9" t="s">
        <v>25</v>
      </c>
      <c r="C27" s="8" t="s">
        <v>4</v>
      </c>
      <c r="D27" s="10">
        <v>214.15600000000001</v>
      </c>
      <c r="E27" s="8"/>
      <c r="F27" s="8"/>
      <c r="G27" s="10">
        <f t="shared" si="1"/>
        <v>0</v>
      </c>
      <c r="H27" s="10">
        <v>214.15600000000001</v>
      </c>
      <c r="I27" s="8"/>
      <c r="J27" s="8">
        <v>0</v>
      </c>
      <c r="K27" s="10">
        <f t="shared" si="2"/>
        <v>0</v>
      </c>
      <c r="L27" s="16"/>
      <c r="M27" s="220"/>
      <c r="N27" s="221"/>
      <c r="T27" s="30">
        <f t="shared" si="0"/>
        <v>0</v>
      </c>
    </row>
    <row r="28" spans="1:20" ht="17.25" customHeight="1">
      <c r="A28" s="8"/>
      <c r="B28" s="12" t="s">
        <v>13</v>
      </c>
      <c r="C28" s="13" t="s">
        <v>14</v>
      </c>
      <c r="D28" s="14">
        <v>238</v>
      </c>
      <c r="E28" s="13"/>
      <c r="F28" s="13"/>
      <c r="G28" s="10">
        <f t="shared" si="1"/>
        <v>0</v>
      </c>
      <c r="H28" s="14">
        <v>238</v>
      </c>
      <c r="I28" s="13"/>
      <c r="J28" s="13"/>
      <c r="K28" s="10">
        <f t="shared" si="2"/>
        <v>0</v>
      </c>
      <c r="L28" s="16"/>
      <c r="M28" s="220"/>
      <c r="N28" s="221"/>
      <c r="T28" s="30">
        <f t="shared" si="0"/>
        <v>0</v>
      </c>
    </row>
    <row r="29" spans="1:20" ht="17.25" customHeight="1">
      <c r="A29" s="8"/>
      <c r="B29" s="12" t="s">
        <v>15</v>
      </c>
      <c r="C29" s="13" t="s">
        <v>16</v>
      </c>
      <c r="D29" s="16">
        <f>D27/D28*1000</f>
        <v>899.81512605042019</v>
      </c>
      <c r="E29" s="13"/>
      <c r="F29" s="13"/>
      <c r="G29" s="10">
        <f t="shared" si="1"/>
        <v>0</v>
      </c>
      <c r="H29" s="16">
        <f>H27/H28*1000</f>
        <v>899.81512605042019</v>
      </c>
      <c r="I29" s="13"/>
      <c r="J29" s="13"/>
      <c r="K29" s="10">
        <f t="shared" si="2"/>
        <v>0</v>
      </c>
      <c r="L29" s="16"/>
      <c r="M29" s="220"/>
      <c r="N29" s="221"/>
      <c r="T29" s="30">
        <f t="shared" si="0"/>
        <v>0</v>
      </c>
    </row>
    <row r="30" spans="1:20" ht="17.25" customHeight="1">
      <c r="A30" s="18" t="s">
        <v>26</v>
      </c>
      <c r="B30" s="9" t="s">
        <v>27</v>
      </c>
      <c r="C30" s="8" t="s">
        <v>4</v>
      </c>
      <c r="D30" s="10">
        <f t="shared" ref="D30:F30" si="8">D31+D32+D33+D34</f>
        <v>2406.0839999999998</v>
      </c>
      <c r="E30" s="8">
        <v>762.50099999999998</v>
      </c>
      <c r="F30" s="10">
        <f t="shared" si="8"/>
        <v>378.35300000000001</v>
      </c>
      <c r="G30" s="10">
        <f t="shared" si="1"/>
        <v>-384.14799999999997</v>
      </c>
      <c r="H30" s="10">
        <f t="shared" ref="H30" si="9">H31+H32+H33+H34</f>
        <v>2406.0839999999998</v>
      </c>
      <c r="I30" s="8">
        <v>762.50099999999998</v>
      </c>
      <c r="J30" s="10">
        <f t="shared" ref="J30" si="10">J31+J32+J33+J34</f>
        <v>378.35300000000001</v>
      </c>
      <c r="K30" s="10">
        <f t="shared" si="2"/>
        <v>-384.14799999999997</v>
      </c>
      <c r="L30" s="16">
        <f t="shared" si="3"/>
        <v>-50.379999501639993</v>
      </c>
      <c r="M30" s="220"/>
      <c r="N30" s="221"/>
      <c r="P30">
        <v>9150</v>
      </c>
      <c r="S30" s="30">
        <f>P30/12</f>
        <v>762.5</v>
      </c>
      <c r="T30" s="30">
        <f t="shared" si="0"/>
        <v>0</v>
      </c>
    </row>
    <row r="31" spans="1:20" ht="35.25" customHeight="1">
      <c r="A31" s="18" t="s">
        <v>28</v>
      </c>
      <c r="B31" s="9" t="s">
        <v>29</v>
      </c>
      <c r="C31" s="8" t="s">
        <v>4</v>
      </c>
      <c r="D31" s="10">
        <v>2288.5219999999999</v>
      </c>
      <c r="E31" s="8"/>
      <c r="F31" s="55">
        <v>248.63900000000001</v>
      </c>
      <c r="G31" s="10">
        <f t="shared" si="1"/>
        <v>248.63900000000001</v>
      </c>
      <c r="H31" s="10">
        <v>2288.5219999999999</v>
      </c>
      <c r="I31" s="8"/>
      <c r="J31" s="8">
        <f>F31</f>
        <v>248.63900000000001</v>
      </c>
      <c r="K31" s="10">
        <f t="shared" si="2"/>
        <v>248.63900000000001</v>
      </c>
      <c r="L31" s="16"/>
      <c r="M31" s="220"/>
      <c r="N31" s="221"/>
      <c r="T31" s="30">
        <f t="shared" si="0"/>
        <v>0</v>
      </c>
    </row>
    <row r="32" spans="1:20" ht="51.75" customHeight="1">
      <c r="A32" s="18" t="s">
        <v>30</v>
      </c>
      <c r="B32" s="9" t="s">
        <v>31</v>
      </c>
      <c r="C32" s="8" t="s">
        <v>4</v>
      </c>
      <c r="D32" s="10">
        <v>60.337000000000003</v>
      </c>
      <c r="E32" s="8"/>
      <c r="F32" s="54">
        <v>87.44</v>
      </c>
      <c r="G32" s="10">
        <f t="shared" si="1"/>
        <v>87.44</v>
      </c>
      <c r="H32" s="10">
        <v>60.337000000000003</v>
      </c>
      <c r="I32" s="8"/>
      <c r="J32" s="10">
        <v>87.44</v>
      </c>
      <c r="K32" s="10">
        <f t="shared" si="2"/>
        <v>87.44</v>
      </c>
      <c r="L32" s="16"/>
      <c r="M32" s="222" t="s">
        <v>285</v>
      </c>
      <c r="N32" s="223"/>
      <c r="T32" s="30">
        <f t="shared" si="0"/>
        <v>0</v>
      </c>
    </row>
    <row r="33" spans="1:20" ht="17.25" customHeight="1">
      <c r="A33" s="18" t="s">
        <v>32</v>
      </c>
      <c r="B33" s="9" t="s">
        <v>33</v>
      </c>
      <c r="C33" s="8" t="s">
        <v>4</v>
      </c>
      <c r="D33" s="10">
        <v>19.736999999999998</v>
      </c>
      <c r="E33" s="8"/>
      <c r="F33" s="55">
        <v>4.6360000000000001</v>
      </c>
      <c r="G33" s="10">
        <f t="shared" si="1"/>
        <v>4.6360000000000001</v>
      </c>
      <c r="H33" s="10">
        <v>19.736999999999998</v>
      </c>
      <c r="I33" s="8"/>
      <c r="J33" s="8">
        <v>4.6360000000000001</v>
      </c>
      <c r="K33" s="10">
        <f t="shared" si="2"/>
        <v>4.6360000000000001</v>
      </c>
      <c r="L33" s="16"/>
      <c r="M33" s="220"/>
      <c r="N33" s="221"/>
      <c r="T33" s="30">
        <f t="shared" si="0"/>
        <v>0</v>
      </c>
    </row>
    <row r="34" spans="1:20" ht="33" customHeight="1">
      <c r="A34" s="18" t="s">
        <v>34</v>
      </c>
      <c r="B34" s="9" t="s">
        <v>35</v>
      </c>
      <c r="C34" s="8" t="s">
        <v>4</v>
      </c>
      <c r="D34" s="10">
        <v>37.488</v>
      </c>
      <c r="E34" s="8"/>
      <c r="F34" s="55">
        <v>37.637999999999998</v>
      </c>
      <c r="G34" s="10">
        <f t="shared" si="1"/>
        <v>37.637999999999998</v>
      </c>
      <c r="H34" s="10">
        <v>37.488</v>
      </c>
      <c r="I34" s="8"/>
      <c r="J34" s="8">
        <f>F34</f>
        <v>37.637999999999998</v>
      </c>
      <c r="K34" s="10">
        <f t="shared" si="2"/>
        <v>37.637999999999998</v>
      </c>
      <c r="L34" s="16"/>
      <c r="M34" s="220"/>
      <c r="N34" s="221"/>
      <c r="T34" s="30">
        <f t="shared" si="0"/>
        <v>0</v>
      </c>
    </row>
    <row r="35" spans="1:20" ht="17.25" customHeight="1">
      <c r="A35" s="18" t="s">
        <v>36</v>
      </c>
      <c r="B35" s="9" t="s">
        <v>37</v>
      </c>
      <c r="C35" s="8" t="s">
        <v>4</v>
      </c>
      <c r="D35" s="10">
        <f t="shared" ref="D35:J35" si="11">D36</f>
        <v>162.715</v>
      </c>
      <c r="E35" s="10">
        <f t="shared" si="11"/>
        <v>162.75</v>
      </c>
      <c r="F35" s="10">
        <f t="shared" si="11"/>
        <v>763.29600000000005</v>
      </c>
      <c r="G35" s="10">
        <f t="shared" si="1"/>
        <v>600.54600000000005</v>
      </c>
      <c r="H35" s="10">
        <f t="shared" si="11"/>
        <v>162.715</v>
      </c>
      <c r="I35" s="10">
        <f t="shared" si="11"/>
        <v>162.75</v>
      </c>
      <c r="J35" s="10">
        <f t="shared" si="11"/>
        <v>763.29600000000005</v>
      </c>
      <c r="K35" s="10">
        <f t="shared" si="2"/>
        <v>600.54600000000005</v>
      </c>
      <c r="L35" s="16">
        <f t="shared" si="3"/>
        <v>368.99907834101384</v>
      </c>
      <c r="M35" s="220"/>
      <c r="N35" s="221"/>
      <c r="P35" s="30">
        <v>1953</v>
      </c>
      <c r="S35">
        <f>P35/12</f>
        <v>162.75</v>
      </c>
      <c r="T35" s="30">
        <f t="shared" si="0"/>
        <v>0</v>
      </c>
    </row>
    <row r="36" spans="1:20" ht="17.25" customHeight="1">
      <c r="A36" s="8" t="s">
        <v>38</v>
      </c>
      <c r="B36" s="9" t="s">
        <v>39</v>
      </c>
      <c r="C36" s="8" t="s">
        <v>4</v>
      </c>
      <c r="D36" s="10">
        <v>162.715</v>
      </c>
      <c r="E36" s="8">
        <v>162.75</v>
      </c>
      <c r="F36" s="55">
        <v>763.29600000000005</v>
      </c>
      <c r="G36" s="10">
        <f t="shared" si="1"/>
        <v>600.54600000000005</v>
      </c>
      <c r="H36" s="10">
        <v>162.715</v>
      </c>
      <c r="I36" s="8">
        <v>162.75</v>
      </c>
      <c r="J36" s="8">
        <v>763.29600000000005</v>
      </c>
      <c r="K36" s="10">
        <f t="shared" si="2"/>
        <v>600.54600000000005</v>
      </c>
      <c r="L36" s="16">
        <f t="shared" si="3"/>
        <v>368.99907834101384</v>
      </c>
      <c r="M36" s="220"/>
      <c r="N36" s="221"/>
      <c r="T36" s="30">
        <f t="shared" si="0"/>
        <v>0</v>
      </c>
    </row>
    <row r="37" spans="1:20" ht="17.25" customHeight="1">
      <c r="A37" s="18" t="s">
        <v>40</v>
      </c>
      <c r="B37" s="9" t="s">
        <v>41</v>
      </c>
      <c r="C37" s="8" t="s">
        <v>4</v>
      </c>
      <c r="D37" s="10">
        <f>D38+D41+D48+D51</f>
        <v>1613.3909999999998</v>
      </c>
      <c r="E37" s="8">
        <f>1225.75+E38</f>
        <v>1933.0830000000001</v>
      </c>
      <c r="F37" s="10">
        <f>F38+F41+F48+F51</f>
        <v>2837.9060000000004</v>
      </c>
      <c r="G37" s="10">
        <f t="shared" si="1"/>
        <v>904.82300000000032</v>
      </c>
      <c r="H37" s="10">
        <f>H38+H41+H48+H51</f>
        <v>1613.3909999999998</v>
      </c>
      <c r="I37" s="8">
        <f>1225.75+I38</f>
        <v>1933.0830000000001</v>
      </c>
      <c r="J37" s="10">
        <f>J38+J41+J48+J51</f>
        <v>2837.9060000000004</v>
      </c>
      <c r="K37" s="10">
        <f t="shared" si="2"/>
        <v>904.82300000000032</v>
      </c>
      <c r="L37" s="16">
        <f t="shared" si="3"/>
        <v>46.807250387075996</v>
      </c>
      <c r="M37" s="220"/>
      <c r="N37" s="221"/>
      <c r="T37" s="30">
        <f t="shared" si="0"/>
        <v>0</v>
      </c>
    </row>
    <row r="38" spans="1:20" ht="17.25" customHeight="1">
      <c r="A38" s="18" t="s">
        <v>42</v>
      </c>
      <c r="B38" s="9" t="s">
        <v>43</v>
      </c>
      <c r="C38" s="8" t="s">
        <v>4</v>
      </c>
      <c r="D38" s="10">
        <v>707.32500000000005</v>
      </c>
      <c r="E38" s="8">
        <v>707.33299999999997</v>
      </c>
      <c r="F38" s="55">
        <v>1612.5340000000001</v>
      </c>
      <c r="G38" s="10">
        <f t="shared" si="1"/>
        <v>905.20100000000014</v>
      </c>
      <c r="H38" s="10">
        <v>707.32500000000005</v>
      </c>
      <c r="I38" s="8">
        <v>707.33299999999997</v>
      </c>
      <c r="J38" s="8">
        <v>1612.5340000000001</v>
      </c>
      <c r="K38" s="10">
        <f t="shared" si="2"/>
        <v>905.20100000000014</v>
      </c>
      <c r="L38" s="16">
        <f t="shared" si="3"/>
        <v>127.97381148624483</v>
      </c>
      <c r="M38" s="220"/>
      <c r="N38" s="221"/>
      <c r="P38">
        <v>8488</v>
      </c>
      <c r="S38">
        <f>P38/12</f>
        <v>707.33333333333337</v>
      </c>
      <c r="T38" s="30">
        <f t="shared" si="0"/>
        <v>0</v>
      </c>
    </row>
    <row r="39" spans="1:20" ht="17.25" customHeight="1">
      <c r="A39" s="8"/>
      <c r="B39" s="12" t="s">
        <v>13</v>
      </c>
      <c r="C39" s="13" t="s">
        <v>44</v>
      </c>
      <c r="D39" s="14">
        <v>87</v>
      </c>
      <c r="E39" s="13"/>
      <c r="F39" s="8">
        <v>259</v>
      </c>
      <c r="G39" s="10">
        <f t="shared" si="1"/>
        <v>259</v>
      </c>
      <c r="H39" s="14">
        <v>87</v>
      </c>
      <c r="I39" s="13"/>
      <c r="J39" s="8">
        <v>259</v>
      </c>
      <c r="K39" s="10">
        <f t="shared" si="2"/>
        <v>259</v>
      </c>
      <c r="L39" s="16"/>
      <c r="M39" s="220"/>
      <c r="N39" s="221"/>
      <c r="T39" s="30">
        <f t="shared" si="0"/>
        <v>0</v>
      </c>
    </row>
    <row r="40" spans="1:20" ht="17.25" customHeight="1">
      <c r="A40" s="8"/>
      <c r="B40" s="12" t="s">
        <v>15</v>
      </c>
      <c r="C40" s="13" t="s">
        <v>16</v>
      </c>
      <c r="D40" s="16">
        <f>D38/D39*1000</f>
        <v>8130.1724137931051</v>
      </c>
      <c r="E40" s="16"/>
      <c r="F40" s="16">
        <f t="shared" ref="F40" si="12">F38/F39*1000</f>
        <v>6226</v>
      </c>
      <c r="G40" s="10">
        <f t="shared" si="1"/>
        <v>6226</v>
      </c>
      <c r="H40" s="16">
        <f>H38/H39*1000</f>
        <v>8130.1724137931051</v>
      </c>
      <c r="I40" s="16"/>
      <c r="J40" s="16">
        <f t="shared" ref="J40" si="13">J38/J39*1000</f>
        <v>6226</v>
      </c>
      <c r="K40" s="10">
        <f t="shared" si="2"/>
        <v>6226</v>
      </c>
      <c r="L40" s="16"/>
      <c r="M40" s="220"/>
      <c r="N40" s="221"/>
      <c r="T40" s="30">
        <f t="shared" si="0"/>
        <v>0</v>
      </c>
    </row>
    <row r="41" spans="1:20" ht="17.25" customHeight="1">
      <c r="A41" s="18" t="s">
        <v>45</v>
      </c>
      <c r="B41" s="9" t="s">
        <v>46</v>
      </c>
      <c r="C41" s="8" t="s">
        <v>4</v>
      </c>
      <c r="D41" s="10">
        <f t="shared" ref="D41:F41" si="14">D42+D45</f>
        <v>315.00200000000001</v>
      </c>
      <c r="E41" s="10">
        <f t="shared" si="14"/>
        <v>0</v>
      </c>
      <c r="F41" s="10">
        <f t="shared" si="14"/>
        <v>426.61399999999998</v>
      </c>
      <c r="G41" s="10">
        <f t="shared" si="1"/>
        <v>426.61399999999998</v>
      </c>
      <c r="H41" s="10">
        <f t="shared" ref="H41:J41" si="15">H42+H45</f>
        <v>315.00200000000001</v>
      </c>
      <c r="I41" s="10">
        <f t="shared" si="15"/>
        <v>0</v>
      </c>
      <c r="J41" s="10">
        <f t="shared" si="15"/>
        <v>426.61399999999998</v>
      </c>
      <c r="K41" s="10">
        <f t="shared" si="2"/>
        <v>426.61399999999998</v>
      </c>
      <c r="L41" s="16"/>
      <c r="M41" s="220"/>
      <c r="N41" s="221"/>
      <c r="T41" s="30">
        <f t="shared" si="0"/>
        <v>0</v>
      </c>
    </row>
    <row r="42" spans="1:20" ht="16.5" customHeight="1">
      <c r="A42" s="8"/>
      <c r="B42" s="9" t="s">
        <v>47</v>
      </c>
      <c r="C42" s="8" t="s">
        <v>4</v>
      </c>
      <c r="D42" s="10">
        <v>152.298</v>
      </c>
      <c r="E42" s="8"/>
      <c r="F42" s="8"/>
      <c r="G42" s="10">
        <f t="shared" si="1"/>
        <v>0</v>
      </c>
      <c r="H42" s="10">
        <v>152.298</v>
      </c>
      <c r="I42" s="8"/>
      <c r="J42" s="8"/>
      <c r="K42" s="10">
        <f t="shared" si="2"/>
        <v>0</v>
      </c>
      <c r="L42" s="16"/>
      <c r="M42" s="233" t="s">
        <v>286</v>
      </c>
      <c r="N42" s="234"/>
      <c r="T42" s="30">
        <f t="shared" si="0"/>
        <v>0</v>
      </c>
    </row>
    <row r="43" spans="1:20" ht="17.25" customHeight="1">
      <c r="A43" s="8"/>
      <c r="B43" s="12" t="s">
        <v>48</v>
      </c>
      <c r="C43" s="13" t="s">
        <v>49</v>
      </c>
      <c r="D43" s="14">
        <v>1917</v>
      </c>
      <c r="E43" s="13"/>
      <c r="F43" s="13"/>
      <c r="G43" s="10">
        <f t="shared" si="1"/>
        <v>0</v>
      </c>
      <c r="H43" s="14">
        <v>1917</v>
      </c>
      <c r="I43" s="13"/>
      <c r="J43" s="13"/>
      <c r="K43" s="10">
        <f t="shared" si="2"/>
        <v>0</v>
      </c>
      <c r="L43" s="16"/>
      <c r="M43" s="235"/>
      <c r="N43" s="236"/>
      <c r="T43" s="30">
        <f t="shared" si="0"/>
        <v>0</v>
      </c>
    </row>
    <row r="44" spans="1:20" ht="17.25" customHeight="1">
      <c r="A44" s="8"/>
      <c r="B44" s="12" t="s">
        <v>15</v>
      </c>
      <c r="C44" s="13" t="s">
        <v>16</v>
      </c>
      <c r="D44" s="16">
        <f>D42/D43*1000</f>
        <v>79.44600938967136</v>
      </c>
      <c r="E44" s="13"/>
      <c r="F44" s="13"/>
      <c r="G44" s="10">
        <f t="shared" si="1"/>
        <v>0</v>
      </c>
      <c r="H44" s="16">
        <f>H42/H43*1000</f>
        <v>79.44600938967136</v>
      </c>
      <c r="I44" s="13"/>
      <c r="J44" s="13"/>
      <c r="K44" s="10">
        <f t="shared" si="2"/>
        <v>0</v>
      </c>
      <c r="L44" s="16"/>
      <c r="M44" s="220"/>
      <c r="N44" s="221"/>
      <c r="T44" s="30">
        <f t="shared" si="0"/>
        <v>0</v>
      </c>
    </row>
    <row r="45" spans="1:20" ht="17.25" customHeight="1">
      <c r="A45" s="8"/>
      <c r="B45" s="19" t="s">
        <v>50</v>
      </c>
      <c r="C45" s="8" t="s">
        <v>4</v>
      </c>
      <c r="D45" s="10">
        <v>162.70400000000001</v>
      </c>
      <c r="E45" s="8"/>
      <c r="F45" s="55">
        <v>426.61399999999998</v>
      </c>
      <c r="G45" s="10">
        <f t="shared" si="1"/>
        <v>426.61399999999998</v>
      </c>
      <c r="H45" s="10">
        <v>162.70400000000001</v>
      </c>
      <c r="I45" s="8"/>
      <c r="J45" s="8">
        <v>426.61399999999998</v>
      </c>
      <c r="K45" s="10">
        <f t="shared" si="2"/>
        <v>426.61399999999998</v>
      </c>
      <c r="L45" s="16"/>
      <c r="M45" s="220"/>
      <c r="N45" s="221"/>
      <c r="T45" s="30">
        <f t="shared" si="0"/>
        <v>0</v>
      </c>
    </row>
    <row r="46" spans="1:20" ht="17.25" customHeight="1">
      <c r="A46" s="8"/>
      <c r="B46" s="12" t="s">
        <v>51</v>
      </c>
      <c r="C46" s="13" t="s">
        <v>49</v>
      </c>
      <c r="D46" s="14">
        <v>1417</v>
      </c>
      <c r="E46" s="13"/>
      <c r="F46" s="8">
        <v>2913</v>
      </c>
      <c r="G46" s="10">
        <f t="shared" si="1"/>
        <v>2913</v>
      </c>
      <c r="H46" s="14">
        <v>1417</v>
      </c>
      <c r="I46" s="13"/>
      <c r="J46" s="13">
        <v>2913</v>
      </c>
      <c r="K46" s="10">
        <f t="shared" si="2"/>
        <v>2913</v>
      </c>
      <c r="L46" s="16"/>
      <c r="M46" s="220"/>
      <c r="N46" s="221"/>
      <c r="T46" s="30">
        <f t="shared" si="0"/>
        <v>0</v>
      </c>
    </row>
    <row r="47" spans="1:20" ht="17.25" customHeight="1">
      <c r="A47" s="8"/>
      <c r="B47" s="12" t="s">
        <v>15</v>
      </c>
      <c r="C47" s="13" t="s">
        <v>16</v>
      </c>
      <c r="D47" s="16">
        <f>D45/D46*1000</f>
        <v>114.82286520818631</v>
      </c>
      <c r="E47" s="16" t="e">
        <f t="shared" ref="E47:F47" si="16">E45/E46*1000</f>
        <v>#DIV/0!</v>
      </c>
      <c r="F47" s="16">
        <f t="shared" si="16"/>
        <v>146.45176793683487</v>
      </c>
      <c r="G47" s="10" t="e">
        <f t="shared" si="1"/>
        <v>#DIV/0!</v>
      </c>
      <c r="H47" s="16">
        <f>H45/H46*1000</f>
        <v>114.82286520818631</v>
      </c>
      <c r="I47" s="16"/>
      <c r="J47" s="16">
        <f t="shared" ref="J47" si="17">J45/J46*1000</f>
        <v>146.45176793683487</v>
      </c>
      <c r="K47" s="10">
        <f t="shared" si="2"/>
        <v>146.45176793683487</v>
      </c>
      <c r="L47" s="16"/>
      <c r="M47" s="220"/>
      <c r="N47" s="221"/>
      <c r="T47" s="30">
        <f t="shared" si="0"/>
        <v>0</v>
      </c>
    </row>
    <row r="48" spans="1:20" ht="17.25" customHeight="1">
      <c r="A48" s="18" t="s">
        <v>52</v>
      </c>
      <c r="B48" s="9" t="s">
        <v>53</v>
      </c>
      <c r="C48" s="8" t="s">
        <v>4</v>
      </c>
      <c r="D48" s="10">
        <v>515.60799999999995</v>
      </c>
      <c r="E48" s="8"/>
      <c r="F48" s="55">
        <f>353.991+433.507</f>
        <v>787.49800000000005</v>
      </c>
      <c r="G48" s="10">
        <f t="shared" si="1"/>
        <v>787.49800000000005</v>
      </c>
      <c r="H48" s="10">
        <v>515.60799999999995</v>
      </c>
      <c r="I48" s="8"/>
      <c r="J48" s="8">
        <f>353.991+433.507</f>
        <v>787.49800000000005</v>
      </c>
      <c r="K48" s="10">
        <f t="shared" si="2"/>
        <v>787.49800000000005</v>
      </c>
      <c r="L48" s="16"/>
      <c r="M48" s="220"/>
      <c r="N48" s="221"/>
      <c r="T48" s="30">
        <f t="shared" si="0"/>
        <v>0</v>
      </c>
    </row>
    <row r="49" spans="1:20" ht="17.25" customHeight="1">
      <c r="A49" s="8"/>
      <c r="B49" s="12" t="s">
        <v>13</v>
      </c>
      <c r="C49" s="13" t="s">
        <v>49</v>
      </c>
      <c r="D49" s="14">
        <v>5833</v>
      </c>
      <c r="E49" s="13"/>
      <c r="F49" s="8">
        <v>5154</v>
      </c>
      <c r="G49" s="10">
        <f t="shared" si="1"/>
        <v>5154</v>
      </c>
      <c r="H49" s="14">
        <v>5833</v>
      </c>
      <c r="I49" s="14"/>
      <c r="J49" s="14">
        <v>5154</v>
      </c>
      <c r="K49" s="10">
        <f t="shared" si="2"/>
        <v>5154</v>
      </c>
      <c r="L49" s="16"/>
      <c r="M49" s="220"/>
      <c r="N49" s="221"/>
      <c r="T49" s="30">
        <f t="shared" si="0"/>
        <v>0</v>
      </c>
    </row>
    <row r="50" spans="1:20" ht="17.25" customHeight="1">
      <c r="A50" s="8"/>
      <c r="B50" s="12" t="s">
        <v>15</v>
      </c>
      <c r="C50" s="13" t="s">
        <v>16</v>
      </c>
      <c r="D50" s="16">
        <f>D48/D49*1000</f>
        <v>88.394993999657117</v>
      </c>
      <c r="E50" s="16"/>
      <c r="F50" s="16">
        <f t="shared" ref="F50" si="18">F48/F49*1000</f>
        <v>152.79355840124177</v>
      </c>
      <c r="G50" s="10">
        <f t="shared" si="1"/>
        <v>152.79355840124177</v>
      </c>
      <c r="H50" s="16">
        <f>H48/H49*1000</f>
        <v>88.394993999657117</v>
      </c>
      <c r="I50" s="16"/>
      <c r="J50" s="16">
        <f t="shared" ref="J50" si="19">J48/J49*1000</f>
        <v>152.79355840124177</v>
      </c>
      <c r="K50" s="10">
        <f t="shared" si="2"/>
        <v>152.79355840124177</v>
      </c>
      <c r="L50" s="16"/>
      <c r="M50" s="220"/>
      <c r="N50" s="221"/>
      <c r="T50" s="30">
        <f t="shared" si="0"/>
        <v>0</v>
      </c>
    </row>
    <row r="51" spans="1:20" ht="17.25" customHeight="1">
      <c r="A51" s="18" t="s">
        <v>54</v>
      </c>
      <c r="B51" s="20" t="s">
        <v>55</v>
      </c>
      <c r="C51" s="8" t="s">
        <v>4</v>
      </c>
      <c r="D51" s="10">
        <f t="shared" ref="D51:F51" si="20">D54+D57+D60+D63+D66+D69</f>
        <v>75.456000000000003</v>
      </c>
      <c r="E51" s="10"/>
      <c r="F51" s="10">
        <f t="shared" si="20"/>
        <v>11.26</v>
      </c>
      <c r="G51" s="10">
        <f t="shared" si="1"/>
        <v>11.26</v>
      </c>
      <c r="H51" s="10">
        <f t="shared" ref="H51:H52" si="21">H54+H57+H60+H63+H66+H69</f>
        <v>75.456000000000003</v>
      </c>
      <c r="I51" s="10"/>
      <c r="J51" s="10">
        <f t="shared" ref="J51:J52" si="22">J54+J57+J60+J63+J66+J69</f>
        <v>11.26</v>
      </c>
      <c r="K51" s="10">
        <f t="shared" si="2"/>
        <v>11.26</v>
      </c>
      <c r="L51" s="16"/>
      <c r="M51" s="220"/>
      <c r="N51" s="221"/>
      <c r="T51" s="30">
        <f t="shared" si="0"/>
        <v>0</v>
      </c>
    </row>
    <row r="52" spans="1:20" ht="17.25" customHeight="1">
      <c r="A52" s="8"/>
      <c r="B52" s="19" t="s">
        <v>13</v>
      </c>
      <c r="C52" s="13" t="s">
        <v>49</v>
      </c>
      <c r="D52" s="14">
        <f t="shared" ref="D52" si="23">D55+D58+D61+D64+D67+D70</f>
        <v>177</v>
      </c>
      <c r="E52" s="13"/>
      <c r="F52" s="13"/>
      <c r="G52" s="10">
        <f t="shared" si="1"/>
        <v>0</v>
      </c>
      <c r="H52" s="14">
        <f t="shared" si="21"/>
        <v>177</v>
      </c>
      <c r="I52" s="13"/>
      <c r="J52" s="14">
        <f t="shared" si="22"/>
        <v>20</v>
      </c>
      <c r="K52" s="10">
        <f t="shared" si="2"/>
        <v>20</v>
      </c>
      <c r="L52" s="16"/>
      <c r="M52" s="220"/>
      <c r="N52" s="221"/>
      <c r="T52" s="30">
        <f t="shared" si="0"/>
        <v>20</v>
      </c>
    </row>
    <row r="53" spans="1:20" ht="17.25" customHeight="1">
      <c r="A53" s="8"/>
      <c r="B53" s="19" t="s">
        <v>15</v>
      </c>
      <c r="C53" s="13" t="s">
        <v>16</v>
      </c>
      <c r="D53" s="16">
        <f>D51/D52*1000</f>
        <v>426.30508474576271</v>
      </c>
      <c r="E53" s="13"/>
      <c r="F53" s="13"/>
      <c r="G53" s="10">
        <f t="shared" si="1"/>
        <v>0</v>
      </c>
      <c r="H53" s="16">
        <f>H51/H52*1000</f>
        <v>426.30508474576271</v>
      </c>
      <c r="I53" s="13"/>
      <c r="J53" s="13"/>
      <c r="K53" s="10">
        <f t="shared" si="2"/>
        <v>0</v>
      </c>
      <c r="L53" s="16"/>
      <c r="M53" s="220"/>
      <c r="N53" s="221"/>
      <c r="T53" s="30">
        <f t="shared" si="0"/>
        <v>0</v>
      </c>
    </row>
    <row r="54" spans="1:20" ht="17.25" customHeight="1">
      <c r="A54" s="8"/>
      <c r="B54" s="20" t="s">
        <v>56</v>
      </c>
      <c r="C54" s="8" t="s">
        <v>4</v>
      </c>
      <c r="D54" s="10">
        <v>7.8079999999999998</v>
      </c>
      <c r="E54" s="8"/>
      <c r="F54" s="55">
        <v>11.26</v>
      </c>
      <c r="G54" s="10">
        <f t="shared" si="1"/>
        <v>11.26</v>
      </c>
      <c r="H54" s="10">
        <v>7.8079999999999998</v>
      </c>
      <c r="I54" s="8"/>
      <c r="J54" s="8">
        <v>11.26</v>
      </c>
      <c r="K54" s="10">
        <f t="shared" si="2"/>
        <v>11.26</v>
      </c>
      <c r="L54" s="16"/>
      <c r="M54" s="220"/>
      <c r="N54" s="221"/>
      <c r="T54" s="30">
        <f t="shared" si="0"/>
        <v>0</v>
      </c>
    </row>
    <row r="55" spans="1:20" ht="17.25" customHeight="1">
      <c r="A55" s="8"/>
      <c r="B55" s="12" t="s">
        <v>13</v>
      </c>
      <c r="C55" s="13" t="s">
        <v>49</v>
      </c>
      <c r="D55" s="14">
        <v>31</v>
      </c>
      <c r="E55" s="13"/>
      <c r="F55" s="8">
        <v>20</v>
      </c>
      <c r="G55" s="10">
        <f t="shared" si="1"/>
        <v>20</v>
      </c>
      <c r="H55" s="14">
        <v>31</v>
      </c>
      <c r="I55" s="13"/>
      <c r="J55" s="13">
        <v>20</v>
      </c>
      <c r="K55" s="10">
        <f t="shared" si="2"/>
        <v>20</v>
      </c>
      <c r="L55" s="16"/>
      <c r="M55" s="220"/>
      <c r="N55" s="221"/>
      <c r="T55" s="30">
        <f t="shared" si="0"/>
        <v>0</v>
      </c>
    </row>
    <row r="56" spans="1:20" ht="17.25" customHeight="1">
      <c r="A56" s="8"/>
      <c r="B56" s="12" t="s">
        <v>15</v>
      </c>
      <c r="C56" s="13" t="s">
        <v>16</v>
      </c>
      <c r="D56" s="16">
        <f>D54/D55*1000</f>
        <v>251.87096774193546</v>
      </c>
      <c r="E56" s="16"/>
      <c r="F56" s="16">
        <f t="shared" ref="F56" si="24">F54/F55*1000</f>
        <v>563</v>
      </c>
      <c r="G56" s="10">
        <f t="shared" si="1"/>
        <v>563</v>
      </c>
      <c r="H56" s="16">
        <f>H54/H55*1000</f>
        <v>251.87096774193546</v>
      </c>
      <c r="I56" s="16"/>
      <c r="J56" s="16">
        <f t="shared" ref="J56" si="25">J54/J55*1000</f>
        <v>563</v>
      </c>
      <c r="K56" s="10">
        <f t="shared" si="2"/>
        <v>563</v>
      </c>
      <c r="L56" s="16"/>
      <c r="M56" s="220"/>
      <c r="N56" s="221"/>
      <c r="T56" s="30">
        <f t="shared" si="0"/>
        <v>0</v>
      </c>
    </row>
    <row r="57" spans="1:20" ht="17.25" customHeight="1">
      <c r="A57" s="8"/>
      <c r="B57" s="20" t="s">
        <v>57</v>
      </c>
      <c r="C57" s="8" t="s">
        <v>4</v>
      </c>
      <c r="D57" s="10">
        <v>13.96</v>
      </c>
      <c r="E57" s="8"/>
      <c r="F57" s="8"/>
      <c r="G57" s="10">
        <f t="shared" si="1"/>
        <v>0</v>
      </c>
      <c r="H57" s="10">
        <v>13.96</v>
      </c>
      <c r="I57" s="8"/>
      <c r="J57" s="8"/>
      <c r="K57" s="10">
        <f t="shared" si="2"/>
        <v>0</v>
      </c>
      <c r="L57" s="16"/>
      <c r="M57" s="233" t="s">
        <v>291</v>
      </c>
      <c r="N57" s="234"/>
      <c r="T57" s="30">
        <f t="shared" si="0"/>
        <v>0</v>
      </c>
    </row>
    <row r="58" spans="1:20" ht="17.25" customHeight="1">
      <c r="A58" s="8"/>
      <c r="B58" s="12" t="s">
        <v>13</v>
      </c>
      <c r="C58" s="13" t="s">
        <v>49</v>
      </c>
      <c r="D58" s="14">
        <v>33</v>
      </c>
      <c r="E58" s="13"/>
      <c r="F58" s="13"/>
      <c r="G58" s="10">
        <f t="shared" si="1"/>
        <v>0</v>
      </c>
      <c r="H58" s="14">
        <v>33</v>
      </c>
      <c r="I58" s="13"/>
      <c r="J58" s="13"/>
      <c r="K58" s="10">
        <f t="shared" si="2"/>
        <v>0</v>
      </c>
      <c r="L58" s="16"/>
      <c r="M58" s="235"/>
      <c r="N58" s="236"/>
      <c r="T58" s="30">
        <f t="shared" si="0"/>
        <v>0</v>
      </c>
    </row>
    <row r="59" spans="1:20" ht="17.25" customHeight="1">
      <c r="A59" s="8"/>
      <c r="B59" s="12" t="s">
        <v>15</v>
      </c>
      <c r="C59" s="13" t="s">
        <v>16</v>
      </c>
      <c r="D59" s="16">
        <f>D57/D58*1000</f>
        <v>423.03030303030306</v>
      </c>
      <c r="E59" s="13"/>
      <c r="F59" s="13"/>
      <c r="G59" s="10">
        <f t="shared" si="1"/>
        <v>0</v>
      </c>
      <c r="H59" s="16">
        <f>H57/H58*1000</f>
        <v>423.03030303030306</v>
      </c>
      <c r="I59" s="13"/>
      <c r="J59" s="13"/>
      <c r="K59" s="10">
        <f t="shared" si="2"/>
        <v>0</v>
      </c>
      <c r="L59" s="16"/>
      <c r="M59" s="220"/>
      <c r="N59" s="221"/>
      <c r="T59" s="30">
        <f t="shared" si="0"/>
        <v>0</v>
      </c>
    </row>
    <row r="60" spans="1:20" ht="17.25" customHeight="1">
      <c r="A60" s="8"/>
      <c r="B60" s="20" t="s">
        <v>58</v>
      </c>
      <c r="C60" s="8" t="s">
        <v>4</v>
      </c>
      <c r="D60" s="10">
        <v>28.585000000000001</v>
      </c>
      <c r="E60" s="8"/>
      <c r="F60" s="8"/>
      <c r="G60" s="10">
        <f t="shared" si="1"/>
        <v>0</v>
      </c>
      <c r="H60" s="10">
        <v>28.585000000000001</v>
      </c>
      <c r="I60" s="8"/>
      <c r="J60" s="8"/>
      <c r="K60" s="10">
        <f t="shared" si="2"/>
        <v>0</v>
      </c>
      <c r="L60" s="16"/>
      <c r="M60" s="233" t="s">
        <v>291</v>
      </c>
      <c r="N60" s="234"/>
      <c r="T60" s="30">
        <f t="shared" si="0"/>
        <v>0</v>
      </c>
    </row>
    <row r="61" spans="1:20" ht="17.25" customHeight="1">
      <c r="A61" s="8"/>
      <c r="B61" s="12" t="s">
        <v>13</v>
      </c>
      <c r="C61" s="13" t="s">
        <v>49</v>
      </c>
      <c r="D61" s="14">
        <v>70</v>
      </c>
      <c r="E61" s="13"/>
      <c r="F61" s="13"/>
      <c r="G61" s="10">
        <f t="shared" si="1"/>
        <v>0</v>
      </c>
      <c r="H61" s="14">
        <v>70</v>
      </c>
      <c r="I61" s="13"/>
      <c r="J61" s="13"/>
      <c r="K61" s="10">
        <f t="shared" si="2"/>
        <v>0</v>
      </c>
      <c r="L61" s="16"/>
      <c r="M61" s="235"/>
      <c r="N61" s="236"/>
      <c r="T61" s="30">
        <f t="shared" si="0"/>
        <v>0</v>
      </c>
    </row>
    <row r="62" spans="1:20" ht="17.25" customHeight="1">
      <c r="A62" s="8"/>
      <c r="B62" s="12" t="s">
        <v>15</v>
      </c>
      <c r="C62" s="13" t="s">
        <v>16</v>
      </c>
      <c r="D62" s="16">
        <f>D60/D61*1000</f>
        <v>408.35714285714289</v>
      </c>
      <c r="E62" s="13"/>
      <c r="F62" s="13"/>
      <c r="G62" s="10">
        <f t="shared" si="1"/>
        <v>0</v>
      </c>
      <c r="H62" s="16">
        <f>H60/H61*1000</f>
        <v>408.35714285714289</v>
      </c>
      <c r="I62" s="13"/>
      <c r="J62" s="13"/>
      <c r="K62" s="10">
        <f t="shared" si="2"/>
        <v>0</v>
      </c>
      <c r="L62" s="16"/>
      <c r="M62" s="220"/>
      <c r="N62" s="221"/>
      <c r="T62" s="30">
        <f t="shared" si="0"/>
        <v>0</v>
      </c>
    </row>
    <row r="63" spans="1:20" ht="17.25" customHeight="1">
      <c r="A63" s="8"/>
      <c r="B63" s="20" t="s">
        <v>220</v>
      </c>
      <c r="C63" s="8" t="s">
        <v>4</v>
      </c>
      <c r="D63" s="10">
        <v>12.234</v>
      </c>
      <c r="E63" s="8"/>
      <c r="F63" s="8"/>
      <c r="G63" s="10">
        <f t="shared" si="1"/>
        <v>0</v>
      </c>
      <c r="H63" s="10">
        <v>12.234</v>
      </c>
      <c r="I63" s="8"/>
      <c r="J63" s="8"/>
      <c r="K63" s="10">
        <f t="shared" si="2"/>
        <v>0</v>
      </c>
      <c r="L63" s="16"/>
      <c r="M63" s="220"/>
      <c r="N63" s="221"/>
      <c r="T63" s="30">
        <f t="shared" si="0"/>
        <v>0</v>
      </c>
    </row>
    <row r="64" spans="1:20" ht="17.25" customHeight="1">
      <c r="A64" s="8"/>
      <c r="B64" s="12" t="s">
        <v>13</v>
      </c>
      <c r="C64" s="13" t="s">
        <v>49</v>
      </c>
      <c r="D64" s="14">
        <v>23</v>
      </c>
      <c r="E64" s="13"/>
      <c r="F64" s="13"/>
      <c r="G64" s="10">
        <f t="shared" si="1"/>
        <v>0</v>
      </c>
      <c r="H64" s="14">
        <v>23</v>
      </c>
      <c r="I64" s="13"/>
      <c r="J64" s="13"/>
      <c r="K64" s="10">
        <f t="shared" si="2"/>
        <v>0</v>
      </c>
      <c r="L64" s="16"/>
      <c r="M64" s="220"/>
      <c r="N64" s="221"/>
      <c r="T64" s="30">
        <f t="shared" si="0"/>
        <v>0</v>
      </c>
    </row>
    <row r="65" spans="1:20" ht="17.25" customHeight="1">
      <c r="A65" s="8"/>
      <c r="B65" s="12" t="s">
        <v>15</v>
      </c>
      <c r="C65" s="13" t="s">
        <v>16</v>
      </c>
      <c r="D65" s="16">
        <f>D63/D64*1000</f>
        <v>531.91304347826087</v>
      </c>
      <c r="E65" s="13"/>
      <c r="F65" s="13"/>
      <c r="G65" s="10">
        <f t="shared" si="1"/>
        <v>0</v>
      </c>
      <c r="H65" s="16">
        <f>H63/H64*1000</f>
        <v>531.91304347826087</v>
      </c>
      <c r="I65" s="13"/>
      <c r="J65" s="13"/>
      <c r="K65" s="10">
        <f t="shared" si="2"/>
        <v>0</v>
      </c>
      <c r="L65" s="16"/>
      <c r="M65" s="220"/>
      <c r="N65" s="221"/>
      <c r="T65" s="30">
        <f t="shared" si="0"/>
        <v>0</v>
      </c>
    </row>
    <row r="66" spans="1:20" ht="17.25" customHeight="1">
      <c r="A66" s="8"/>
      <c r="B66" s="9" t="s">
        <v>59</v>
      </c>
      <c r="C66" s="8" t="s">
        <v>4</v>
      </c>
      <c r="D66" s="10">
        <v>2.8610000000000002</v>
      </c>
      <c r="E66" s="8"/>
      <c r="F66" s="8"/>
      <c r="G66" s="10">
        <f t="shared" si="1"/>
        <v>0</v>
      </c>
      <c r="H66" s="10">
        <v>2.8610000000000002</v>
      </c>
      <c r="I66" s="8"/>
      <c r="J66" s="8"/>
      <c r="K66" s="10">
        <f t="shared" si="2"/>
        <v>0</v>
      </c>
      <c r="L66" s="16"/>
      <c r="M66" s="220"/>
      <c r="N66" s="221"/>
      <c r="T66" s="30">
        <f t="shared" si="0"/>
        <v>0</v>
      </c>
    </row>
    <row r="67" spans="1:20" ht="17.25" customHeight="1">
      <c r="A67" s="8"/>
      <c r="B67" s="12" t="s">
        <v>13</v>
      </c>
      <c r="C67" s="13" t="s">
        <v>49</v>
      </c>
      <c r="D67" s="14">
        <v>2</v>
      </c>
      <c r="E67" s="13"/>
      <c r="F67" s="13"/>
      <c r="G67" s="10">
        <f t="shared" si="1"/>
        <v>0</v>
      </c>
      <c r="H67" s="14">
        <v>2</v>
      </c>
      <c r="I67" s="13"/>
      <c r="J67" s="13"/>
      <c r="K67" s="10">
        <f t="shared" si="2"/>
        <v>0</v>
      </c>
      <c r="L67" s="16"/>
      <c r="M67" s="220"/>
      <c r="N67" s="221"/>
      <c r="T67" s="30">
        <f t="shared" si="0"/>
        <v>0</v>
      </c>
    </row>
    <row r="68" spans="1:20" ht="17.25" customHeight="1">
      <c r="A68" s="8"/>
      <c r="B68" s="12" t="s">
        <v>15</v>
      </c>
      <c r="C68" s="13" t="s">
        <v>16</v>
      </c>
      <c r="D68" s="16">
        <f>D66/D67*1000</f>
        <v>1430.5</v>
      </c>
      <c r="E68" s="13"/>
      <c r="F68" s="13"/>
      <c r="G68" s="10">
        <f t="shared" si="1"/>
        <v>0</v>
      </c>
      <c r="H68" s="16">
        <f>H66/H67*1000</f>
        <v>1430.5</v>
      </c>
      <c r="I68" s="13"/>
      <c r="J68" s="13"/>
      <c r="K68" s="10">
        <f t="shared" si="2"/>
        <v>0</v>
      </c>
      <c r="L68" s="16"/>
      <c r="M68" s="220"/>
      <c r="N68" s="221"/>
      <c r="T68" s="30">
        <f t="shared" si="0"/>
        <v>0</v>
      </c>
    </row>
    <row r="69" spans="1:20" ht="17.25" customHeight="1">
      <c r="A69" s="8"/>
      <c r="B69" s="20" t="s">
        <v>60</v>
      </c>
      <c r="C69" s="8" t="s">
        <v>4</v>
      </c>
      <c r="D69" s="10">
        <v>10.007999999999999</v>
      </c>
      <c r="E69" s="8"/>
      <c r="F69" s="8"/>
      <c r="G69" s="10">
        <f t="shared" si="1"/>
        <v>0</v>
      </c>
      <c r="H69" s="10">
        <v>10.007999999999999</v>
      </c>
      <c r="I69" s="8"/>
      <c r="J69" s="8"/>
      <c r="K69" s="10">
        <f t="shared" si="2"/>
        <v>0</v>
      </c>
      <c r="L69" s="16"/>
      <c r="M69" s="233" t="s">
        <v>292</v>
      </c>
      <c r="N69" s="234"/>
      <c r="T69" s="30">
        <f t="shared" si="0"/>
        <v>0</v>
      </c>
    </row>
    <row r="70" spans="1:20" ht="17.25" customHeight="1">
      <c r="A70" s="8"/>
      <c r="B70" s="12" t="s">
        <v>13</v>
      </c>
      <c r="C70" s="13" t="s">
        <v>61</v>
      </c>
      <c r="D70" s="14">
        <v>18</v>
      </c>
      <c r="E70" s="13"/>
      <c r="F70" s="13"/>
      <c r="G70" s="10">
        <f t="shared" si="1"/>
        <v>0</v>
      </c>
      <c r="H70" s="14">
        <v>18</v>
      </c>
      <c r="I70" s="13"/>
      <c r="J70" s="13"/>
      <c r="K70" s="10">
        <f t="shared" si="2"/>
        <v>0</v>
      </c>
      <c r="L70" s="16"/>
      <c r="M70" s="235"/>
      <c r="N70" s="236"/>
      <c r="T70" s="30">
        <f t="shared" si="0"/>
        <v>0</v>
      </c>
    </row>
    <row r="71" spans="1:20" ht="17.25" customHeight="1">
      <c r="A71" s="8"/>
      <c r="B71" s="12" t="s">
        <v>15</v>
      </c>
      <c r="C71" s="13" t="s">
        <v>16</v>
      </c>
      <c r="D71" s="16">
        <f>D69/D70*1000</f>
        <v>555.99999999999989</v>
      </c>
      <c r="E71" s="13"/>
      <c r="F71" s="13"/>
      <c r="G71" s="10">
        <f t="shared" si="1"/>
        <v>0</v>
      </c>
      <c r="H71" s="16">
        <f>H69/H70*1000</f>
        <v>555.99999999999989</v>
      </c>
      <c r="I71" s="13"/>
      <c r="J71" s="13"/>
      <c r="K71" s="10">
        <f t="shared" si="2"/>
        <v>0</v>
      </c>
      <c r="L71" s="16"/>
      <c r="M71" s="220"/>
      <c r="N71" s="221"/>
      <c r="T71" s="30">
        <f t="shared" si="0"/>
        <v>0</v>
      </c>
    </row>
    <row r="72" spans="1:20" ht="17.25" customHeight="1">
      <c r="A72" s="18" t="s">
        <v>62</v>
      </c>
      <c r="B72" s="20" t="s">
        <v>63</v>
      </c>
      <c r="C72" s="8" t="s">
        <v>4</v>
      </c>
      <c r="D72" s="10">
        <f>D73</f>
        <v>26517.671000000002</v>
      </c>
      <c r="E72" s="8">
        <v>24306.667000000001</v>
      </c>
      <c r="F72" s="55">
        <v>28328.992999999999</v>
      </c>
      <c r="G72" s="10">
        <f t="shared" si="1"/>
        <v>4022.3259999999973</v>
      </c>
      <c r="H72" s="10">
        <f>H73</f>
        <v>26517.671000000002</v>
      </c>
      <c r="I72" s="8">
        <v>24306.667000000001</v>
      </c>
      <c r="J72" s="8">
        <v>28328.992999999999</v>
      </c>
      <c r="K72" s="10">
        <f t="shared" si="2"/>
        <v>4022.3259999999973</v>
      </c>
      <c r="L72" s="16">
        <f t="shared" si="3"/>
        <v>16.548241682004353</v>
      </c>
      <c r="M72" s="220"/>
      <c r="N72" s="221"/>
      <c r="T72" s="30">
        <f t="shared" si="0"/>
        <v>0</v>
      </c>
    </row>
    <row r="73" spans="1:20" ht="17.25" customHeight="1">
      <c r="A73" s="8"/>
      <c r="B73" s="28" t="s">
        <v>64</v>
      </c>
      <c r="C73" s="8" t="s">
        <v>4</v>
      </c>
      <c r="D73" s="10">
        <f>D75+D78+D81+D84</f>
        <v>26517.671000000002</v>
      </c>
      <c r="E73" s="10">
        <f t="shared" ref="E73:F73" si="26">E75+E78+E81+E84</f>
        <v>0</v>
      </c>
      <c r="F73" s="10">
        <f t="shared" si="26"/>
        <v>28328.995000000003</v>
      </c>
      <c r="G73" s="10">
        <f t="shared" si="1"/>
        <v>28328.995000000003</v>
      </c>
      <c r="H73" s="10">
        <f>H75+H78+H81+H84</f>
        <v>26517.671000000002</v>
      </c>
      <c r="I73" s="10">
        <f t="shared" ref="I73:J73" si="27">I75+I78+I81+I84</f>
        <v>0</v>
      </c>
      <c r="J73" s="10">
        <f t="shared" si="27"/>
        <v>28328.995000000003</v>
      </c>
      <c r="K73" s="10">
        <f t="shared" si="2"/>
        <v>28328.995000000003</v>
      </c>
      <c r="L73" s="16"/>
      <c r="M73" s="220"/>
      <c r="N73" s="221"/>
      <c r="T73" s="30">
        <f t="shared" ref="T73:T136" si="28">J73-F73</f>
        <v>0</v>
      </c>
    </row>
    <row r="74" spans="1:20" ht="17.25" customHeight="1">
      <c r="A74" s="8"/>
      <c r="B74" s="28" t="s">
        <v>65</v>
      </c>
      <c r="C74" s="22" t="s">
        <v>66</v>
      </c>
      <c r="D74" s="14">
        <f t="shared" ref="D74:E74" si="29">D76+D79+D82+D85</f>
        <v>1280770</v>
      </c>
      <c r="E74" s="14">
        <f t="shared" si="29"/>
        <v>0</v>
      </c>
      <c r="F74" s="14">
        <f>F76+F79+F82+F85</f>
        <v>1380698</v>
      </c>
      <c r="G74" s="14">
        <f t="shared" si="1"/>
        <v>1380698</v>
      </c>
      <c r="H74" s="14">
        <f t="shared" ref="H74" si="30">H76+H79+H82+H85</f>
        <v>1280770</v>
      </c>
      <c r="I74" s="22"/>
      <c r="J74" s="14">
        <f>J76+J79+J82+J85</f>
        <v>1387395.79</v>
      </c>
      <c r="K74" s="14">
        <f t="shared" si="2"/>
        <v>1387395.79</v>
      </c>
      <c r="L74" s="16"/>
      <c r="M74" s="220"/>
      <c r="N74" s="221"/>
      <c r="T74" s="30">
        <f t="shared" si="28"/>
        <v>6697.7900000000373</v>
      </c>
    </row>
    <row r="75" spans="1:20" ht="36" customHeight="1">
      <c r="A75" s="8"/>
      <c r="B75" s="12" t="s">
        <v>67</v>
      </c>
      <c r="C75" s="8" t="s">
        <v>4</v>
      </c>
      <c r="D75" s="10">
        <v>1338.4829999999999</v>
      </c>
      <c r="E75" s="8"/>
      <c r="F75" s="8">
        <f>2506.615-F142</f>
        <v>2381.567</v>
      </c>
      <c r="G75" s="10">
        <f t="shared" ref="G75:G138" si="31">F75-E75</f>
        <v>2381.567</v>
      </c>
      <c r="H75" s="10">
        <v>1338.4829999999999</v>
      </c>
      <c r="I75" s="8"/>
      <c r="J75" s="8">
        <f>2506.615-J142</f>
        <v>2381.567</v>
      </c>
      <c r="K75" s="10">
        <f t="shared" ref="K75:K139" si="32">J75-I75</f>
        <v>2381.567</v>
      </c>
      <c r="L75" s="16"/>
      <c r="M75" s="220"/>
      <c r="N75" s="221"/>
      <c r="T75" s="30">
        <f t="shared" si="28"/>
        <v>0</v>
      </c>
    </row>
    <row r="76" spans="1:20" ht="17.25" customHeight="1">
      <c r="A76" s="8"/>
      <c r="B76" s="12" t="s">
        <v>68</v>
      </c>
      <c r="C76" s="22" t="s">
        <v>66</v>
      </c>
      <c r="D76" s="14">
        <v>68465</v>
      </c>
      <c r="E76" s="22"/>
      <c r="F76" s="61">
        <f>64929.79+65538-F143</f>
        <v>123770.00000000001</v>
      </c>
      <c r="G76" s="14">
        <f t="shared" si="31"/>
        <v>123770.00000000001</v>
      </c>
      <c r="H76" s="14">
        <v>68465</v>
      </c>
      <c r="I76" s="22"/>
      <c r="J76" s="61">
        <f>64929.79+65538-J143</f>
        <v>130467.79000000001</v>
      </c>
      <c r="K76" s="14">
        <f t="shared" si="32"/>
        <v>130467.79000000001</v>
      </c>
      <c r="L76" s="16"/>
      <c r="M76" s="220"/>
      <c r="N76" s="221"/>
      <c r="T76" s="30">
        <f t="shared" si="28"/>
        <v>6697.7899999999936</v>
      </c>
    </row>
    <row r="77" spans="1:20" ht="17.25" customHeight="1">
      <c r="A77" s="8"/>
      <c r="B77" s="12" t="s">
        <v>15</v>
      </c>
      <c r="C77" s="13" t="s">
        <v>16</v>
      </c>
      <c r="D77" s="16">
        <f>D75/D76*1000</f>
        <v>19.54988680347623</v>
      </c>
      <c r="E77" s="16"/>
      <c r="F77" s="16">
        <f t="shared" ref="F77" si="33">F75/F76*1000</f>
        <v>19.241876060434677</v>
      </c>
      <c r="G77" s="10">
        <f t="shared" si="31"/>
        <v>19.241876060434677</v>
      </c>
      <c r="H77" s="16">
        <f>H75/H76*1000</f>
        <v>19.54988680347623</v>
      </c>
      <c r="I77" s="13"/>
      <c r="J77" s="16">
        <f t="shared" ref="J77" si="34">J75/J76*1000</f>
        <v>18.254061021498099</v>
      </c>
      <c r="K77" s="10">
        <f t="shared" si="32"/>
        <v>18.254061021498099</v>
      </c>
      <c r="L77" s="16"/>
      <c r="M77" s="220"/>
      <c r="N77" s="221"/>
      <c r="T77" s="30">
        <f t="shared" si="28"/>
        <v>-0.98781503893657785</v>
      </c>
    </row>
    <row r="78" spans="1:20" ht="17.25" customHeight="1">
      <c r="A78" s="8"/>
      <c r="B78" s="12" t="s">
        <v>69</v>
      </c>
      <c r="C78" s="8" t="s">
        <v>4</v>
      </c>
      <c r="D78" s="10">
        <v>1253.6469999999999</v>
      </c>
      <c r="E78" s="8"/>
      <c r="F78" s="55">
        <v>1697.5540000000001</v>
      </c>
      <c r="G78" s="10">
        <f t="shared" si="31"/>
        <v>1697.5540000000001</v>
      </c>
      <c r="H78" s="10">
        <v>1253.6469999999999</v>
      </c>
      <c r="I78" s="8"/>
      <c r="J78" s="55">
        <v>1697.5540000000001</v>
      </c>
      <c r="K78" s="10">
        <f t="shared" si="32"/>
        <v>1697.5540000000001</v>
      </c>
      <c r="L78" s="16"/>
      <c r="M78" s="220"/>
      <c r="N78" s="221"/>
      <c r="T78" s="30">
        <f t="shared" si="28"/>
        <v>0</v>
      </c>
    </row>
    <row r="79" spans="1:20" ht="17.25" customHeight="1">
      <c r="A79" s="8"/>
      <c r="B79" s="12" t="s">
        <v>68</v>
      </c>
      <c r="C79" s="22" t="s">
        <v>66</v>
      </c>
      <c r="D79" s="14">
        <v>63799</v>
      </c>
      <c r="E79" s="22"/>
      <c r="F79" s="59">
        <f>84432+1608</f>
        <v>86040</v>
      </c>
      <c r="G79" s="10">
        <f t="shared" si="31"/>
        <v>86040</v>
      </c>
      <c r="H79" s="14">
        <v>63799</v>
      </c>
      <c r="I79" s="22"/>
      <c r="J79" s="59">
        <f>84432+1608</f>
        <v>86040</v>
      </c>
      <c r="K79" s="14">
        <f t="shared" si="32"/>
        <v>86040</v>
      </c>
      <c r="L79" s="16"/>
      <c r="M79" s="220"/>
      <c r="N79" s="221"/>
      <c r="T79" s="30">
        <f t="shared" si="28"/>
        <v>0</v>
      </c>
    </row>
    <row r="80" spans="1:20" ht="17.25" customHeight="1">
      <c r="A80" s="8"/>
      <c r="B80" s="12" t="s">
        <v>15</v>
      </c>
      <c r="C80" s="13" t="s">
        <v>16</v>
      </c>
      <c r="D80" s="16">
        <f>D78/D79*1000</f>
        <v>19.649947491339987</v>
      </c>
      <c r="E80" s="16"/>
      <c r="F80" s="16">
        <f t="shared" ref="F80" si="35">F78/F79*1000</f>
        <v>19.729823337982335</v>
      </c>
      <c r="G80" s="10">
        <f t="shared" si="31"/>
        <v>19.729823337982335</v>
      </c>
      <c r="H80" s="16">
        <f>H78/H79*1000</f>
        <v>19.649947491339987</v>
      </c>
      <c r="I80" s="13"/>
      <c r="J80" s="16">
        <f t="shared" ref="J80" si="36">J78/J79*1000</f>
        <v>19.729823337982335</v>
      </c>
      <c r="K80" s="10">
        <f t="shared" si="32"/>
        <v>19.729823337982335</v>
      </c>
      <c r="L80" s="16"/>
      <c r="M80" s="220"/>
      <c r="N80" s="221"/>
      <c r="T80" s="30">
        <f t="shared" si="28"/>
        <v>0</v>
      </c>
    </row>
    <row r="81" spans="1:20" ht="36" customHeight="1">
      <c r="A81" s="8"/>
      <c r="B81" s="12" t="s">
        <v>70</v>
      </c>
      <c r="C81" s="8" t="s">
        <v>4</v>
      </c>
      <c r="D81" s="10">
        <v>3651.203</v>
      </c>
      <c r="E81" s="8"/>
      <c r="F81" s="55">
        <v>4298.3509999999997</v>
      </c>
      <c r="G81" s="10">
        <f t="shared" si="31"/>
        <v>4298.3509999999997</v>
      </c>
      <c r="H81" s="10">
        <v>3651.203</v>
      </c>
      <c r="I81" s="8"/>
      <c r="J81" s="55">
        <v>4298.3509999999997</v>
      </c>
      <c r="K81" s="10">
        <f t="shared" si="32"/>
        <v>4298.3509999999997</v>
      </c>
      <c r="L81" s="16"/>
      <c r="M81" s="220"/>
      <c r="N81" s="221"/>
      <c r="T81" s="30">
        <f t="shared" si="28"/>
        <v>0</v>
      </c>
    </row>
    <row r="82" spans="1:20" ht="17.25" customHeight="1">
      <c r="A82" s="8"/>
      <c r="B82" s="12" t="s">
        <v>68</v>
      </c>
      <c r="C82" s="22" t="s">
        <v>66</v>
      </c>
      <c r="D82" s="14">
        <v>185812</v>
      </c>
      <c r="E82" s="22"/>
      <c r="F82" s="59">
        <v>217638</v>
      </c>
      <c r="G82" s="14">
        <f t="shared" si="31"/>
        <v>217638</v>
      </c>
      <c r="H82" s="14">
        <v>185812</v>
      </c>
      <c r="I82" s="22"/>
      <c r="J82" s="59">
        <v>217638</v>
      </c>
      <c r="K82" s="14">
        <f t="shared" si="32"/>
        <v>217638</v>
      </c>
      <c r="L82" s="16"/>
      <c r="M82" s="220"/>
      <c r="N82" s="221"/>
      <c r="T82" s="30">
        <f t="shared" si="28"/>
        <v>0</v>
      </c>
    </row>
    <row r="83" spans="1:20" ht="17.25" customHeight="1">
      <c r="A83" s="8"/>
      <c r="B83" s="12" t="s">
        <v>15</v>
      </c>
      <c r="C83" s="13" t="s">
        <v>16</v>
      </c>
      <c r="D83" s="16">
        <f>D81/D82*1000</f>
        <v>19.64998493100553</v>
      </c>
      <c r="E83" s="16"/>
      <c r="F83" s="16">
        <f t="shared" ref="F83" si="37">F81/F82*1000</f>
        <v>19.750002297392918</v>
      </c>
      <c r="G83" s="10">
        <f t="shared" si="31"/>
        <v>19.750002297392918</v>
      </c>
      <c r="H83" s="16">
        <f>H81/H82*1000</f>
        <v>19.64998493100553</v>
      </c>
      <c r="I83" s="13"/>
      <c r="J83" s="16">
        <f t="shared" ref="J83" si="38">J81/J82*1000</f>
        <v>19.750002297392918</v>
      </c>
      <c r="K83" s="10">
        <f t="shared" si="32"/>
        <v>19.750002297392918</v>
      </c>
      <c r="L83" s="16"/>
      <c r="M83" s="220"/>
      <c r="N83" s="221"/>
      <c r="T83" s="30">
        <f t="shared" si="28"/>
        <v>0</v>
      </c>
    </row>
    <row r="84" spans="1:20" ht="17.25" customHeight="1">
      <c r="A84" s="8"/>
      <c r="B84" s="12" t="s">
        <v>71</v>
      </c>
      <c r="C84" s="8" t="s">
        <v>4</v>
      </c>
      <c r="D84" s="10">
        <v>20274.338</v>
      </c>
      <c r="E84" s="8"/>
      <c r="F84" s="55">
        <v>19951.523000000001</v>
      </c>
      <c r="G84" s="10">
        <f t="shared" si="31"/>
        <v>19951.523000000001</v>
      </c>
      <c r="H84" s="10">
        <v>20274.338</v>
      </c>
      <c r="I84" s="8"/>
      <c r="J84" s="55">
        <v>19951.523000000001</v>
      </c>
      <c r="K84" s="10">
        <f t="shared" si="32"/>
        <v>19951.523000000001</v>
      </c>
      <c r="L84" s="16"/>
      <c r="M84" s="233" t="s">
        <v>297</v>
      </c>
      <c r="N84" s="234"/>
      <c r="T84" s="30">
        <f t="shared" si="28"/>
        <v>0</v>
      </c>
    </row>
    <row r="85" spans="1:20" ht="26.25" customHeight="1">
      <c r="A85" s="8"/>
      <c r="B85" s="12" t="s">
        <v>68</v>
      </c>
      <c r="C85" s="22" t="s">
        <v>66</v>
      </c>
      <c r="D85" s="14">
        <v>962694</v>
      </c>
      <c r="E85" s="22"/>
      <c r="F85" s="59">
        <v>953250</v>
      </c>
      <c r="G85" s="14">
        <f t="shared" si="31"/>
        <v>953250</v>
      </c>
      <c r="H85" s="14">
        <v>962694</v>
      </c>
      <c r="I85" s="22"/>
      <c r="J85" s="59">
        <v>953250</v>
      </c>
      <c r="K85" s="14">
        <f t="shared" si="32"/>
        <v>953250</v>
      </c>
      <c r="L85" s="16"/>
      <c r="M85" s="235"/>
      <c r="N85" s="236"/>
      <c r="T85" s="30">
        <f t="shared" si="28"/>
        <v>0</v>
      </c>
    </row>
    <row r="86" spans="1:20" ht="17.25" customHeight="1">
      <c r="A86" s="8"/>
      <c r="B86" s="12" t="s">
        <v>15</v>
      </c>
      <c r="C86" s="13" t="s">
        <v>16</v>
      </c>
      <c r="D86" s="16">
        <f>D84/D85*1000</f>
        <v>21.06000245145394</v>
      </c>
      <c r="E86" s="16"/>
      <c r="F86" s="16">
        <f t="shared" ref="F86" si="39">F84/F85*1000</f>
        <v>20.930000524521375</v>
      </c>
      <c r="G86" s="10">
        <f t="shared" si="31"/>
        <v>20.930000524521375</v>
      </c>
      <c r="H86" s="16">
        <f>H84/H85*1000</f>
        <v>21.06000245145394</v>
      </c>
      <c r="I86" s="13"/>
      <c r="J86" s="16">
        <f t="shared" ref="J86" si="40">J84/J85*1000</f>
        <v>20.930000524521375</v>
      </c>
      <c r="K86" s="10">
        <f t="shared" si="32"/>
        <v>20.930000524521375</v>
      </c>
      <c r="L86" s="16"/>
      <c r="M86" s="220"/>
      <c r="N86" s="221"/>
      <c r="T86" s="30">
        <f t="shared" si="28"/>
        <v>0</v>
      </c>
    </row>
    <row r="87" spans="1:20" ht="17.25" customHeight="1">
      <c r="A87" s="31" t="s">
        <v>72</v>
      </c>
      <c r="B87" s="6" t="s">
        <v>73</v>
      </c>
      <c r="C87" s="31" t="s">
        <v>4</v>
      </c>
      <c r="D87" s="7">
        <f>D88+D89+D90</f>
        <v>22015.745000000003</v>
      </c>
      <c r="E87" s="21">
        <f>E88+E89+E90+E91</f>
        <v>20888.748999999996</v>
      </c>
      <c r="F87" s="7">
        <f>F88+F89+F90+F91+F92</f>
        <v>18102.358</v>
      </c>
      <c r="G87" s="10">
        <f t="shared" si="31"/>
        <v>-2786.390999999996</v>
      </c>
      <c r="H87" s="7">
        <f>H88+H89+H90</f>
        <v>22015.745000000003</v>
      </c>
      <c r="I87" s="7">
        <f>I88+I89+I90+I91</f>
        <v>20888.748999999996</v>
      </c>
      <c r="J87" s="7">
        <f>J88+J89+J90+J91+J92</f>
        <v>18102.358</v>
      </c>
      <c r="K87" s="10">
        <f t="shared" si="32"/>
        <v>-2786.390999999996</v>
      </c>
      <c r="L87" s="16">
        <f t="shared" ref="L87:L139" si="41">K87/I87*100</f>
        <v>-13.339195181099628</v>
      </c>
      <c r="M87" s="220"/>
      <c r="N87" s="221"/>
      <c r="P87">
        <v>250665</v>
      </c>
      <c r="S87">
        <f>P87/12</f>
        <v>20888.75</v>
      </c>
      <c r="T87" s="30">
        <f t="shared" si="28"/>
        <v>0</v>
      </c>
    </row>
    <row r="88" spans="1:20" ht="17.25" customHeight="1">
      <c r="A88" s="8" t="s">
        <v>74</v>
      </c>
      <c r="B88" s="9" t="s">
        <v>75</v>
      </c>
      <c r="C88" s="8" t="s">
        <v>4</v>
      </c>
      <c r="D88" s="10">
        <v>20032.525000000001</v>
      </c>
      <c r="E88" s="8">
        <v>18751.082999999999</v>
      </c>
      <c r="F88" s="55">
        <f>17063.004-F92-F98</f>
        <v>16283.471000000001</v>
      </c>
      <c r="G88" s="10">
        <f t="shared" si="31"/>
        <v>-2467.6119999999974</v>
      </c>
      <c r="H88" s="10">
        <v>20032.525000000001</v>
      </c>
      <c r="I88" s="8">
        <v>18751.082999999999</v>
      </c>
      <c r="J88" s="8">
        <f>F88</f>
        <v>16283.471000000001</v>
      </c>
      <c r="K88" s="10">
        <f t="shared" si="32"/>
        <v>-2467.6119999999974</v>
      </c>
      <c r="L88" s="16">
        <f t="shared" si="41"/>
        <v>-13.15983722113543</v>
      </c>
      <c r="M88" s="227"/>
      <c r="N88" s="228"/>
      <c r="O88" s="85">
        <v>17063.004000000001</v>
      </c>
      <c r="P88">
        <v>225013</v>
      </c>
      <c r="S88">
        <f>P88/12</f>
        <v>18751.083333333332</v>
      </c>
      <c r="T88" s="30">
        <f t="shared" si="28"/>
        <v>0</v>
      </c>
    </row>
    <row r="89" spans="1:20" ht="17.25" customHeight="1">
      <c r="A89" s="8" t="s">
        <v>76</v>
      </c>
      <c r="B89" s="9" t="s">
        <v>77</v>
      </c>
      <c r="C89" s="8" t="s">
        <v>4</v>
      </c>
      <c r="D89" s="10">
        <v>1101.788</v>
      </c>
      <c r="E89" s="8">
        <v>1012.583</v>
      </c>
      <c r="F89" s="55">
        <v>910.21199999999999</v>
      </c>
      <c r="G89" s="10">
        <f t="shared" si="31"/>
        <v>-102.37099999999998</v>
      </c>
      <c r="H89" s="10">
        <v>1101.788</v>
      </c>
      <c r="I89" s="8">
        <v>1012.583</v>
      </c>
      <c r="J89" s="8">
        <f t="shared" ref="J89:J92" si="42">F89</f>
        <v>910.21199999999999</v>
      </c>
      <c r="K89" s="10">
        <f t="shared" si="32"/>
        <v>-102.37099999999998</v>
      </c>
      <c r="L89" s="16">
        <f t="shared" si="41"/>
        <v>-10.109887288251924</v>
      </c>
      <c r="M89" s="227"/>
      <c r="N89" s="228"/>
      <c r="P89">
        <v>12151</v>
      </c>
      <c r="S89">
        <f t="shared" ref="S89:S94" si="43">P89/12</f>
        <v>1012.5833333333334</v>
      </c>
      <c r="T89" s="30">
        <f t="shared" si="28"/>
        <v>0</v>
      </c>
    </row>
    <row r="90" spans="1:20" ht="17.25" customHeight="1">
      <c r="A90" s="8" t="s">
        <v>308</v>
      </c>
      <c r="B90" s="9" t="s">
        <v>307</v>
      </c>
      <c r="C90" s="8" t="s">
        <v>4</v>
      </c>
      <c r="D90" s="10">
        <v>881.43200000000002</v>
      </c>
      <c r="E90" s="8">
        <v>843.83299999999997</v>
      </c>
      <c r="F90" s="55">
        <v>507.38400000000001</v>
      </c>
      <c r="G90" s="10">
        <f t="shared" si="31"/>
        <v>-336.44899999999996</v>
      </c>
      <c r="H90" s="10">
        <v>881.43200000000002</v>
      </c>
      <c r="I90" s="8">
        <v>843.83299999999997</v>
      </c>
      <c r="J90" s="8">
        <f t="shared" si="42"/>
        <v>507.38400000000001</v>
      </c>
      <c r="K90" s="10">
        <f t="shared" si="32"/>
        <v>-336.44899999999996</v>
      </c>
      <c r="L90" s="16">
        <f t="shared" si="41"/>
        <v>-39.8715148613529</v>
      </c>
      <c r="M90" s="40"/>
      <c r="N90" s="41"/>
      <c r="P90">
        <v>10126</v>
      </c>
      <c r="S90">
        <f t="shared" si="43"/>
        <v>843.83333333333337</v>
      </c>
      <c r="T90" s="30">
        <f t="shared" si="28"/>
        <v>0</v>
      </c>
    </row>
    <row r="91" spans="1:20" ht="17.25" customHeight="1">
      <c r="A91" s="8" t="s">
        <v>309</v>
      </c>
      <c r="B91" s="9" t="s">
        <v>310</v>
      </c>
      <c r="C91" s="8" t="s">
        <v>4</v>
      </c>
      <c r="D91" s="10"/>
      <c r="E91" s="8">
        <v>281.25</v>
      </c>
      <c r="F91" s="55">
        <v>238.761</v>
      </c>
      <c r="G91" s="10">
        <f t="shared" si="31"/>
        <v>-42.489000000000004</v>
      </c>
      <c r="H91" s="10"/>
      <c r="I91" s="8">
        <v>281.25</v>
      </c>
      <c r="J91" s="8">
        <f t="shared" si="42"/>
        <v>238.761</v>
      </c>
      <c r="K91" s="10">
        <f t="shared" si="32"/>
        <v>-42.489000000000004</v>
      </c>
      <c r="L91" s="16">
        <f t="shared" si="41"/>
        <v>-15.107200000000001</v>
      </c>
      <c r="M91" s="40"/>
      <c r="N91" s="41"/>
      <c r="P91">
        <v>3375</v>
      </c>
      <c r="S91">
        <f t="shared" si="43"/>
        <v>281.25</v>
      </c>
      <c r="T91" s="30">
        <f t="shared" si="28"/>
        <v>0</v>
      </c>
    </row>
    <row r="92" spans="1:20" ht="17.25" customHeight="1">
      <c r="A92" s="8"/>
      <c r="B92" s="9" t="s">
        <v>316</v>
      </c>
      <c r="C92" s="8" t="s">
        <v>4</v>
      </c>
      <c r="D92" s="10"/>
      <c r="E92" s="8"/>
      <c r="F92" s="8">
        <v>162.53</v>
      </c>
      <c r="G92" s="10"/>
      <c r="H92" s="10"/>
      <c r="I92" s="8"/>
      <c r="J92" s="8">
        <f t="shared" si="42"/>
        <v>162.53</v>
      </c>
      <c r="K92" s="10"/>
      <c r="L92" s="16"/>
      <c r="M92" s="52"/>
      <c r="N92" s="53"/>
      <c r="T92" s="30">
        <f t="shared" si="28"/>
        <v>0</v>
      </c>
    </row>
    <row r="93" spans="1:20" ht="17.25" customHeight="1">
      <c r="A93" s="31" t="s">
        <v>78</v>
      </c>
      <c r="B93" s="6" t="s">
        <v>79</v>
      </c>
      <c r="C93" s="31" t="s">
        <v>4</v>
      </c>
      <c r="D93" s="7">
        <f>D94</f>
        <v>12258.85</v>
      </c>
      <c r="E93" s="21">
        <f>E94</f>
        <v>12219.75</v>
      </c>
      <c r="F93" s="7">
        <f>F94</f>
        <v>10814.615</v>
      </c>
      <c r="G93" s="10">
        <f t="shared" si="31"/>
        <v>-1405.1350000000002</v>
      </c>
      <c r="H93" s="7">
        <f>H94</f>
        <v>12258.85</v>
      </c>
      <c r="I93" s="21">
        <f>I94</f>
        <v>12219.75</v>
      </c>
      <c r="J93" s="7">
        <f>J94</f>
        <v>10814.615</v>
      </c>
      <c r="K93" s="10">
        <f t="shared" si="32"/>
        <v>-1405.1350000000002</v>
      </c>
      <c r="L93" s="16">
        <f t="shared" si="41"/>
        <v>-11.498885001738991</v>
      </c>
      <c r="M93" s="220"/>
      <c r="N93" s="221"/>
      <c r="T93" s="30">
        <f t="shared" si="28"/>
        <v>0</v>
      </c>
    </row>
    <row r="94" spans="1:20" ht="17.25" customHeight="1">
      <c r="A94" s="23" t="s">
        <v>80</v>
      </c>
      <c r="B94" s="9" t="s">
        <v>81</v>
      </c>
      <c r="C94" s="8" t="s">
        <v>4</v>
      </c>
      <c r="D94" s="10">
        <v>12258.85</v>
      </c>
      <c r="E94" s="8">
        <v>12219.75</v>
      </c>
      <c r="F94" s="55">
        <f>10814.615</f>
        <v>10814.615</v>
      </c>
      <c r="G94" s="10">
        <f t="shared" si="31"/>
        <v>-1405.1350000000002</v>
      </c>
      <c r="H94" s="10">
        <v>12258.85</v>
      </c>
      <c r="I94" s="8">
        <v>12219.75</v>
      </c>
      <c r="J94" s="8">
        <f>F94</f>
        <v>10814.615</v>
      </c>
      <c r="K94" s="10">
        <f t="shared" si="32"/>
        <v>-1405.1350000000002</v>
      </c>
      <c r="L94" s="16">
        <f t="shared" si="41"/>
        <v>-11.498885001738991</v>
      </c>
      <c r="M94" s="220"/>
      <c r="N94" s="221"/>
      <c r="P94">
        <v>146637</v>
      </c>
      <c r="S94">
        <f t="shared" si="43"/>
        <v>12219.75</v>
      </c>
      <c r="T94" s="30">
        <f t="shared" si="28"/>
        <v>0</v>
      </c>
    </row>
    <row r="95" spans="1:20" ht="17.25" customHeight="1">
      <c r="A95" s="31" t="s">
        <v>82</v>
      </c>
      <c r="B95" s="6" t="s">
        <v>83</v>
      </c>
      <c r="C95" s="31" t="s">
        <v>4</v>
      </c>
      <c r="D95" s="7">
        <f t="shared" ref="D95:J95" si="44">D96</f>
        <v>588.22500000000002</v>
      </c>
      <c r="E95" s="7">
        <f t="shared" si="44"/>
        <v>291.66699999999997</v>
      </c>
      <c r="F95" s="7">
        <f t="shared" si="44"/>
        <v>0.76800000000000002</v>
      </c>
      <c r="G95" s="10">
        <f t="shared" si="31"/>
        <v>-290.899</v>
      </c>
      <c r="H95" s="7">
        <f t="shared" si="44"/>
        <v>588.22500000000002</v>
      </c>
      <c r="I95" s="7">
        <f t="shared" si="44"/>
        <v>291.66699999999997</v>
      </c>
      <c r="J95" s="7">
        <f t="shared" si="44"/>
        <v>0.76800000000000002</v>
      </c>
      <c r="K95" s="10">
        <f t="shared" si="32"/>
        <v>-290.899</v>
      </c>
      <c r="L95" s="16">
        <f t="shared" si="41"/>
        <v>-99.736686015215994</v>
      </c>
      <c r="M95" s="220"/>
      <c r="N95" s="221"/>
      <c r="T95" s="30">
        <f t="shared" si="28"/>
        <v>0</v>
      </c>
    </row>
    <row r="96" spans="1:20" ht="54" customHeight="1">
      <c r="A96" s="8" t="s">
        <v>84</v>
      </c>
      <c r="B96" s="9" t="s">
        <v>85</v>
      </c>
      <c r="C96" s="8" t="s">
        <v>4</v>
      </c>
      <c r="D96" s="10">
        <v>588.22500000000002</v>
      </c>
      <c r="E96" s="8">
        <v>291.66699999999997</v>
      </c>
      <c r="F96" s="55">
        <v>0.76800000000000002</v>
      </c>
      <c r="G96" s="10">
        <f t="shared" si="31"/>
        <v>-290.899</v>
      </c>
      <c r="H96" s="10">
        <v>588.22500000000002</v>
      </c>
      <c r="I96" s="8">
        <v>291.66699999999997</v>
      </c>
      <c r="J96" s="8">
        <f>F96</f>
        <v>0.76800000000000002</v>
      </c>
      <c r="K96" s="10">
        <f t="shared" si="32"/>
        <v>-290.899</v>
      </c>
      <c r="L96" s="16">
        <f t="shared" si="41"/>
        <v>-99.736686015215994</v>
      </c>
      <c r="M96" s="227" t="s">
        <v>299</v>
      </c>
      <c r="N96" s="228"/>
      <c r="P96">
        <v>3500</v>
      </c>
      <c r="S96">
        <f>P96/12</f>
        <v>291.66666666666669</v>
      </c>
      <c r="T96" s="30">
        <f t="shared" si="28"/>
        <v>0</v>
      </c>
    </row>
    <row r="97" spans="1:20" ht="17.25" customHeight="1">
      <c r="A97" s="31" t="s">
        <v>86</v>
      </c>
      <c r="B97" s="6" t="s">
        <v>87</v>
      </c>
      <c r="C97" s="31" t="s">
        <v>4</v>
      </c>
      <c r="D97" s="7">
        <f t="shared" ref="D97" si="45">D98+D99+D103+D104+D109+D110</f>
        <v>2575.1889999999999</v>
      </c>
      <c r="E97" s="7">
        <f>E98+E99+E103+E104+E109+E110</f>
        <v>2562.3330000000001</v>
      </c>
      <c r="F97" s="7">
        <f>F98+F99+F103+F104+F109+F110</f>
        <v>1902.6380000000001</v>
      </c>
      <c r="G97" s="10">
        <f t="shared" si="31"/>
        <v>-659.69499999999994</v>
      </c>
      <c r="H97" s="7">
        <f t="shared" ref="H97" si="46">H98+H99+H103+H104+H109+H110</f>
        <v>2575.1889999999999</v>
      </c>
      <c r="I97" s="7">
        <f>I98+I99+I103+I104+I109+I110</f>
        <v>2562.3330000000001</v>
      </c>
      <c r="J97" s="7">
        <f>J98+J99+J103+J104+J109+J110</f>
        <v>1902.6380000000001</v>
      </c>
      <c r="K97" s="10">
        <f t="shared" si="32"/>
        <v>-659.69499999999994</v>
      </c>
      <c r="L97" s="16">
        <f t="shared" si="41"/>
        <v>-25.745872999333024</v>
      </c>
      <c r="M97" s="220"/>
      <c r="N97" s="221"/>
      <c r="T97" s="30">
        <f t="shared" si="28"/>
        <v>0</v>
      </c>
    </row>
    <row r="98" spans="1:20" ht="17.25" customHeight="1">
      <c r="A98" s="8" t="s">
        <v>88</v>
      </c>
      <c r="B98" s="9" t="s">
        <v>89</v>
      </c>
      <c r="C98" s="8" t="s">
        <v>4</v>
      </c>
      <c r="D98" s="10">
        <v>626.41700000000003</v>
      </c>
      <c r="E98" s="8">
        <v>543.08299999999997</v>
      </c>
      <c r="F98" s="8">
        <v>617.00300000000004</v>
      </c>
      <c r="G98" s="10">
        <f t="shared" si="31"/>
        <v>73.920000000000073</v>
      </c>
      <c r="H98" s="10">
        <v>626.41700000000003</v>
      </c>
      <c r="I98" s="8">
        <v>543.08299999999997</v>
      </c>
      <c r="J98" s="8">
        <f>F98</f>
        <v>617.00300000000004</v>
      </c>
      <c r="K98" s="10">
        <f t="shared" si="32"/>
        <v>73.920000000000073</v>
      </c>
      <c r="L98" s="16">
        <f t="shared" si="41"/>
        <v>13.611179138363763</v>
      </c>
      <c r="M98" s="227" t="s">
        <v>298</v>
      </c>
      <c r="N98" s="228"/>
      <c r="P98">
        <v>6517</v>
      </c>
      <c r="S98">
        <f>P98/12</f>
        <v>543.08333333333337</v>
      </c>
      <c r="T98" s="30">
        <f t="shared" si="28"/>
        <v>0</v>
      </c>
    </row>
    <row r="99" spans="1:20" ht="53.25" customHeight="1">
      <c r="A99" s="8" t="s">
        <v>90</v>
      </c>
      <c r="B99" s="20" t="s">
        <v>242</v>
      </c>
      <c r="C99" s="8" t="s">
        <v>4</v>
      </c>
      <c r="D99" s="10">
        <f t="shared" ref="D99" si="47">D100+D101+D102</f>
        <v>107.703</v>
      </c>
      <c r="E99" s="8">
        <v>107.667</v>
      </c>
      <c r="F99" s="8"/>
      <c r="G99" s="10">
        <f t="shared" si="31"/>
        <v>-107.667</v>
      </c>
      <c r="H99" s="10">
        <f t="shared" ref="H99" si="48">H100+H101+H102</f>
        <v>107.703</v>
      </c>
      <c r="I99" s="8">
        <v>107.667</v>
      </c>
      <c r="J99" s="8"/>
      <c r="K99" s="10">
        <f t="shared" si="32"/>
        <v>-107.667</v>
      </c>
      <c r="L99" s="16">
        <f t="shared" si="41"/>
        <v>-100</v>
      </c>
      <c r="M99" s="220"/>
      <c r="N99" s="221"/>
      <c r="P99">
        <v>1292</v>
      </c>
      <c r="S99">
        <f>P99/12</f>
        <v>107.66666666666667</v>
      </c>
      <c r="T99" s="30">
        <f t="shared" si="28"/>
        <v>0</v>
      </c>
    </row>
    <row r="100" spans="1:20" ht="17.25" customHeight="1">
      <c r="A100" s="8" t="s">
        <v>91</v>
      </c>
      <c r="B100" s="20" t="s">
        <v>92</v>
      </c>
      <c r="C100" s="8" t="s">
        <v>4</v>
      </c>
      <c r="D100" s="10">
        <v>45.448999999999998</v>
      </c>
      <c r="E100" s="8"/>
      <c r="F100" s="8"/>
      <c r="G100" s="10">
        <f t="shared" si="31"/>
        <v>0</v>
      </c>
      <c r="H100" s="10">
        <v>45.448999999999998</v>
      </c>
      <c r="I100" s="8"/>
      <c r="J100" s="8"/>
      <c r="K100" s="10">
        <f t="shared" si="32"/>
        <v>0</v>
      </c>
      <c r="L100" s="16"/>
      <c r="M100" s="220"/>
      <c r="N100" s="221"/>
      <c r="T100" s="30">
        <f t="shared" si="28"/>
        <v>0</v>
      </c>
    </row>
    <row r="101" spans="1:20" ht="33.75" customHeight="1">
      <c r="A101" s="8" t="s">
        <v>93</v>
      </c>
      <c r="B101" s="20" t="s">
        <v>94</v>
      </c>
      <c r="C101" s="8" t="s">
        <v>4</v>
      </c>
      <c r="D101" s="10">
        <v>62.253999999999998</v>
      </c>
      <c r="E101" s="8"/>
      <c r="F101" s="8"/>
      <c r="G101" s="10">
        <f t="shared" si="31"/>
        <v>0</v>
      </c>
      <c r="H101" s="10">
        <v>62.253999999999998</v>
      </c>
      <c r="I101" s="8"/>
      <c r="J101" s="8"/>
      <c r="K101" s="10">
        <f t="shared" si="32"/>
        <v>0</v>
      </c>
      <c r="L101" s="16"/>
      <c r="M101" s="220"/>
      <c r="N101" s="221"/>
      <c r="T101" s="30">
        <f t="shared" si="28"/>
        <v>0</v>
      </c>
    </row>
    <row r="102" spans="1:20" ht="33.75" customHeight="1">
      <c r="A102" s="8" t="s">
        <v>95</v>
      </c>
      <c r="B102" s="20" t="s">
        <v>96</v>
      </c>
      <c r="C102" s="8" t="s">
        <v>4</v>
      </c>
      <c r="D102" s="10"/>
      <c r="E102" s="8"/>
      <c r="F102" s="8"/>
      <c r="G102" s="10">
        <f t="shared" si="31"/>
        <v>0</v>
      </c>
      <c r="H102" s="10"/>
      <c r="I102" s="8"/>
      <c r="J102" s="8"/>
      <c r="K102" s="10">
        <f t="shared" si="32"/>
        <v>0</v>
      </c>
      <c r="L102" s="16"/>
      <c r="M102" s="220"/>
      <c r="N102" s="221"/>
      <c r="T102" s="30">
        <f t="shared" si="28"/>
        <v>0</v>
      </c>
    </row>
    <row r="103" spans="1:20" ht="17.25" customHeight="1">
      <c r="A103" s="8" t="s">
        <v>97</v>
      </c>
      <c r="B103" s="20" t="s">
        <v>98</v>
      </c>
      <c r="C103" s="8" t="s">
        <v>4</v>
      </c>
      <c r="D103" s="10">
        <v>1.3089999999999999</v>
      </c>
      <c r="E103" s="8">
        <v>1.333</v>
      </c>
      <c r="F103" s="8"/>
      <c r="G103" s="10">
        <f t="shared" si="31"/>
        <v>-1.333</v>
      </c>
      <c r="H103" s="10">
        <v>1.3089999999999999</v>
      </c>
      <c r="I103" s="8">
        <v>1.333</v>
      </c>
      <c r="J103" s="8"/>
      <c r="K103" s="10">
        <f t="shared" si="32"/>
        <v>-1.333</v>
      </c>
      <c r="L103" s="16">
        <f t="shared" si="41"/>
        <v>-100</v>
      </c>
      <c r="M103" s="220"/>
      <c r="N103" s="221"/>
      <c r="P103">
        <v>16</v>
      </c>
      <c r="S103">
        <f>P103/12</f>
        <v>1.3333333333333333</v>
      </c>
      <c r="T103" s="30">
        <f t="shared" si="28"/>
        <v>0</v>
      </c>
    </row>
    <row r="104" spans="1:20" ht="36" customHeight="1">
      <c r="A104" s="18" t="s">
        <v>105</v>
      </c>
      <c r="B104" s="20" t="s">
        <v>99</v>
      </c>
      <c r="C104" s="8" t="s">
        <v>4</v>
      </c>
      <c r="D104" s="10">
        <f t="shared" ref="D104:F104" si="49">D105+D106+D107+D108</f>
        <v>186.095</v>
      </c>
      <c r="E104" s="10">
        <f t="shared" si="49"/>
        <v>152.833</v>
      </c>
      <c r="F104" s="10">
        <f t="shared" si="49"/>
        <v>59.396999999999998</v>
      </c>
      <c r="G104" s="10">
        <f t="shared" si="31"/>
        <v>-93.436000000000007</v>
      </c>
      <c r="H104" s="10">
        <f t="shared" ref="H104:J104" si="50">H105+H106+H107+H108</f>
        <v>186.095</v>
      </c>
      <c r="I104" s="10">
        <f t="shared" si="50"/>
        <v>152.833</v>
      </c>
      <c r="J104" s="10">
        <f t="shared" si="50"/>
        <v>59.396999999999998</v>
      </c>
      <c r="K104" s="10">
        <f t="shared" si="32"/>
        <v>-93.436000000000007</v>
      </c>
      <c r="L104" s="16">
        <f t="shared" si="41"/>
        <v>-61.136011201769257</v>
      </c>
      <c r="M104" s="220"/>
      <c r="N104" s="221"/>
      <c r="T104" s="30">
        <f t="shared" si="28"/>
        <v>0</v>
      </c>
    </row>
    <row r="105" spans="1:20" ht="17.25" customHeight="1">
      <c r="A105" s="24" t="s">
        <v>243</v>
      </c>
      <c r="B105" s="20" t="s">
        <v>100</v>
      </c>
      <c r="C105" s="8" t="s">
        <v>4</v>
      </c>
      <c r="D105" s="10">
        <v>43.570999999999998</v>
      </c>
      <c r="E105" s="8">
        <v>43.582999999999998</v>
      </c>
      <c r="F105" s="8"/>
      <c r="G105" s="10">
        <f t="shared" si="31"/>
        <v>-43.582999999999998</v>
      </c>
      <c r="H105" s="10">
        <v>43.570999999999998</v>
      </c>
      <c r="I105" s="8">
        <v>43.582999999999998</v>
      </c>
      <c r="J105" s="8"/>
      <c r="K105" s="10">
        <f t="shared" si="32"/>
        <v>-43.582999999999998</v>
      </c>
      <c r="L105" s="16">
        <f t="shared" si="41"/>
        <v>-100</v>
      </c>
      <c r="M105" s="220"/>
      <c r="N105" s="221"/>
      <c r="P105">
        <v>523</v>
      </c>
      <c r="S105">
        <f>P105/12</f>
        <v>43.583333333333336</v>
      </c>
      <c r="T105" s="30">
        <f t="shared" si="28"/>
        <v>0</v>
      </c>
    </row>
    <row r="106" spans="1:20" ht="28.5" customHeight="1">
      <c r="A106" s="8" t="s">
        <v>244</v>
      </c>
      <c r="B106" s="20" t="s">
        <v>101</v>
      </c>
      <c r="C106" s="8" t="s">
        <v>4</v>
      </c>
      <c r="D106" s="10">
        <v>116.209</v>
      </c>
      <c r="E106" s="8">
        <v>82.917000000000002</v>
      </c>
      <c r="F106" s="55">
        <v>59.396999999999998</v>
      </c>
      <c r="G106" s="10">
        <f t="shared" si="31"/>
        <v>-23.520000000000003</v>
      </c>
      <c r="H106" s="10">
        <v>116.209</v>
      </c>
      <c r="I106" s="8">
        <v>82.917000000000002</v>
      </c>
      <c r="J106" s="8">
        <v>59.396999999999998</v>
      </c>
      <c r="K106" s="10">
        <f t="shared" si="32"/>
        <v>-23.520000000000003</v>
      </c>
      <c r="L106" s="16">
        <f t="shared" si="41"/>
        <v>-28.365715112703064</v>
      </c>
      <c r="M106" s="222" t="s">
        <v>287</v>
      </c>
      <c r="N106" s="223"/>
      <c r="P106">
        <f>995</f>
        <v>995</v>
      </c>
      <c r="S106">
        <f>P106/12</f>
        <v>82.916666666666671</v>
      </c>
      <c r="T106" s="30">
        <f t="shared" si="28"/>
        <v>0</v>
      </c>
    </row>
    <row r="107" spans="1:20" ht="37.5" customHeight="1">
      <c r="A107" s="8" t="s">
        <v>245</v>
      </c>
      <c r="B107" s="20" t="s">
        <v>102</v>
      </c>
      <c r="C107" s="8" t="s">
        <v>4</v>
      </c>
      <c r="D107" s="10">
        <v>26.315000000000001</v>
      </c>
      <c r="E107" s="8">
        <v>26.332999999999998</v>
      </c>
      <c r="F107" s="8"/>
      <c r="G107" s="10">
        <f t="shared" si="31"/>
        <v>-26.332999999999998</v>
      </c>
      <c r="H107" s="10">
        <v>26.315000000000001</v>
      </c>
      <c r="I107" s="8">
        <v>26.332999999999998</v>
      </c>
      <c r="J107" s="8"/>
      <c r="K107" s="10">
        <f t="shared" si="32"/>
        <v>-26.332999999999998</v>
      </c>
      <c r="L107" s="16">
        <f t="shared" si="41"/>
        <v>-100</v>
      </c>
      <c r="M107" s="220"/>
      <c r="N107" s="221"/>
      <c r="P107">
        <v>316</v>
      </c>
      <c r="S107">
        <f>P107/12</f>
        <v>26.333333333333332</v>
      </c>
      <c r="T107" s="30">
        <f t="shared" si="28"/>
        <v>0</v>
      </c>
    </row>
    <row r="108" spans="1:20" ht="35.25" hidden="1" customHeight="1">
      <c r="A108" s="8" t="s">
        <v>103</v>
      </c>
      <c r="B108" s="20" t="s">
        <v>104</v>
      </c>
      <c r="C108" s="8" t="s">
        <v>4</v>
      </c>
      <c r="D108" s="10">
        <v>0</v>
      </c>
      <c r="E108" s="8"/>
      <c r="F108" s="8"/>
      <c r="G108" s="10">
        <f t="shared" si="31"/>
        <v>0</v>
      </c>
      <c r="H108" s="10">
        <v>0</v>
      </c>
      <c r="I108" s="8"/>
      <c r="J108" s="8"/>
      <c r="K108" s="10">
        <f t="shared" si="32"/>
        <v>0</v>
      </c>
      <c r="L108" s="16" t="e">
        <f t="shared" si="41"/>
        <v>#DIV/0!</v>
      </c>
      <c r="M108" s="220"/>
      <c r="N108" s="221"/>
      <c r="T108" s="30">
        <f t="shared" si="28"/>
        <v>0</v>
      </c>
    </row>
    <row r="109" spans="1:20" ht="17.25" customHeight="1">
      <c r="A109" s="18" t="s">
        <v>246</v>
      </c>
      <c r="B109" s="20" t="s">
        <v>106</v>
      </c>
      <c r="C109" s="8" t="s">
        <v>4</v>
      </c>
      <c r="D109" s="10">
        <v>91.483999999999995</v>
      </c>
      <c r="E109" s="8">
        <v>58.167000000000002</v>
      </c>
      <c r="F109" s="55">
        <f>15.207+15.099+0.256+4.222+0.265</f>
        <v>35.048999999999999</v>
      </c>
      <c r="G109" s="10">
        <f t="shared" si="31"/>
        <v>-23.118000000000002</v>
      </c>
      <c r="H109" s="10">
        <v>91.483999999999995</v>
      </c>
      <c r="I109" s="8">
        <v>58.167000000000002</v>
      </c>
      <c r="J109" s="8">
        <f>15.207+15.099+0.256+4.222+0.265</f>
        <v>35.048999999999999</v>
      </c>
      <c r="K109" s="10">
        <f t="shared" si="32"/>
        <v>-23.118000000000002</v>
      </c>
      <c r="L109" s="16">
        <f t="shared" si="41"/>
        <v>-39.744184847078245</v>
      </c>
      <c r="M109" s="220"/>
      <c r="N109" s="221"/>
      <c r="P109">
        <v>698</v>
      </c>
      <c r="S109">
        <f>P109/12</f>
        <v>58.166666666666664</v>
      </c>
      <c r="T109" s="30">
        <f t="shared" si="28"/>
        <v>0</v>
      </c>
    </row>
    <row r="110" spans="1:20" ht="17.25" customHeight="1">
      <c r="A110" s="17" t="s">
        <v>247</v>
      </c>
      <c r="B110" s="6" t="s">
        <v>107</v>
      </c>
      <c r="C110" s="8" t="s">
        <v>4</v>
      </c>
      <c r="D110" s="10">
        <f>D111+D115+D119+D123+D124+D125+D126+D127+D128+D129+D130+D131+D132+D133+D134+D135</f>
        <v>1562.1809999999998</v>
      </c>
      <c r="E110" s="10">
        <f>E111+E115+E119+E123+E124+E125+E126+E127+E128+E129+E130+E131+E132+E133+E134+E135+E136+E137</f>
        <v>1699.25</v>
      </c>
      <c r="F110" s="10">
        <f>F111+F115+F119+F123+F124+F125+F126+F127+F128+F129+F130+F131+F132+F133+F134+F135+F136+F137</f>
        <v>1191.1890000000001</v>
      </c>
      <c r="G110" s="10">
        <f t="shared" si="31"/>
        <v>-508.06099999999992</v>
      </c>
      <c r="H110" s="10">
        <f>H111+H115+H119+H123+H124+H125+H126+H127+H128+H129+H130+H131+H132+H133+H134+H135</f>
        <v>1562.1809999999998</v>
      </c>
      <c r="I110" s="10">
        <f>I111+I115+I119+I123+I124+I125+I126+I127+I128+I129+I130+I131+I132+I133+I134+I135+I136+I137</f>
        <v>1699.25</v>
      </c>
      <c r="J110" s="10">
        <f>J111+J115+J119+J123+J124+J125+J126+J127+J128+J129+J130+J131+J132+J133+J134+J135+J136+J137</f>
        <v>1191.1890000000001</v>
      </c>
      <c r="K110" s="10">
        <f t="shared" si="32"/>
        <v>-508.06099999999992</v>
      </c>
      <c r="L110" s="16">
        <f t="shared" si="41"/>
        <v>-29.899131969986755</v>
      </c>
      <c r="M110" s="226"/>
      <c r="N110" s="221"/>
      <c r="T110" s="30">
        <f t="shared" si="28"/>
        <v>0</v>
      </c>
    </row>
    <row r="111" spans="1:20" ht="18" customHeight="1">
      <c r="A111" s="18" t="s">
        <v>248</v>
      </c>
      <c r="B111" s="9" t="s">
        <v>108</v>
      </c>
      <c r="C111" s="8" t="s">
        <v>4</v>
      </c>
      <c r="D111" s="10">
        <v>431.38099999999997</v>
      </c>
      <c r="E111" s="8">
        <v>431.41699999999997</v>
      </c>
      <c r="F111" s="10">
        <f>F112+F113+F114</f>
        <v>221.64</v>
      </c>
      <c r="G111" s="10">
        <f t="shared" si="31"/>
        <v>-209.77699999999999</v>
      </c>
      <c r="H111" s="10">
        <v>431.38099999999997</v>
      </c>
      <c r="I111" s="8">
        <v>431.41699999999997</v>
      </c>
      <c r="J111" s="10">
        <f>J112+J113+J114</f>
        <v>221.64</v>
      </c>
      <c r="K111" s="10">
        <f t="shared" si="32"/>
        <v>-209.77699999999999</v>
      </c>
      <c r="L111" s="16">
        <f t="shared" si="41"/>
        <v>-48.625112130490919</v>
      </c>
      <c r="M111" s="231"/>
      <c r="N111" s="232"/>
      <c r="P111">
        <v>5177</v>
      </c>
      <c r="S111">
        <f>P111/12</f>
        <v>431.41666666666669</v>
      </c>
      <c r="T111" s="30">
        <f t="shared" si="28"/>
        <v>0</v>
      </c>
    </row>
    <row r="112" spans="1:20" ht="17.25" customHeight="1">
      <c r="A112" s="18"/>
      <c r="B112" s="9" t="s">
        <v>221</v>
      </c>
      <c r="C112" s="8" t="s">
        <v>4</v>
      </c>
      <c r="D112" s="10"/>
      <c r="E112" s="8"/>
      <c r="F112" s="55">
        <v>211.64</v>
      </c>
      <c r="G112" s="10">
        <f t="shared" si="31"/>
        <v>211.64</v>
      </c>
      <c r="H112" s="10"/>
      <c r="I112" s="8"/>
      <c r="J112" s="8">
        <v>211.64</v>
      </c>
      <c r="K112" s="10">
        <f t="shared" si="32"/>
        <v>211.64</v>
      </c>
      <c r="L112" s="16"/>
      <c r="M112" s="220"/>
      <c r="N112" s="221"/>
      <c r="T112" s="30">
        <f t="shared" si="28"/>
        <v>0</v>
      </c>
    </row>
    <row r="113" spans="1:20" ht="36" customHeight="1">
      <c r="A113" s="18"/>
      <c r="B113" s="9" t="s">
        <v>222</v>
      </c>
      <c r="C113" s="8" t="s">
        <v>4</v>
      </c>
      <c r="D113" s="10"/>
      <c r="E113" s="8"/>
      <c r="F113" s="54">
        <v>10</v>
      </c>
      <c r="G113" s="10">
        <f t="shared" si="31"/>
        <v>10</v>
      </c>
      <c r="H113" s="10"/>
      <c r="I113" s="8"/>
      <c r="J113" s="10">
        <v>10</v>
      </c>
      <c r="K113" s="10">
        <f t="shared" si="32"/>
        <v>10</v>
      </c>
      <c r="L113" s="16"/>
      <c r="M113" s="220"/>
      <c r="N113" s="221"/>
      <c r="T113" s="30">
        <f t="shared" si="28"/>
        <v>0</v>
      </c>
    </row>
    <row r="114" spans="1:20" ht="17.25" customHeight="1">
      <c r="A114" s="18"/>
      <c r="B114" s="9" t="s">
        <v>223</v>
      </c>
      <c r="C114" s="8" t="s">
        <v>4</v>
      </c>
      <c r="D114" s="10"/>
      <c r="E114" s="8"/>
      <c r="F114" s="8"/>
      <c r="G114" s="10">
        <f t="shared" si="31"/>
        <v>0</v>
      </c>
      <c r="H114" s="10"/>
      <c r="I114" s="8"/>
      <c r="J114" s="8"/>
      <c r="K114" s="10">
        <f t="shared" si="32"/>
        <v>0</v>
      </c>
      <c r="L114" s="16"/>
      <c r="M114" s="220"/>
      <c r="N114" s="221"/>
      <c r="T114" s="30">
        <f t="shared" si="28"/>
        <v>0</v>
      </c>
    </row>
    <row r="115" spans="1:20" ht="17.25" customHeight="1">
      <c r="A115" s="18" t="s">
        <v>249</v>
      </c>
      <c r="B115" s="9" t="s">
        <v>109</v>
      </c>
      <c r="C115" s="8" t="s">
        <v>4</v>
      </c>
      <c r="D115" s="10">
        <f t="shared" ref="D115:F115" si="51">D116+D117+D118</f>
        <v>121.34400000000001</v>
      </c>
      <c r="E115" s="10">
        <v>121.333</v>
      </c>
      <c r="F115" s="10">
        <f t="shared" si="51"/>
        <v>0</v>
      </c>
      <c r="G115" s="10">
        <f t="shared" si="31"/>
        <v>-121.333</v>
      </c>
      <c r="H115" s="10">
        <f t="shared" ref="H115" si="52">H116+H117+H118</f>
        <v>121.34400000000001</v>
      </c>
      <c r="I115" s="10">
        <v>121.333</v>
      </c>
      <c r="J115" s="10">
        <f t="shared" ref="J115" si="53">J116+J117+J118</f>
        <v>0</v>
      </c>
      <c r="K115" s="10">
        <f t="shared" si="32"/>
        <v>-121.333</v>
      </c>
      <c r="L115" s="16">
        <f t="shared" si="41"/>
        <v>-100</v>
      </c>
      <c r="M115" s="220"/>
      <c r="N115" s="221"/>
      <c r="P115">
        <v>1456</v>
      </c>
      <c r="S115">
        <f>P115/12</f>
        <v>121.33333333333333</v>
      </c>
      <c r="T115" s="30">
        <f t="shared" si="28"/>
        <v>0</v>
      </c>
    </row>
    <row r="116" spans="1:20" ht="36" customHeight="1">
      <c r="A116" s="8" t="s">
        <v>250</v>
      </c>
      <c r="B116" s="9" t="s">
        <v>240</v>
      </c>
      <c r="C116" s="8" t="s">
        <v>4</v>
      </c>
      <c r="D116" s="10">
        <v>86.322000000000003</v>
      </c>
      <c r="E116" s="8"/>
      <c r="F116" s="8"/>
      <c r="G116" s="10">
        <f t="shared" si="31"/>
        <v>0</v>
      </c>
      <c r="H116" s="10">
        <v>86.322000000000003</v>
      </c>
      <c r="I116" s="8"/>
      <c r="J116" s="8"/>
      <c r="K116" s="10">
        <f t="shared" si="32"/>
        <v>0</v>
      </c>
      <c r="L116" s="16"/>
      <c r="M116" s="220"/>
      <c r="N116" s="221"/>
      <c r="T116" s="30">
        <f t="shared" si="28"/>
        <v>0</v>
      </c>
    </row>
    <row r="117" spans="1:20" ht="42.75" customHeight="1">
      <c r="A117" s="8" t="s">
        <v>251</v>
      </c>
      <c r="B117" s="9" t="s">
        <v>241</v>
      </c>
      <c r="C117" s="8" t="s">
        <v>4</v>
      </c>
      <c r="D117" s="10">
        <v>31.76</v>
      </c>
      <c r="E117" s="8"/>
      <c r="F117" s="8"/>
      <c r="G117" s="10">
        <f t="shared" si="31"/>
        <v>0</v>
      </c>
      <c r="H117" s="10">
        <v>31.76</v>
      </c>
      <c r="I117" s="8"/>
      <c r="J117" s="8"/>
      <c r="K117" s="10">
        <f t="shared" si="32"/>
        <v>0</v>
      </c>
      <c r="L117" s="16"/>
      <c r="M117" s="220"/>
      <c r="N117" s="221"/>
      <c r="T117" s="30">
        <f t="shared" si="28"/>
        <v>0</v>
      </c>
    </row>
    <row r="118" spans="1:20" ht="17.25" customHeight="1">
      <c r="A118" s="8" t="s">
        <v>252</v>
      </c>
      <c r="B118" s="9" t="s">
        <v>110</v>
      </c>
      <c r="C118" s="8" t="s">
        <v>4</v>
      </c>
      <c r="D118" s="10">
        <v>3.262</v>
      </c>
      <c r="E118" s="8"/>
      <c r="F118" s="8"/>
      <c r="G118" s="10">
        <f t="shared" si="31"/>
        <v>0</v>
      </c>
      <c r="H118" s="10">
        <v>3.262</v>
      </c>
      <c r="I118" s="8"/>
      <c r="J118" s="8"/>
      <c r="K118" s="10">
        <f t="shared" si="32"/>
        <v>0</v>
      </c>
      <c r="L118" s="16"/>
      <c r="M118" s="220"/>
      <c r="N118" s="221"/>
      <c r="T118" s="30">
        <f t="shared" si="28"/>
        <v>0</v>
      </c>
    </row>
    <row r="119" spans="1:20" ht="34.5" customHeight="1">
      <c r="A119" s="18" t="s">
        <v>253</v>
      </c>
      <c r="B119" s="9" t="s">
        <v>111</v>
      </c>
      <c r="C119" s="8" t="s">
        <v>4</v>
      </c>
      <c r="D119" s="10">
        <f>D120</f>
        <v>380.84899999999999</v>
      </c>
      <c r="E119" s="10">
        <v>356.5</v>
      </c>
      <c r="F119" s="54">
        <f>F120</f>
        <v>322.81200000000001</v>
      </c>
      <c r="G119" s="10">
        <f t="shared" si="31"/>
        <v>-33.687999999999988</v>
      </c>
      <c r="H119" s="10">
        <f>H120</f>
        <v>380.84899999999999</v>
      </c>
      <c r="I119" s="10">
        <v>356.5</v>
      </c>
      <c r="J119" s="10">
        <f>J120</f>
        <v>322.81200000000001</v>
      </c>
      <c r="K119" s="10">
        <f t="shared" si="32"/>
        <v>-33.687999999999988</v>
      </c>
      <c r="L119" s="16">
        <f t="shared" si="41"/>
        <v>-9.4496493688639518</v>
      </c>
      <c r="M119" s="220"/>
      <c r="N119" s="221"/>
      <c r="P119">
        <v>4278</v>
      </c>
      <c r="S119" s="30">
        <f>P119/12</f>
        <v>356.5</v>
      </c>
      <c r="T119" s="30">
        <f t="shared" si="28"/>
        <v>0</v>
      </c>
    </row>
    <row r="120" spans="1:20" ht="17.25" customHeight="1">
      <c r="A120" s="8"/>
      <c r="B120" s="25" t="s">
        <v>112</v>
      </c>
      <c r="C120" s="8" t="s">
        <v>113</v>
      </c>
      <c r="D120" s="10">
        <v>380.84899999999999</v>
      </c>
      <c r="E120" s="10">
        <f>E122*E121</f>
        <v>356.5</v>
      </c>
      <c r="F120" s="8">
        <v>322.81200000000001</v>
      </c>
      <c r="G120" s="10">
        <f t="shared" si="31"/>
        <v>-33.687999999999988</v>
      </c>
      <c r="H120" s="10">
        <v>380.84899999999999</v>
      </c>
      <c r="I120" s="10">
        <f>I122*I121</f>
        <v>356.5</v>
      </c>
      <c r="J120" s="8">
        <v>322.81200000000001</v>
      </c>
      <c r="K120" s="10">
        <f t="shared" si="32"/>
        <v>-33.687999999999988</v>
      </c>
      <c r="L120" s="16">
        <f t="shared" si="41"/>
        <v>-9.4496493688639518</v>
      </c>
      <c r="M120" s="220"/>
      <c r="N120" s="221"/>
      <c r="T120" s="30">
        <f t="shared" si="28"/>
        <v>0</v>
      </c>
    </row>
    <row r="121" spans="1:20" ht="17.25" customHeight="1">
      <c r="A121" s="8"/>
      <c r="B121" s="12" t="s">
        <v>13</v>
      </c>
      <c r="C121" s="13" t="s">
        <v>114</v>
      </c>
      <c r="D121" s="10">
        <v>761.69899999999996</v>
      </c>
      <c r="E121" s="16">
        <f>E119/E122</f>
        <v>713</v>
      </c>
      <c r="F121" s="8">
        <v>645.62300000000005</v>
      </c>
      <c r="G121" s="10">
        <f t="shared" si="31"/>
        <v>-67.376999999999953</v>
      </c>
      <c r="H121" s="10">
        <v>761.69899999999996</v>
      </c>
      <c r="I121" s="16">
        <f>I119/I122</f>
        <v>713</v>
      </c>
      <c r="J121" s="8">
        <v>645.62300000000005</v>
      </c>
      <c r="K121" s="10">
        <f t="shared" si="32"/>
        <v>-67.376999999999953</v>
      </c>
      <c r="L121" s="16">
        <f t="shared" si="41"/>
        <v>-9.4497896213183665</v>
      </c>
      <c r="M121" s="220"/>
      <c r="N121" s="221"/>
      <c r="T121" s="30">
        <f t="shared" si="28"/>
        <v>0</v>
      </c>
    </row>
    <row r="122" spans="1:20" ht="17.25" customHeight="1">
      <c r="A122" s="8"/>
      <c r="B122" s="12" t="s">
        <v>15</v>
      </c>
      <c r="C122" s="13" t="s">
        <v>16</v>
      </c>
      <c r="D122" s="11">
        <v>0.5</v>
      </c>
      <c r="E122" s="11">
        <v>0.5</v>
      </c>
      <c r="F122" s="11">
        <v>0.5</v>
      </c>
      <c r="G122" s="10">
        <f t="shared" si="31"/>
        <v>0</v>
      </c>
      <c r="H122" s="11">
        <v>0.5</v>
      </c>
      <c r="I122" s="11">
        <v>0.5</v>
      </c>
      <c r="J122" s="11">
        <v>0.5</v>
      </c>
      <c r="K122" s="10">
        <f t="shared" si="32"/>
        <v>0</v>
      </c>
      <c r="L122" s="16">
        <f t="shared" si="41"/>
        <v>0</v>
      </c>
      <c r="M122" s="220"/>
      <c r="N122" s="221"/>
      <c r="T122" s="30">
        <f t="shared" si="28"/>
        <v>0</v>
      </c>
    </row>
    <row r="123" spans="1:20" ht="17.25" customHeight="1">
      <c r="A123" s="18" t="s">
        <v>254</v>
      </c>
      <c r="B123" s="9" t="s">
        <v>115</v>
      </c>
      <c r="C123" s="8" t="s">
        <v>4</v>
      </c>
      <c r="D123" s="10">
        <v>1.1120000000000001</v>
      </c>
      <c r="E123" s="8">
        <v>1.083</v>
      </c>
      <c r="F123" s="8"/>
      <c r="G123" s="10">
        <f t="shared" si="31"/>
        <v>-1.083</v>
      </c>
      <c r="H123" s="10">
        <v>1.1120000000000001</v>
      </c>
      <c r="I123" s="8">
        <v>1.083</v>
      </c>
      <c r="J123" s="8"/>
      <c r="K123" s="10">
        <f t="shared" si="32"/>
        <v>-1.083</v>
      </c>
      <c r="L123" s="16">
        <f t="shared" si="41"/>
        <v>-100</v>
      </c>
      <c r="M123" s="220"/>
      <c r="N123" s="221"/>
      <c r="P123">
        <v>13</v>
      </c>
      <c r="S123">
        <f>P123/12</f>
        <v>1.0833333333333333</v>
      </c>
      <c r="T123" s="30">
        <f t="shared" si="28"/>
        <v>0</v>
      </c>
    </row>
    <row r="124" spans="1:20" ht="36" customHeight="1">
      <c r="A124" s="18" t="s">
        <v>255</v>
      </c>
      <c r="B124" s="9" t="s">
        <v>116</v>
      </c>
      <c r="C124" s="8" t="s">
        <v>4</v>
      </c>
      <c r="D124" s="10">
        <v>53.17</v>
      </c>
      <c r="E124" s="8">
        <v>52.167000000000002</v>
      </c>
      <c r="F124" s="54">
        <v>45</v>
      </c>
      <c r="G124" s="10">
        <f t="shared" si="31"/>
        <v>-7.1670000000000016</v>
      </c>
      <c r="H124" s="10">
        <v>53.17</v>
      </c>
      <c r="I124" s="8">
        <v>52.167000000000002</v>
      </c>
      <c r="J124" s="10">
        <v>45</v>
      </c>
      <c r="K124" s="10">
        <f t="shared" si="32"/>
        <v>-7.1670000000000016</v>
      </c>
      <c r="L124" s="16">
        <f t="shared" si="41"/>
        <v>-13.738570360572776</v>
      </c>
      <c r="M124" s="220"/>
      <c r="N124" s="221"/>
      <c r="P124">
        <v>626</v>
      </c>
      <c r="S124">
        <f>P124/12</f>
        <v>52.166666666666664</v>
      </c>
      <c r="T124" s="30">
        <f t="shared" si="28"/>
        <v>0</v>
      </c>
    </row>
    <row r="125" spans="1:20" ht="41.25" customHeight="1">
      <c r="A125" s="18" t="s">
        <v>256</v>
      </c>
      <c r="B125" s="9" t="s">
        <v>117</v>
      </c>
      <c r="C125" s="8" t="s">
        <v>4</v>
      </c>
      <c r="D125" s="10">
        <v>411.35</v>
      </c>
      <c r="E125" s="8">
        <v>411.33300000000003</v>
      </c>
      <c r="F125" s="55">
        <f>201.825+284.85</f>
        <v>486.67500000000001</v>
      </c>
      <c r="G125" s="10">
        <f t="shared" si="31"/>
        <v>75.341999999999985</v>
      </c>
      <c r="H125" s="10">
        <v>411.35</v>
      </c>
      <c r="I125" s="8">
        <v>411.33300000000003</v>
      </c>
      <c r="J125" s="8">
        <f>201.825+284.85</f>
        <v>486.67500000000001</v>
      </c>
      <c r="K125" s="10">
        <f t="shared" si="32"/>
        <v>75.341999999999985</v>
      </c>
      <c r="L125" s="16">
        <f t="shared" si="41"/>
        <v>18.316546447768591</v>
      </c>
      <c r="M125" s="222" t="s">
        <v>294</v>
      </c>
      <c r="N125" s="223"/>
      <c r="P125">
        <v>4936</v>
      </c>
      <c r="S125">
        <f>P125/12</f>
        <v>411.33333333333331</v>
      </c>
      <c r="T125" s="30">
        <f t="shared" si="28"/>
        <v>0</v>
      </c>
    </row>
    <row r="126" spans="1:20" ht="55.5" customHeight="1">
      <c r="A126" s="18" t="s">
        <v>257</v>
      </c>
      <c r="B126" s="9" t="s">
        <v>118</v>
      </c>
      <c r="C126" s="8" t="s">
        <v>4</v>
      </c>
      <c r="D126" s="10">
        <v>48.704000000000001</v>
      </c>
      <c r="E126" s="8">
        <v>48.667000000000002</v>
      </c>
      <c r="F126" s="8"/>
      <c r="G126" s="10">
        <f t="shared" si="31"/>
        <v>-48.667000000000002</v>
      </c>
      <c r="H126" s="10">
        <v>48.704000000000001</v>
      </c>
      <c r="I126" s="8">
        <v>48.667000000000002</v>
      </c>
      <c r="J126" s="8"/>
      <c r="K126" s="10">
        <f t="shared" si="32"/>
        <v>-48.667000000000002</v>
      </c>
      <c r="L126" s="16">
        <f t="shared" si="41"/>
        <v>-100</v>
      </c>
      <c r="M126" s="220"/>
      <c r="N126" s="221"/>
      <c r="P126">
        <v>584</v>
      </c>
      <c r="S126">
        <f>P126/12</f>
        <v>48.666666666666664</v>
      </c>
      <c r="T126" s="30">
        <f t="shared" si="28"/>
        <v>0</v>
      </c>
    </row>
    <row r="127" spans="1:20" ht="17.25" customHeight="1">
      <c r="A127" s="18" t="s">
        <v>258</v>
      </c>
      <c r="B127" s="9" t="s">
        <v>119</v>
      </c>
      <c r="C127" s="8" t="s">
        <v>4</v>
      </c>
      <c r="D127" s="10">
        <v>38.012999999999998</v>
      </c>
      <c r="E127" s="8">
        <v>38</v>
      </c>
      <c r="F127" s="8"/>
      <c r="G127" s="10">
        <f t="shared" si="31"/>
        <v>-38</v>
      </c>
      <c r="H127" s="10">
        <v>38.012999999999998</v>
      </c>
      <c r="I127" s="8">
        <v>38</v>
      </c>
      <c r="J127" s="8"/>
      <c r="K127" s="10">
        <f t="shared" si="32"/>
        <v>-38</v>
      </c>
      <c r="L127" s="16">
        <f t="shared" si="41"/>
        <v>-100</v>
      </c>
      <c r="M127" s="220"/>
      <c r="N127" s="221"/>
      <c r="P127">
        <v>456</v>
      </c>
      <c r="S127" s="44">
        <f>P127/12</f>
        <v>38</v>
      </c>
      <c r="T127" s="30">
        <f t="shared" si="28"/>
        <v>0</v>
      </c>
    </row>
    <row r="128" spans="1:20" ht="54" customHeight="1">
      <c r="A128" s="18" t="s">
        <v>259</v>
      </c>
      <c r="B128" s="9" t="s">
        <v>120</v>
      </c>
      <c r="C128" s="8" t="s">
        <v>4</v>
      </c>
      <c r="D128" s="10"/>
      <c r="E128" s="8"/>
      <c r="F128" s="8">
        <v>35.892000000000003</v>
      </c>
      <c r="G128" s="10">
        <f t="shared" si="31"/>
        <v>35.892000000000003</v>
      </c>
      <c r="H128" s="10"/>
      <c r="I128" s="8"/>
      <c r="J128" s="8">
        <f>F128</f>
        <v>35.892000000000003</v>
      </c>
      <c r="K128" s="10">
        <f t="shared" si="32"/>
        <v>35.892000000000003</v>
      </c>
      <c r="L128" s="16" t="e">
        <f t="shared" si="41"/>
        <v>#DIV/0!</v>
      </c>
      <c r="M128" s="220"/>
      <c r="N128" s="221"/>
      <c r="T128" s="30">
        <f t="shared" si="28"/>
        <v>0</v>
      </c>
    </row>
    <row r="129" spans="1:20" ht="34.5" hidden="1" customHeight="1">
      <c r="A129" s="18" t="s">
        <v>121</v>
      </c>
      <c r="B129" s="9" t="s">
        <v>218</v>
      </c>
      <c r="C129" s="8" t="s">
        <v>4</v>
      </c>
      <c r="D129" s="10">
        <v>0</v>
      </c>
      <c r="E129" s="8"/>
      <c r="F129" s="8"/>
      <c r="G129" s="10">
        <f t="shared" si="31"/>
        <v>0</v>
      </c>
      <c r="H129" s="10">
        <v>0</v>
      </c>
      <c r="I129" s="8"/>
      <c r="J129" s="8"/>
      <c r="K129" s="10">
        <f t="shared" si="32"/>
        <v>0</v>
      </c>
      <c r="L129" s="16" t="e">
        <f t="shared" si="41"/>
        <v>#DIV/0!</v>
      </c>
      <c r="M129" s="220"/>
      <c r="N129" s="221"/>
      <c r="T129" s="30">
        <f t="shared" si="28"/>
        <v>0</v>
      </c>
    </row>
    <row r="130" spans="1:20" ht="33" customHeight="1">
      <c r="A130" s="18" t="s">
        <v>260</v>
      </c>
      <c r="B130" s="9" t="s">
        <v>263</v>
      </c>
      <c r="C130" s="8" t="s">
        <v>4</v>
      </c>
      <c r="D130" s="10"/>
      <c r="E130" s="8"/>
      <c r="F130" s="8"/>
      <c r="G130" s="10">
        <f t="shared" si="31"/>
        <v>0</v>
      </c>
      <c r="H130" s="10"/>
      <c r="I130" s="8"/>
      <c r="J130" s="8"/>
      <c r="K130" s="10">
        <f t="shared" si="32"/>
        <v>0</v>
      </c>
      <c r="L130" s="16" t="e">
        <f t="shared" si="41"/>
        <v>#DIV/0!</v>
      </c>
      <c r="M130" s="222" t="s">
        <v>288</v>
      </c>
      <c r="N130" s="223"/>
      <c r="T130" s="30">
        <f t="shared" si="28"/>
        <v>0</v>
      </c>
    </row>
    <row r="131" spans="1:20" ht="17.25" customHeight="1">
      <c r="A131" s="18" t="s">
        <v>261</v>
      </c>
      <c r="B131" s="9" t="s">
        <v>122</v>
      </c>
      <c r="C131" s="8" t="s">
        <v>4</v>
      </c>
      <c r="D131" s="10">
        <v>69.783000000000001</v>
      </c>
      <c r="E131" s="8">
        <v>69.75</v>
      </c>
      <c r="F131" s="8"/>
      <c r="G131" s="10">
        <f t="shared" si="31"/>
        <v>-69.75</v>
      </c>
      <c r="H131" s="10">
        <v>69.783000000000001</v>
      </c>
      <c r="I131" s="8">
        <v>69.75</v>
      </c>
      <c r="J131" s="8"/>
      <c r="K131" s="10">
        <f t="shared" si="32"/>
        <v>-69.75</v>
      </c>
      <c r="L131" s="16">
        <f t="shared" si="41"/>
        <v>-100</v>
      </c>
      <c r="M131" s="220"/>
      <c r="N131" s="221"/>
      <c r="P131">
        <v>837</v>
      </c>
      <c r="S131">
        <f>P131/12</f>
        <v>69.75</v>
      </c>
      <c r="T131" s="30">
        <f t="shared" si="28"/>
        <v>0</v>
      </c>
    </row>
    <row r="132" spans="1:20" ht="54.75" customHeight="1">
      <c r="A132" s="18" t="s">
        <v>262</v>
      </c>
      <c r="B132" s="9" t="s">
        <v>123</v>
      </c>
      <c r="C132" s="8" t="s">
        <v>4</v>
      </c>
      <c r="D132" s="10"/>
      <c r="E132" s="8"/>
      <c r="F132" s="8"/>
      <c r="G132" s="10">
        <f t="shared" si="31"/>
        <v>0</v>
      </c>
      <c r="H132" s="10"/>
      <c r="I132" s="8"/>
      <c r="J132" s="8"/>
      <c r="K132" s="10">
        <f t="shared" si="32"/>
        <v>0</v>
      </c>
      <c r="L132" s="16"/>
      <c r="M132" s="220"/>
      <c r="N132" s="221"/>
      <c r="T132" s="30">
        <f t="shared" si="28"/>
        <v>0</v>
      </c>
    </row>
    <row r="133" spans="1:20" ht="54" customHeight="1">
      <c r="A133" s="18" t="s">
        <v>264</v>
      </c>
      <c r="B133" s="9" t="s">
        <v>124</v>
      </c>
      <c r="C133" s="8" t="s">
        <v>4</v>
      </c>
      <c r="D133" s="10"/>
      <c r="E133" s="8"/>
      <c r="F133" s="8"/>
      <c r="G133" s="10">
        <f t="shared" si="31"/>
        <v>0</v>
      </c>
      <c r="H133" s="10"/>
      <c r="I133" s="8"/>
      <c r="J133" s="8"/>
      <c r="K133" s="10">
        <f t="shared" si="32"/>
        <v>0</v>
      </c>
      <c r="L133" s="16"/>
      <c r="M133" s="220"/>
      <c r="N133" s="221"/>
      <c r="T133" s="30">
        <f t="shared" si="28"/>
        <v>0</v>
      </c>
    </row>
    <row r="134" spans="1:20" ht="17.25" customHeight="1">
      <c r="A134" s="18" t="s">
        <v>265</v>
      </c>
      <c r="B134" s="26" t="s">
        <v>125</v>
      </c>
      <c r="C134" s="8" t="s">
        <v>4</v>
      </c>
      <c r="D134" s="10">
        <v>6.4749999999999996</v>
      </c>
      <c r="E134" s="8">
        <v>6.5</v>
      </c>
      <c r="F134" s="8"/>
      <c r="G134" s="10">
        <f t="shared" si="31"/>
        <v>-6.5</v>
      </c>
      <c r="H134" s="10">
        <v>6.4749999999999996</v>
      </c>
      <c r="I134" s="8">
        <v>6.5</v>
      </c>
      <c r="J134" s="8"/>
      <c r="K134" s="10">
        <f t="shared" si="32"/>
        <v>-6.5</v>
      </c>
      <c r="L134" s="16">
        <f t="shared" si="41"/>
        <v>-100</v>
      </c>
      <c r="M134" s="220"/>
      <c r="N134" s="221"/>
      <c r="P134">
        <v>78</v>
      </c>
      <c r="S134">
        <f>P134/12</f>
        <v>6.5</v>
      </c>
      <c r="T134" s="30">
        <f t="shared" si="28"/>
        <v>0</v>
      </c>
    </row>
    <row r="135" spans="1:20" ht="17.25" customHeight="1">
      <c r="A135" s="18" t="s">
        <v>266</v>
      </c>
      <c r="B135" s="26" t="s">
        <v>232</v>
      </c>
      <c r="C135" s="8" t="s">
        <v>4</v>
      </c>
      <c r="D135" s="10"/>
      <c r="E135" s="8"/>
      <c r="F135" s="8"/>
      <c r="G135" s="10">
        <f t="shared" si="31"/>
        <v>0</v>
      </c>
      <c r="H135" s="10"/>
      <c r="I135" s="8"/>
      <c r="J135" s="8"/>
      <c r="K135" s="10">
        <f t="shared" si="32"/>
        <v>0</v>
      </c>
      <c r="L135" s="16"/>
      <c r="M135" s="220"/>
      <c r="N135" s="221"/>
      <c r="T135" s="30">
        <f t="shared" si="28"/>
        <v>0</v>
      </c>
    </row>
    <row r="136" spans="1:20" ht="55.5" customHeight="1">
      <c r="A136" s="18"/>
      <c r="B136" s="26" t="s">
        <v>311</v>
      </c>
      <c r="C136" s="8" t="s">
        <v>4</v>
      </c>
      <c r="D136" s="10"/>
      <c r="E136" s="8">
        <v>79.167000000000002</v>
      </c>
      <c r="F136" s="54">
        <v>79.17</v>
      </c>
      <c r="G136" s="10">
        <f t="shared" si="31"/>
        <v>3.0000000000001137E-3</v>
      </c>
      <c r="H136" s="10"/>
      <c r="I136" s="8">
        <v>79.167000000000002</v>
      </c>
      <c r="J136" s="8">
        <v>79.17</v>
      </c>
      <c r="K136" s="10">
        <f t="shared" si="32"/>
        <v>3.0000000000001137E-3</v>
      </c>
      <c r="L136" s="16">
        <f t="shared" si="41"/>
        <v>3.789457728599181E-3</v>
      </c>
      <c r="M136" s="38"/>
      <c r="N136" s="39"/>
      <c r="P136">
        <v>950</v>
      </c>
      <c r="S136">
        <f>P136/12</f>
        <v>79.166666666666671</v>
      </c>
      <c r="T136" s="30">
        <f t="shared" si="28"/>
        <v>0</v>
      </c>
    </row>
    <row r="137" spans="1:20" ht="55.5" customHeight="1">
      <c r="A137" s="18"/>
      <c r="B137" s="26" t="s">
        <v>312</v>
      </c>
      <c r="C137" s="8" t="s">
        <v>4</v>
      </c>
      <c r="D137" s="10"/>
      <c r="E137" s="8">
        <v>83.332999999999998</v>
      </c>
      <c r="F137" s="8"/>
      <c r="G137" s="10">
        <f t="shared" si="31"/>
        <v>-83.332999999999998</v>
      </c>
      <c r="H137" s="10"/>
      <c r="I137" s="8">
        <v>83.332999999999998</v>
      </c>
      <c r="J137" s="8"/>
      <c r="K137" s="10">
        <f t="shared" si="32"/>
        <v>-83.332999999999998</v>
      </c>
      <c r="L137" s="16">
        <f t="shared" si="41"/>
        <v>-100</v>
      </c>
      <c r="M137" s="38"/>
      <c r="N137" s="39"/>
      <c r="P137">
        <v>1000</v>
      </c>
      <c r="S137">
        <f>P137/12</f>
        <v>83.333333333333329</v>
      </c>
      <c r="T137" s="30">
        <f t="shared" ref="T137:T200" si="54">J137-F137</f>
        <v>0</v>
      </c>
    </row>
    <row r="138" spans="1:20" ht="17.25" customHeight="1">
      <c r="A138" s="31" t="s">
        <v>126</v>
      </c>
      <c r="B138" s="6" t="s">
        <v>127</v>
      </c>
      <c r="C138" s="8" t="s">
        <v>4</v>
      </c>
      <c r="D138" s="7">
        <f t="shared" ref="D138:J138" si="55">D139</f>
        <v>3385.116</v>
      </c>
      <c r="E138" s="7">
        <f t="shared" si="55"/>
        <v>2989.2490000000003</v>
      </c>
      <c r="F138" s="7">
        <f t="shared" si="55"/>
        <v>2035.7699999999998</v>
      </c>
      <c r="G138" s="10">
        <f t="shared" si="31"/>
        <v>-953.4790000000005</v>
      </c>
      <c r="H138" s="7">
        <f t="shared" si="55"/>
        <v>3385.116</v>
      </c>
      <c r="I138" s="7">
        <f t="shared" si="55"/>
        <v>2989.2490000000003</v>
      </c>
      <c r="J138" s="7">
        <f t="shared" si="55"/>
        <v>2035.7699999999998</v>
      </c>
      <c r="K138" s="10">
        <f t="shared" si="32"/>
        <v>-953.4790000000005</v>
      </c>
      <c r="L138" s="16">
        <f t="shared" si="41"/>
        <v>-31.896941338777747</v>
      </c>
      <c r="M138" s="220"/>
      <c r="N138" s="221"/>
      <c r="O138" s="30"/>
      <c r="P138">
        <v>35871</v>
      </c>
      <c r="S138">
        <f>P138/12</f>
        <v>2989.25</v>
      </c>
      <c r="T138" s="30">
        <f t="shared" si="54"/>
        <v>0</v>
      </c>
    </row>
    <row r="139" spans="1:20" ht="17.25" customHeight="1">
      <c r="A139" s="31">
        <v>6</v>
      </c>
      <c r="B139" s="6" t="s">
        <v>128</v>
      </c>
      <c r="C139" s="31" t="s">
        <v>4</v>
      </c>
      <c r="D139" s="7">
        <f>D140+D145+D146+D147+D148+D149+D150+D151+D154+D156+D172+D176+D177+D179+D184+D183+D188</f>
        <v>3385.116</v>
      </c>
      <c r="E139" s="7">
        <f t="shared" ref="E139:J139" si="56">E140+E145+E146+E147+E148+E149+E150+E151+E154+E156+E172+E176+E177+E179+E184+E183+E188</f>
        <v>2989.2490000000003</v>
      </c>
      <c r="F139" s="7">
        <f t="shared" si="56"/>
        <v>2035.7699999999998</v>
      </c>
      <c r="G139" s="10">
        <f>F139-E139</f>
        <v>-953.4790000000005</v>
      </c>
      <c r="H139" s="7">
        <f t="shared" si="56"/>
        <v>3385.116</v>
      </c>
      <c r="I139" s="7">
        <f t="shared" si="56"/>
        <v>2989.2490000000003</v>
      </c>
      <c r="J139" s="7">
        <f t="shared" si="56"/>
        <v>2035.7699999999998</v>
      </c>
      <c r="K139" s="10">
        <f t="shared" si="32"/>
        <v>-953.4790000000005</v>
      </c>
      <c r="L139" s="16">
        <f t="shared" si="41"/>
        <v>-31.896941338777747</v>
      </c>
      <c r="M139" s="220"/>
      <c r="N139" s="221"/>
      <c r="O139" s="30"/>
      <c r="T139" s="30">
        <f t="shared" si="54"/>
        <v>0</v>
      </c>
    </row>
    <row r="140" spans="1:20" ht="17.25" customHeight="1">
      <c r="A140" s="31" t="s">
        <v>129</v>
      </c>
      <c r="B140" s="6" t="s">
        <v>130</v>
      </c>
      <c r="C140" s="31" t="s">
        <v>4</v>
      </c>
      <c r="D140" s="7">
        <f t="shared" ref="D140:E140" si="57">D141+D142</f>
        <v>97.608999999999995</v>
      </c>
      <c r="E140" s="7">
        <f t="shared" si="57"/>
        <v>97.582999999999998</v>
      </c>
      <c r="F140" s="7">
        <f t="shared" ref="F140" si="58">F141+F142</f>
        <v>167.55799999999999</v>
      </c>
      <c r="G140" s="10">
        <f t="shared" ref="G140:G204" si="59">F140-E140</f>
        <v>69.974999999999994</v>
      </c>
      <c r="H140" s="7">
        <f t="shared" ref="H140:J140" si="60">H141+H142</f>
        <v>97.608999999999995</v>
      </c>
      <c r="I140" s="7">
        <f t="shared" si="60"/>
        <v>97.582999999999998</v>
      </c>
      <c r="J140" s="7">
        <f t="shared" si="60"/>
        <v>167.55799999999999</v>
      </c>
      <c r="K140" s="10">
        <f t="shared" ref="K140:K204" si="61">J140-I140</f>
        <v>69.974999999999994</v>
      </c>
      <c r="L140" s="16">
        <f t="shared" ref="L140:L203" si="62">K140/I140*100</f>
        <v>71.708186876812547</v>
      </c>
      <c r="M140" s="220"/>
      <c r="N140" s="221"/>
      <c r="O140" s="30"/>
      <c r="P140">
        <v>510</v>
      </c>
      <c r="S140" s="30">
        <f>P140/12</f>
        <v>42.5</v>
      </c>
      <c r="T140" s="30">
        <f t="shared" si="54"/>
        <v>0</v>
      </c>
    </row>
    <row r="141" spans="1:20" ht="37.5">
      <c r="A141" s="8" t="s">
        <v>131</v>
      </c>
      <c r="B141" s="9" t="s">
        <v>132</v>
      </c>
      <c r="C141" s="8" t="s">
        <v>4</v>
      </c>
      <c r="D141" s="10">
        <v>42.552999999999997</v>
      </c>
      <c r="E141" s="10">
        <v>42.5</v>
      </c>
      <c r="F141" s="54">
        <v>42.51</v>
      </c>
      <c r="G141" s="10">
        <f t="shared" si="59"/>
        <v>9.9999999999980105E-3</v>
      </c>
      <c r="H141" s="10">
        <v>42.552999999999997</v>
      </c>
      <c r="I141" s="10">
        <v>42.5</v>
      </c>
      <c r="J141" s="8">
        <f t="shared" ref="J141:J142" si="63">F141</f>
        <v>42.51</v>
      </c>
      <c r="K141" s="10">
        <f t="shared" si="61"/>
        <v>9.9999999999980105E-3</v>
      </c>
      <c r="L141" s="16">
        <f t="shared" si="62"/>
        <v>2.3529411764701202E-2</v>
      </c>
      <c r="M141" s="220"/>
      <c r="N141" s="221"/>
      <c r="O141" s="30"/>
      <c r="S141" s="30"/>
      <c r="T141" s="30">
        <f t="shared" si="54"/>
        <v>0</v>
      </c>
    </row>
    <row r="142" spans="1:20" ht="17.25" customHeight="1">
      <c r="A142" s="8" t="s">
        <v>133</v>
      </c>
      <c r="B142" s="9" t="s">
        <v>63</v>
      </c>
      <c r="C142" s="8" t="s">
        <v>4</v>
      </c>
      <c r="D142" s="10">
        <v>55.055999999999997</v>
      </c>
      <c r="E142" s="8">
        <v>55.082999999999998</v>
      </c>
      <c r="F142" s="55">
        <v>125.048</v>
      </c>
      <c r="G142" s="10">
        <f t="shared" si="59"/>
        <v>69.965000000000003</v>
      </c>
      <c r="H142" s="10">
        <v>55.055999999999997</v>
      </c>
      <c r="I142" s="8">
        <v>55.082999999999998</v>
      </c>
      <c r="J142" s="8">
        <f t="shared" si="63"/>
        <v>125.048</v>
      </c>
      <c r="K142" s="10">
        <f t="shared" si="61"/>
        <v>69.965000000000003</v>
      </c>
      <c r="L142" s="16">
        <f t="shared" si="62"/>
        <v>127.01741009022749</v>
      </c>
      <c r="M142" s="220"/>
      <c r="N142" s="221"/>
      <c r="O142" s="30"/>
      <c r="P142">
        <v>661</v>
      </c>
      <c r="S142" s="30">
        <f t="shared" ref="S142" si="64">P142/12</f>
        <v>55.083333333333336</v>
      </c>
      <c r="T142" s="30">
        <f t="shared" si="54"/>
        <v>0</v>
      </c>
    </row>
    <row r="143" spans="1:20" ht="17.25" customHeight="1">
      <c r="A143" s="8"/>
      <c r="B143" s="12" t="s">
        <v>68</v>
      </c>
      <c r="C143" s="22" t="s">
        <v>66</v>
      </c>
      <c r="D143" s="14">
        <v>2816.6669999999999</v>
      </c>
      <c r="E143" s="22"/>
      <c r="F143" s="59">
        <v>6697.79</v>
      </c>
      <c r="G143" s="10">
        <f t="shared" si="59"/>
        <v>6697.79</v>
      </c>
      <c r="H143" s="14">
        <v>2816.6669999999999</v>
      </c>
      <c r="I143" s="22"/>
      <c r="J143" s="22"/>
      <c r="K143" s="10">
        <f t="shared" si="61"/>
        <v>0</v>
      </c>
      <c r="L143" s="16"/>
      <c r="M143" s="220"/>
      <c r="N143" s="221"/>
      <c r="O143" s="30"/>
      <c r="T143" s="30">
        <f t="shared" si="54"/>
        <v>-6697.79</v>
      </c>
    </row>
    <row r="144" spans="1:20" ht="17.25" customHeight="1">
      <c r="A144" s="8"/>
      <c r="B144" s="12" t="s">
        <v>15</v>
      </c>
      <c r="C144" s="13" t="s">
        <v>16</v>
      </c>
      <c r="D144" s="16">
        <f t="shared" ref="D144:F144" si="65">D142/D143*1000</f>
        <v>19.546506562543602</v>
      </c>
      <c r="E144" s="16" t="e">
        <f t="shared" si="65"/>
        <v>#DIV/0!</v>
      </c>
      <c r="F144" s="16">
        <f t="shared" si="65"/>
        <v>18.670038923286636</v>
      </c>
      <c r="G144" s="10" t="e">
        <f t="shared" si="59"/>
        <v>#DIV/0!</v>
      </c>
      <c r="H144" s="16">
        <f t="shared" ref="H144" si="66">H142/H143*1000</f>
        <v>19.546506562543602</v>
      </c>
      <c r="I144" s="13"/>
      <c r="J144" s="13"/>
      <c r="K144" s="10">
        <f t="shared" si="61"/>
        <v>0</v>
      </c>
      <c r="L144" s="16"/>
      <c r="M144" s="220"/>
      <c r="N144" s="221"/>
      <c r="O144" s="30"/>
      <c r="T144" s="30">
        <f t="shared" si="54"/>
        <v>-18.670038923286636</v>
      </c>
    </row>
    <row r="145" spans="1:20" ht="32.25" customHeight="1">
      <c r="A145" s="8" t="s">
        <v>134</v>
      </c>
      <c r="B145" s="9" t="s">
        <v>135</v>
      </c>
      <c r="C145" s="8" t="s">
        <v>4</v>
      </c>
      <c r="D145" s="10">
        <v>1914.3579999999999</v>
      </c>
      <c r="E145" s="8">
        <v>1416.4169999999999</v>
      </c>
      <c r="F145" s="55">
        <f>990.125-F149</f>
        <v>954.05</v>
      </c>
      <c r="G145" s="10">
        <f t="shared" si="59"/>
        <v>-462.36699999999996</v>
      </c>
      <c r="H145" s="10">
        <v>1914.3579999999999</v>
      </c>
      <c r="I145" s="8">
        <v>1416.4169999999999</v>
      </c>
      <c r="J145" s="8">
        <f>F145</f>
        <v>954.05</v>
      </c>
      <c r="K145" s="10">
        <f t="shared" si="61"/>
        <v>-462.36699999999996</v>
      </c>
      <c r="L145" s="16">
        <f t="shared" si="62"/>
        <v>-32.64342351157886</v>
      </c>
      <c r="M145" s="227"/>
      <c r="N145" s="228"/>
      <c r="O145" s="30"/>
      <c r="P145">
        <v>16997</v>
      </c>
      <c r="S145">
        <f>P145/12</f>
        <v>1416.4166666666667</v>
      </c>
      <c r="T145" s="30">
        <f t="shared" si="54"/>
        <v>0</v>
      </c>
    </row>
    <row r="146" spans="1:20" ht="17.25" customHeight="1">
      <c r="A146" s="8" t="s">
        <v>136</v>
      </c>
      <c r="B146" s="9" t="s">
        <v>77</v>
      </c>
      <c r="C146" s="8" t="s">
        <v>4</v>
      </c>
      <c r="D146" s="10">
        <v>105.29</v>
      </c>
      <c r="E146" s="10">
        <v>76.5</v>
      </c>
      <c r="F146" s="55">
        <v>59.451000000000001</v>
      </c>
      <c r="G146" s="10">
        <f t="shared" si="59"/>
        <v>-17.048999999999999</v>
      </c>
      <c r="H146" s="10">
        <v>105.29</v>
      </c>
      <c r="I146" s="10">
        <v>76.5</v>
      </c>
      <c r="J146" s="8">
        <f t="shared" ref="J146:J150" si="67">F146</f>
        <v>59.451000000000001</v>
      </c>
      <c r="K146" s="10">
        <f t="shared" si="61"/>
        <v>-17.048999999999999</v>
      </c>
      <c r="L146" s="16">
        <f t="shared" si="62"/>
        <v>-22.286274509803921</v>
      </c>
      <c r="M146" s="227"/>
      <c r="N146" s="228"/>
      <c r="O146" s="30">
        <v>189.52199999999999</v>
      </c>
      <c r="P146">
        <v>918</v>
      </c>
      <c r="S146" s="30">
        <f>P146/12</f>
        <v>76.5</v>
      </c>
      <c r="T146" s="30">
        <f t="shared" si="54"/>
        <v>0</v>
      </c>
    </row>
    <row r="147" spans="1:20" ht="17.25" customHeight="1">
      <c r="A147" s="8"/>
      <c r="B147" s="9" t="s">
        <v>307</v>
      </c>
      <c r="C147" s="8" t="s">
        <v>4</v>
      </c>
      <c r="D147" s="10">
        <v>84.231999999999999</v>
      </c>
      <c r="E147" s="10">
        <v>63.75</v>
      </c>
      <c r="F147" s="55">
        <v>26.927</v>
      </c>
      <c r="G147" s="10">
        <f t="shared" si="59"/>
        <v>-36.823</v>
      </c>
      <c r="H147" s="10">
        <v>84.231999999999999</v>
      </c>
      <c r="I147" s="10">
        <v>63.75</v>
      </c>
      <c r="J147" s="8">
        <f t="shared" si="67"/>
        <v>26.927</v>
      </c>
      <c r="K147" s="10">
        <f t="shared" si="61"/>
        <v>-36.823</v>
      </c>
      <c r="L147" s="16">
        <f t="shared" si="62"/>
        <v>-57.761568627450977</v>
      </c>
      <c r="M147" s="42"/>
      <c r="N147" s="43"/>
      <c r="O147" s="30"/>
      <c r="P147">
        <v>765</v>
      </c>
      <c r="S147" s="30">
        <f t="shared" ref="S147:S151" si="68">P147/12</f>
        <v>63.75</v>
      </c>
      <c r="T147" s="30">
        <f t="shared" si="54"/>
        <v>0</v>
      </c>
    </row>
    <row r="148" spans="1:20" ht="17.25" customHeight="1">
      <c r="A148" s="8"/>
      <c r="B148" s="9" t="s">
        <v>310</v>
      </c>
      <c r="C148" s="8" t="s">
        <v>4</v>
      </c>
      <c r="D148" s="10"/>
      <c r="E148" s="10">
        <v>21.25</v>
      </c>
      <c r="F148" s="55">
        <v>12.753</v>
      </c>
      <c r="G148" s="10">
        <f t="shared" si="59"/>
        <v>-8.4969999999999999</v>
      </c>
      <c r="H148" s="10"/>
      <c r="I148" s="10">
        <v>21.25</v>
      </c>
      <c r="J148" s="8">
        <f t="shared" si="67"/>
        <v>12.753</v>
      </c>
      <c r="K148" s="10">
        <f t="shared" si="61"/>
        <v>-8.4969999999999999</v>
      </c>
      <c r="L148" s="16">
        <f t="shared" si="62"/>
        <v>-39.985882352941175</v>
      </c>
      <c r="M148" s="42"/>
      <c r="N148" s="43"/>
      <c r="O148" s="30"/>
      <c r="P148">
        <v>255</v>
      </c>
      <c r="S148" s="30">
        <f t="shared" si="68"/>
        <v>21.25</v>
      </c>
      <c r="T148" s="30">
        <f t="shared" si="54"/>
        <v>0</v>
      </c>
    </row>
    <row r="149" spans="1:20" ht="17.25" customHeight="1">
      <c r="A149" s="8"/>
      <c r="B149" s="9" t="s">
        <v>315</v>
      </c>
      <c r="C149" s="8" t="s">
        <v>4</v>
      </c>
      <c r="D149" s="10"/>
      <c r="E149" s="10"/>
      <c r="F149" s="8">
        <v>36.075000000000003</v>
      </c>
      <c r="G149" s="10"/>
      <c r="H149" s="10"/>
      <c r="I149" s="10"/>
      <c r="J149" s="8">
        <f t="shared" si="67"/>
        <v>36.075000000000003</v>
      </c>
      <c r="K149" s="10"/>
      <c r="L149" s="16"/>
      <c r="M149" s="52"/>
      <c r="N149" s="53"/>
      <c r="O149" s="30"/>
      <c r="S149" s="30"/>
      <c r="T149" s="30">
        <f t="shared" si="54"/>
        <v>0</v>
      </c>
    </row>
    <row r="150" spans="1:20" ht="17.25" customHeight="1">
      <c r="A150" s="8" t="s">
        <v>137</v>
      </c>
      <c r="B150" s="9" t="s">
        <v>138</v>
      </c>
      <c r="C150" s="8" t="s">
        <v>4</v>
      </c>
      <c r="D150" s="10">
        <v>77.58</v>
      </c>
      <c r="E150" s="8">
        <v>77.582999999999998</v>
      </c>
      <c r="F150" s="55">
        <v>271.84899999999999</v>
      </c>
      <c r="G150" s="10">
        <f t="shared" si="59"/>
        <v>194.26599999999999</v>
      </c>
      <c r="H150" s="10">
        <v>77.58</v>
      </c>
      <c r="I150" s="8">
        <v>77.582999999999998</v>
      </c>
      <c r="J150" s="8">
        <f t="shared" si="67"/>
        <v>271.84899999999999</v>
      </c>
      <c r="K150" s="10">
        <f t="shared" si="61"/>
        <v>194.26599999999999</v>
      </c>
      <c r="L150" s="16">
        <f t="shared" si="62"/>
        <v>250.39763865795339</v>
      </c>
      <c r="M150" s="227" t="s">
        <v>301</v>
      </c>
      <c r="N150" s="228"/>
      <c r="O150" s="30"/>
      <c r="P150">
        <v>931</v>
      </c>
      <c r="S150" s="30">
        <f t="shared" si="68"/>
        <v>77.583333333333329</v>
      </c>
      <c r="T150" s="30">
        <f t="shared" si="54"/>
        <v>0</v>
      </c>
    </row>
    <row r="151" spans="1:20" ht="17.25" customHeight="1">
      <c r="A151" s="31" t="s">
        <v>139</v>
      </c>
      <c r="B151" s="6" t="s">
        <v>140</v>
      </c>
      <c r="C151" s="31" t="s">
        <v>4</v>
      </c>
      <c r="D151" s="7">
        <f t="shared" ref="D151:F151" si="69">D152+D153</f>
        <v>239.149</v>
      </c>
      <c r="E151" s="33">
        <v>47.832999999999998</v>
      </c>
      <c r="F151" s="7">
        <f t="shared" si="69"/>
        <v>44.483000000000004</v>
      </c>
      <c r="G151" s="10">
        <f t="shared" si="59"/>
        <v>-3.3499999999999943</v>
      </c>
      <c r="H151" s="7">
        <f t="shared" ref="H151" si="70">H152+H153</f>
        <v>239.149</v>
      </c>
      <c r="I151" s="47">
        <v>47.832999999999998</v>
      </c>
      <c r="J151" s="7">
        <f t="shared" ref="J151" si="71">J152+J153</f>
        <v>44.483000000000004</v>
      </c>
      <c r="K151" s="10">
        <f t="shared" si="61"/>
        <v>-3.3499999999999943</v>
      </c>
      <c r="L151" s="16">
        <f t="shared" si="62"/>
        <v>-7.0035331256663698</v>
      </c>
      <c r="M151" s="220"/>
      <c r="N151" s="221"/>
      <c r="O151" s="30"/>
      <c r="P151">
        <v>574</v>
      </c>
      <c r="S151" s="30">
        <f t="shared" si="68"/>
        <v>47.833333333333336</v>
      </c>
      <c r="T151" s="30">
        <f t="shared" si="54"/>
        <v>0</v>
      </c>
    </row>
    <row r="152" spans="1:20" ht="17.25" customHeight="1">
      <c r="A152" s="8" t="s">
        <v>141</v>
      </c>
      <c r="B152" s="9" t="s">
        <v>81</v>
      </c>
      <c r="C152" s="8" t="s">
        <v>4</v>
      </c>
      <c r="D152" s="10">
        <v>8.7579999999999991</v>
      </c>
      <c r="E152" s="8"/>
      <c r="F152" s="55">
        <v>32.508000000000003</v>
      </c>
      <c r="G152" s="10">
        <f t="shared" si="59"/>
        <v>32.508000000000003</v>
      </c>
      <c r="H152" s="10">
        <v>8.7579999999999991</v>
      </c>
      <c r="I152" s="8"/>
      <c r="J152" s="8">
        <f t="shared" ref="J152:J153" si="72">F152</f>
        <v>32.508000000000003</v>
      </c>
      <c r="K152" s="10">
        <f t="shared" si="61"/>
        <v>32.508000000000003</v>
      </c>
      <c r="L152" s="16"/>
      <c r="M152" s="220"/>
      <c r="N152" s="221"/>
      <c r="O152" s="30"/>
      <c r="T152" s="30">
        <f t="shared" si="54"/>
        <v>0</v>
      </c>
    </row>
    <row r="153" spans="1:20" ht="17.25" customHeight="1">
      <c r="A153" s="8" t="s">
        <v>142</v>
      </c>
      <c r="B153" s="9" t="s">
        <v>143</v>
      </c>
      <c r="C153" s="8"/>
      <c r="D153" s="10">
        <v>230.39099999999999</v>
      </c>
      <c r="E153" s="8"/>
      <c r="F153" s="55">
        <v>11.975</v>
      </c>
      <c r="G153" s="10">
        <f t="shared" si="59"/>
        <v>11.975</v>
      </c>
      <c r="H153" s="10">
        <v>230.39099999999999</v>
      </c>
      <c r="I153" s="8"/>
      <c r="J153" s="8">
        <f t="shared" si="72"/>
        <v>11.975</v>
      </c>
      <c r="K153" s="10">
        <f t="shared" si="61"/>
        <v>11.975</v>
      </c>
      <c r="L153" s="16"/>
      <c r="M153" s="220"/>
      <c r="N153" s="221"/>
      <c r="O153" s="30"/>
      <c r="T153" s="30">
        <f t="shared" si="54"/>
        <v>0</v>
      </c>
    </row>
    <row r="154" spans="1:20" ht="75.75" customHeight="1">
      <c r="A154" s="31" t="s">
        <v>144</v>
      </c>
      <c r="B154" s="6" t="s">
        <v>145</v>
      </c>
      <c r="C154" s="31" t="s">
        <v>4</v>
      </c>
      <c r="D154" s="7">
        <f t="shared" ref="D154:J154" si="73">D155</f>
        <v>13.856</v>
      </c>
      <c r="E154" s="7">
        <f t="shared" si="73"/>
        <v>13.833</v>
      </c>
      <c r="F154" s="7">
        <f t="shared" si="73"/>
        <v>28.75</v>
      </c>
      <c r="G154" s="10">
        <f t="shared" si="59"/>
        <v>14.917</v>
      </c>
      <c r="H154" s="7">
        <f t="shared" si="73"/>
        <v>13.856</v>
      </c>
      <c r="I154" s="7">
        <f t="shared" si="73"/>
        <v>13.833</v>
      </c>
      <c r="J154" s="7">
        <f t="shared" si="73"/>
        <v>28.75</v>
      </c>
      <c r="K154" s="10">
        <f t="shared" si="61"/>
        <v>14.917</v>
      </c>
      <c r="L154" s="16">
        <f t="shared" si="62"/>
        <v>107.83633340562422</v>
      </c>
      <c r="M154" s="220"/>
      <c r="N154" s="221"/>
      <c r="O154" s="30"/>
      <c r="T154" s="30">
        <f t="shared" si="54"/>
        <v>0</v>
      </c>
    </row>
    <row r="155" spans="1:20" ht="17.25" customHeight="1">
      <c r="A155" s="8" t="s">
        <v>146</v>
      </c>
      <c r="B155" s="9" t="s">
        <v>147</v>
      </c>
      <c r="C155" s="8" t="s">
        <v>4</v>
      </c>
      <c r="D155" s="10">
        <v>13.856</v>
      </c>
      <c r="E155" s="8">
        <v>13.833</v>
      </c>
      <c r="F155" s="54">
        <f>17.624+11.126</f>
        <v>28.75</v>
      </c>
      <c r="G155" s="10">
        <f t="shared" si="59"/>
        <v>14.917</v>
      </c>
      <c r="H155" s="10">
        <v>13.856</v>
      </c>
      <c r="I155" s="8">
        <v>13.833</v>
      </c>
      <c r="J155" s="8">
        <f>F155</f>
        <v>28.75</v>
      </c>
      <c r="K155" s="10">
        <f t="shared" si="61"/>
        <v>14.917</v>
      </c>
      <c r="L155" s="16">
        <f t="shared" si="62"/>
        <v>107.83633340562422</v>
      </c>
      <c r="M155" s="220"/>
      <c r="N155" s="221"/>
      <c r="O155" s="30"/>
      <c r="T155" s="30">
        <f t="shared" si="54"/>
        <v>0</v>
      </c>
    </row>
    <row r="156" spans="1:20" ht="18" customHeight="1">
      <c r="A156" s="31" t="s">
        <v>148</v>
      </c>
      <c r="B156" s="6" t="s">
        <v>149</v>
      </c>
      <c r="C156" s="31" t="s">
        <v>4</v>
      </c>
      <c r="D156" s="27">
        <f t="shared" ref="D156" si="74">D157+D160+D163+D166+D169</f>
        <v>71.188999999999993</v>
      </c>
      <c r="E156" s="33">
        <v>72.417000000000002</v>
      </c>
      <c r="F156" s="27">
        <f>F157+F160+F163+F166+F169</f>
        <v>154.08199999999999</v>
      </c>
      <c r="G156" s="10">
        <f t="shared" si="59"/>
        <v>81.664999999999992</v>
      </c>
      <c r="H156" s="27">
        <f t="shared" ref="H156" si="75">H157+H160+H163+H166+H169</f>
        <v>71.188999999999993</v>
      </c>
      <c r="I156" s="47">
        <v>72.417000000000002</v>
      </c>
      <c r="J156" s="27">
        <f>J157+J160+J163+J166+J169</f>
        <v>154.08199999999999</v>
      </c>
      <c r="K156" s="10">
        <f t="shared" si="61"/>
        <v>81.664999999999992</v>
      </c>
      <c r="L156" s="16">
        <f t="shared" si="62"/>
        <v>112.77048206912741</v>
      </c>
      <c r="M156" s="220"/>
      <c r="N156" s="221"/>
      <c r="O156" s="30"/>
      <c r="P156">
        <v>869</v>
      </c>
      <c r="S156">
        <f>P156/12</f>
        <v>72.416666666666671</v>
      </c>
      <c r="T156" s="30">
        <f t="shared" si="54"/>
        <v>0</v>
      </c>
    </row>
    <row r="157" spans="1:20" ht="17.25" customHeight="1">
      <c r="A157" s="8" t="s">
        <v>150</v>
      </c>
      <c r="B157" s="9" t="s">
        <v>151</v>
      </c>
      <c r="C157" s="8" t="s">
        <v>4</v>
      </c>
      <c r="D157" s="10">
        <v>49.027999999999999</v>
      </c>
      <c r="E157" s="8"/>
      <c r="F157" s="54">
        <v>143.25</v>
      </c>
      <c r="G157" s="10">
        <f t="shared" si="59"/>
        <v>143.25</v>
      </c>
      <c r="H157" s="10">
        <v>49.027999999999999</v>
      </c>
      <c r="I157" s="8"/>
      <c r="J157" s="8">
        <f t="shared" ref="J157:J158" si="76">F157</f>
        <v>143.25</v>
      </c>
      <c r="K157" s="10">
        <f t="shared" si="61"/>
        <v>143.25</v>
      </c>
      <c r="L157" s="16"/>
      <c r="M157" s="220"/>
      <c r="N157" s="221"/>
      <c r="O157" s="30"/>
      <c r="T157" s="30">
        <f t="shared" si="54"/>
        <v>0</v>
      </c>
    </row>
    <row r="158" spans="1:20" ht="17.25" customHeight="1">
      <c r="A158" s="8"/>
      <c r="B158" s="28" t="s">
        <v>13</v>
      </c>
      <c r="C158" s="8" t="s">
        <v>152</v>
      </c>
      <c r="D158" s="10">
        <v>13.144</v>
      </c>
      <c r="E158" s="8"/>
      <c r="F158" s="8">
        <v>30.59</v>
      </c>
      <c r="G158" s="10">
        <f t="shared" si="59"/>
        <v>30.59</v>
      </c>
      <c r="H158" s="10">
        <v>13.144</v>
      </c>
      <c r="I158" s="8"/>
      <c r="J158" s="8">
        <f t="shared" si="76"/>
        <v>30.59</v>
      </c>
      <c r="K158" s="10">
        <f t="shared" si="61"/>
        <v>30.59</v>
      </c>
      <c r="L158" s="16"/>
      <c r="M158" s="227" t="s">
        <v>302</v>
      </c>
      <c r="N158" s="228"/>
      <c r="O158" s="30"/>
      <c r="T158" s="30">
        <f t="shared" si="54"/>
        <v>0</v>
      </c>
    </row>
    <row r="159" spans="1:20" ht="17.25" customHeight="1">
      <c r="A159" s="8"/>
      <c r="B159" s="28" t="s">
        <v>15</v>
      </c>
      <c r="C159" s="8" t="s">
        <v>16</v>
      </c>
      <c r="D159" s="16">
        <v>3729.99</v>
      </c>
      <c r="E159" s="16"/>
      <c r="F159" s="16">
        <f>F157/F158*1000</f>
        <v>4682.9029094475318</v>
      </c>
      <c r="G159" s="10">
        <f t="shared" si="59"/>
        <v>4682.9029094475318</v>
      </c>
      <c r="H159" s="16">
        <v>3729.99</v>
      </c>
      <c r="I159" s="16"/>
      <c r="J159" s="16">
        <f>J157/J158*1000</f>
        <v>4682.9029094475318</v>
      </c>
      <c r="K159" s="10">
        <f t="shared" si="61"/>
        <v>4682.9029094475318</v>
      </c>
      <c r="L159" s="16"/>
      <c r="M159" s="220"/>
      <c r="N159" s="221"/>
      <c r="O159" s="30"/>
      <c r="T159" s="30">
        <f t="shared" si="54"/>
        <v>0</v>
      </c>
    </row>
    <row r="160" spans="1:20" ht="17.25" customHeight="1">
      <c r="A160" s="8" t="s">
        <v>153</v>
      </c>
      <c r="B160" s="9" t="s">
        <v>154</v>
      </c>
      <c r="C160" s="8" t="s">
        <v>4</v>
      </c>
      <c r="D160" s="10">
        <v>0.92300000000000004</v>
      </c>
      <c r="E160" s="8"/>
      <c r="F160" s="8"/>
      <c r="G160" s="10">
        <f t="shared" si="59"/>
        <v>0</v>
      </c>
      <c r="H160" s="10">
        <v>0.92300000000000004</v>
      </c>
      <c r="I160" s="8"/>
      <c r="J160" s="8">
        <f t="shared" ref="J160:J161" si="77">F160</f>
        <v>0</v>
      </c>
      <c r="K160" s="10">
        <f t="shared" si="61"/>
        <v>0</v>
      </c>
      <c r="L160" s="16"/>
      <c r="M160" s="220"/>
      <c r="N160" s="221"/>
      <c r="O160" s="30"/>
      <c r="T160" s="30">
        <f t="shared" si="54"/>
        <v>0</v>
      </c>
    </row>
    <row r="161" spans="1:20" ht="17.25" customHeight="1">
      <c r="A161" s="8"/>
      <c r="B161" s="28" t="s">
        <v>13</v>
      </c>
      <c r="C161" s="8" t="s">
        <v>155</v>
      </c>
      <c r="D161" s="10">
        <v>0.75</v>
      </c>
      <c r="E161" s="8"/>
      <c r="F161" s="8"/>
      <c r="G161" s="10">
        <f t="shared" si="59"/>
        <v>0</v>
      </c>
      <c r="H161" s="10">
        <v>0.75</v>
      </c>
      <c r="I161" s="8"/>
      <c r="J161" s="8">
        <f t="shared" si="77"/>
        <v>0</v>
      </c>
      <c r="K161" s="10">
        <f t="shared" si="61"/>
        <v>0</v>
      </c>
      <c r="L161" s="16"/>
      <c r="M161" s="220"/>
      <c r="N161" s="221"/>
      <c r="O161" s="30"/>
      <c r="T161" s="30">
        <f t="shared" si="54"/>
        <v>0</v>
      </c>
    </row>
    <row r="162" spans="1:20" ht="17.25" customHeight="1">
      <c r="A162" s="8"/>
      <c r="B162" s="28" t="s">
        <v>15</v>
      </c>
      <c r="C162" s="8" t="s">
        <v>16</v>
      </c>
      <c r="D162" s="16">
        <f>D160/D161*1000</f>
        <v>1230.6666666666667</v>
      </c>
      <c r="E162" s="8"/>
      <c r="F162" s="8"/>
      <c r="G162" s="10">
        <f t="shared" si="59"/>
        <v>0</v>
      </c>
      <c r="H162" s="16">
        <f>H160/H161*1000</f>
        <v>1230.6666666666667</v>
      </c>
      <c r="I162" s="8"/>
      <c r="J162" s="8"/>
      <c r="K162" s="10">
        <f t="shared" si="61"/>
        <v>0</v>
      </c>
      <c r="L162" s="16"/>
      <c r="M162" s="220"/>
      <c r="N162" s="221"/>
      <c r="O162" s="30"/>
      <c r="T162" s="30">
        <f t="shared" si="54"/>
        <v>0</v>
      </c>
    </row>
    <row r="163" spans="1:20" ht="17.25" customHeight="1">
      <c r="A163" s="8" t="s">
        <v>156</v>
      </c>
      <c r="B163" s="9" t="s">
        <v>157</v>
      </c>
      <c r="C163" s="8" t="s">
        <v>4</v>
      </c>
      <c r="D163" s="10">
        <v>2.1800000000000002</v>
      </c>
      <c r="E163" s="8"/>
      <c r="F163" s="55">
        <v>7.0289999999999999</v>
      </c>
      <c r="G163" s="10">
        <f t="shared" si="59"/>
        <v>7.0289999999999999</v>
      </c>
      <c r="H163" s="10">
        <v>2.1800000000000002</v>
      </c>
      <c r="I163" s="8"/>
      <c r="J163" s="8">
        <f t="shared" ref="J163:J164" si="78">F163</f>
        <v>7.0289999999999999</v>
      </c>
      <c r="K163" s="10">
        <f t="shared" si="61"/>
        <v>7.0289999999999999</v>
      </c>
      <c r="L163" s="16"/>
      <c r="M163" s="220"/>
      <c r="N163" s="221"/>
      <c r="O163" s="30"/>
      <c r="T163" s="30">
        <f t="shared" si="54"/>
        <v>0</v>
      </c>
    </row>
    <row r="164" spans="1:20" ht="17.25" customHeight="1">
      <c r="A164" s="8"/>
      <c r="B164" s="28" t="s">
        <v>13</v>
      </c>
      <c r="C164" s="8" t="s">
        <v>155</v>
      </c>
      <c r="D164" s="14">
        <v>20</v>
      </c>
      <c r="E164" s="8"/>
      <c r="F164" s="8">
        <v>55</v>
      </c>
      <c r="G164" s="10">
        <f t="shared" si="59"/>
        <v>55</v>
      </c>
      <c r="H164" s="14">
        <v>20</v>
      </c>
      <c r="I164" s="8"/>
      <c r="J164" s="8">
        <f t="shared" si="78"/>
        <v>55</v>
      </c>
      <c r="K164" s="10">
        <f t="shared" si="61"/>
        <v>55</v>
      </c>
      <c r="L164" s="16"/>
      <c r="M164" s="220"/>
      <c r="N164" s="221"/>
      <c r="O164" s="30"/>
      <c r="T164" s="30">
        <f t="shared" si="54"/>
        <v>0</v>
      </c>
    </row>
    <row r="165" spans="1:20" ht="17.25" customHeight="1">
      <c r="A165" s="8"/>
      <c r="B165" s="28" t="s">
        <v>15</v>
      </c>
      <c r="C165" s="8" t="s">
        <v>16</v>
      </c>
      <c r="D165" s="16">
        <f>D163/D164*1000</f>
        <v>109.00000000000001</v>
      </c>
      <c r="E165" s="16"/>
      <c r="F165" s="16">
        <f t="shared" ref="F165" si="79">F163/F164*1000</f>
        <v>127.8</v>
      </c>
      <c r="G165" s="10">
        <f t="shared" si="59"/>
        <v>127.8</v>
      </c>
      <c r="H165" s="16">
        <f>H163/H164*1000</f>
        <v>109.00000000000001</v>
      </c>
      <c r="I165" s="16"/>
      <c r="J165" s="16">
        <f t="shared" ref="J165" si="80">J163/J164*1000</f>
        <v>127.8</v>
      </c>
      <c r="K165" s="10">
        <f t="shared" si="61"/>
        <v>127.8</v>
      </c>
      <c r="L165" s="16"/>
      <c r="M165" s="220"/>
      <c r="N165" s="221"/>
      <c r="O165" s="30"/>
      <c r="T165" s="30">
        <f t="shared" si="54"/>
        <v>0</v>
      </c>
    </row>
    <row r="166" spans="1:20" ht="17.25" customHeight="1">
      <c r="A166" s="8" t="s">
        <v>158</v>
      </c>
      <c r="B166" s="9" t="s">
        <v>159</v>
      </c>
      <c r="C166" s="8" t="s">
        <v>4</v>
      </c>
      <c r="D166" s="10">
        <v>19.058</v>
      </c>
      <c r="E166" s="8"/>
      <c r="F166" s="8"/>
      <c r="G166" s="10">
        <f t="shared" si="59"/>
        <v>0</v>
      </c>
      <c r="H166" s="10">
        <v>19.058</v>
      </c>
      <c r="I166" s="8"/>
      <c r="J166" s="8">
        <f t="shared" ref="J166:J167" si="81">F166</f>
        <v>0</v>
      </c>
      <c r="K166" s="10">
        <f t="shared" si="61"/>
        <v>0</v>
      </c>
      <c r="L166" s="16"/>
      <c r="M166" s="220"/>
      <c r="N166" s="221"/>
      <c r="O166" s="30"/>
      <c r="T166" s="30">
        <f t="shared" si="54"/>
        <v>0</v>
      </c>
    </row>
    <row r="167" spans="1:20" ht="17.25" customHeight="1">
      <c r="A167" s="8"/>
      <c r="B167" s="28" t="s">
        <v>13</v>
      </c>
      <c r="C167" s="8" t="s">
        <v>155</v>
      </c>
      <c r="D167" s="14">
        <v>16</v>
      </c>
      <c r="E167" s="8"/>
      <c r="F167" s="8"/>
      <c r="G167" s="10">
        <f t="shared" si="59"/>
        <v>0</v>
      </c>
      <c r="H167" s="14">
        <v>16</v>
      </c>
      <c r="I167" s="8"/>
      <c r="J167" s="8">
        <f t="shared" si="81"/>
        <v>0</v>
      </c>
      <c r="K167" s="10">
        <f t="shared" si="61"/>
        <v>0</v>
      </c>
      <c r="L167" s="16"/>
      <c r="M167" s="220"/>
      <c r="N167" s="221"/>
      <c r="O167" s="30"/>
      <c r="T167" s="30">
        <f t="shared" si="54"/>
        <v>0</v>
      </c>
    </row>
    <row r="168" spans="1:20" ht="17.25" customHeight="1">
      <c r="A168" s="8"/>
      <c r="B168" s="28" t="s">
        <v>15</v>
      </c>
      <c r="C168" s="8" t="s">
        <v>16</v>
      </c>
      <c r="D168" s="16">
        <f>D166/D167*1000</f>
        <v>1191.125</v>
      </c>
      <c r="E168" s="8"/>
      <c r="F168" s="8"/>
      <c r="G168" s="10">
        <f t="shared" si="59"/>
        <v>0</v>
      </c>
      <c r="H168" s="16">
        <f>H166/H167*1000</f>
        <v>1191.125</v>
      </c>
      <c r="I168" s="8"/>
      <c r="J168" s="8"/>
      <c r="K168" s="10">
        <f t="shared" si="61"/>
        <v>0</v>
      </c>
      <c r="L168" s="16"/>
      <c r="M168" s="220"/>
      <c r="N168" s="221"/>
      <c r="O168" s="30"/>
      <c r="T168" s="30">
        <f t="shared" si="54"/>
        <v>0</v>
      </c>
    </row>
    <row r="169" spans="1:20" ht="17.25" customHeight="1">
      <c r="A169" s="8" t="s">
        <v>158</v>
      </c>
      <c r="B169" s="9" t="s">
        <v>224</v>
      </c>
      <c r="C169" s="8" t="s">
        <v>4</v>
      </c>
      <c r="D169" s="10">
        <v>0</v>
      </c>
      <c r="E169" s="8"/>
      <c r="F169" s="55">
        <v>3.8029999999999999</v>
      </c>
      <c r="G169" s="10">
        <f t="shared" si="59"/>
        <v>3.8029999999999999</v>
      </c>
      <c r="H169" s="10">
        <v>0</v>
      </c>
      <c r="I169" s="8"/>
      <c r="J169" s="8">
        <f t="shared" ref="J169:J170" si="82">F169</f>
        <v>3.8029999999999999</v>
      </c>
      <c r="K169" s="10">
        <f t="shared" si="61"/>
        <v>3.8029999999999999</v>
      </c>
      <c r="L169" s="16"/>
      <c r="M169" s="220"/>
      <c r="N169" s="221"/>
      <c r="O169" s="30"/>
      <c r="T169" s="30">
        <f t="shared" si="54"/>
        <v>0</v>
      </c>
    </row>
    <row r="170" spans="1:20" ht="17.25" customHeight="1">
      <c r="A170" s="8"/>
      <c r="B170" s="28" t="s">
        <v>13</v>
      </c>
      <c r="C170" s="8" t="s">
        <v>155</v>
      </c>
      <c r="D170" s="14">
        <v>0</v>
      </c>
      <c r="E170" s="8"/>
      <c r="F170" s="8">
        <v>55</v>
      </c>
      <c r="G170" s="10">
        <f t="shared" si="59"/>
        <v>55</v>
      </c>
      <c r="H170" s="14">
        <v>0</v>
      </c>
      <c r="I170" s="8"/>
      <c r="J170" s="8">
        <f t="shared" si="82"/>
        <v>55</v>
      </c>
      <c r="K170" s="10">
        <f t="shared" si="61"/>
        <v>55</v>
      </c>
      <c r="L170" s="16"/>
      <c r="M170" s="220"/>
      <c r="N170" s="221"/>
      <c r="O170" s="30"/>
      <c r="T170" s="30">
        <f t="shared" si="54"/>
        <v>0</v>
      </c>
    </row>
    <row r="171" spans="1:20" ht="17.25" customHeight="1">
      <c r="A171" s="8"/>
      <c r="B171" s="28" t="s">
        <v>15</v>
      </c>
      <c r="C171" s="8" t="s">
        <v>16</v>
      </c>
      <c r="D171" s="16" t="e">
        <f>D169/D170*1000</f>
        <v>#DIV/0!</v>
      </c>
      <c r="E171" s="16"/>
      <c r="F171" s="16">
        <f t="shared" ref="F171" si="83">F169/F170*1000</f>
        <v>69.145454545454541</v>
      </c>
      <c r="G171" s="10">
        <f t="shared" si="59"/>
        <v>69.145454545454541</v>
      </c>
      <c r="H171" s="16" t="e">
        <f>H169/H170*1000</f>
        <v>#DIV/0!</v>
      </c>
      <c r="I171" s="16"/>
      <c r="J171" s="16">
        <f t="shared" ref="J171" si="84">J169/J170*1000</f>
        <v>69.145454545454541</v>
      </c>
      <c r="K171" s="10">
        <f t="shared" si="61"/>
        <v>69.145454545454541</v>
      </c>
      <c r="L171" s="16"/>
      <c r="M171" s="220"/>
      <c r="N171" s="221"/>
      <c r="O171" s="30"/>
      <c r="T171" s="30">
        <f t="shared" si="54"/>
        <v>0</v>
      </c>
    </row>
    <row r="172" spans="1:20" ht="17.25" customHeight="1">
      <c r="A172" s="16" t="s">
        <v>160</v>
      </c>
      <c r="B172" s="9" t="s">
        <v>108</v>
      </c>
      <c r="C172" s="8" t="s">
        <v>4</v>
      </c>
      <c r="D172" s="10">
        <v>62.704999999999998</v>
      </c>
      <c r="E172" s="8">
        <v>62.667000000000002</v>
      </c>
      <c r="F172" s="8">
        <f>F173+F174+F175</f>
        <v>43.67</v>
      </c>
      <c r="G172" s="10">
        <f t="shared" si="59"/>
        <v>-18.997</v>
      </c>
      <c r="H172" s="10">
        <v>62.704999999999998</v>
      </c>
      <c r="I172" s="8">
        <v>62.667000000000002</v>
      </c>
      <c r="J172" s="8">
        <f>J173+J174+J175</f>
        <v>43.67</v>
      </c>
      <c r="K172" s="10">
        <f t="shared" si="61"/>
        <v>-18.997</v>
      </c>
      <c r="L172" s="16">
        <f t="shared" si="62"/>
        <v>-30.314200456380551</v>
      </c>
      <c r="M172" s="220"/>
      <c r="N172" s="221"/>
      <c r="O172" s="30"/>
      <c r="P172">
        <v>752</v>
      </c>
      <c r="S172">
        <f>P172/12</f>
        <v>62.666666666666664</v>
      </c>
      <c r="T172" s="30">
        <f t="shared" si="54"/>
        <v>0</v>
      </c>
    </row>
    <row r="173" spans="1:20" ht="17.25" customHeight="1">
      <c r="A173" s="16"/>
      <c r="B173" s="9" t="s">
        <v>221</v>
      </c>
      <c r="C173" s="8" t="s">
        <v>4</v>
      </c>
      <c r="D173" s="10"/>
      <c r="E173" s="8"/>
      <c r="F173" s="54">
        <v>33.67</v>
      </c>
      <c r="G173" s="10">
        <f t="shared" si="59"/>
        <v>33.67</v>
      </c>
      <c r="H173" s="10"/>
      <c r="I173" s="8"/>
      <c r="J173" s="8">
        <f t="shared" ref="J173:J176" si="85">F173</f>
        <v>33.67</v>
      </c>
      <c r="K173" s="10">
        <f t="shared" si="61"/>
        <v>33.67</v>
      </c>
      <c r="L173" s="16"/>
      <c r="M173" s="220"/>
      <c r="N173" s="221"/>
      <c r="O173" s="30"/>
      <c r="T173" s="30">
        <f t="shared" si="54"/>
        <v>0</v>
      </c>
    </row>
    <row r="174" spans="1:20" ht="37.5" customHeight="1">
      <c r="A174" s="16"/>
      <c r="B174" s="9" t="s">
        <v>222</v>
      </c>
      <c r="C174" s="8" t="s">
        <v>4</v>
      </c>
      <c r="D174" s="10"/>
      <c r="E174" s="8"/>
      <c r="F174" s="54">
        <v>10</v>
      </c>
      <c r="G174" s="10">
        <f t="shared" si="59"/>
        <v>10</v>
      </c>
      <c r="H174" s="10"/>
      <c r="I174" s="8"/>
      <c r="J174" s="8">
        <f t="shared" si="85"/>
        <v>10</v>
      </c>
      <c r="K174" s="10">
        <f t="shared" si="61"/>
        <v>10</v>
      </c>
      <c r="L174" s="16"/>
      <c r="M174" s="220"/>
      <c r="N174" s="221"/>
      <c r="O174" s="30"/>
      <c r="T174" s="30">
        <f t="shared" si="54"/>
        <v>0</v>
      </c>
    </row>
    <row r="175" spans="1:20" ht="18.75" customHeight="1">
      <c r="A175" s="16"/>
      <c r="B175" s="9" t="s">
        <v>223</v>
      </c>
      <c r="C175" s="8" t="s">
        <v>4</v>
      </c>
      <c r="D175" s="10"/>
      <c r="E175" s="8"/>
      <c r="F175" s="8"/>
      <c r="G175" s="10">
        <f t="shared" si="59"/>
        <v>0</v>
      </c>
      <c r="H175" s="10"/>
      <c r="I175" s="8"/>
      <c r="J175" s="8">
        <f t="shared" si="85"/>
        <v>0</v>
      </c>
      <c r="K175" s="10">
        <f t="shared" si="61"/>
        <v>0</v>
      </c>
      <c r="L175" s="16"/>
      <c r="M175" s="220"/>
      <c r="N175" s="221"/>
      <c r="O175" s="30"/>
      <c r="T175" s="30">
        <f t="shared" si="54"/>
        <v>0</v>
      </c>
    </row>
    <row r="176" spans="1:20" ht="18.75">
      <c r="A176" s="16" t="s">
        <v>161</v>
      </c>
      <c r="B176" s="9" t="s">
        <v>162</v>
      </c>
      <c r="C176" s="8" t="s">
        <v>4</v>
      </c>
      <c r="D176" s="10">
        <v>64.906000000000006</v>
      </c>
      <c r="E176" s="8">
        <v>64.917000000000002</v>
      </c>
      <c r="F176" s="55">
        <f>8.551+29.673+7.053+13.047+13.125</f>
        <v>71.448999999999998</v>
      </c>
      <c r="G176" s="10">
        <f t="shared" si="59"/>
        <v>6.5319999999999965</v>
      </c>
      <c r="H176" s="10">
        <v>64.906000000000006</v>
      </c>
      <c r="I176" s="8">
        <v>64.917000000000002</v>
      </c>
      <c r="J176" s="8">
        <f t="shared" si="85"/>
        <v>71.448999999999998</v>
      </c>
      <c r="K176" s="10">
        <f t="shared" si="61"/>
        <v>6.5319999999999965</v>
      </c>
      <c r="L176" s="16">
        <f t="shared" si="62"/>
        <v>10.062079270453033</v>
      </c>
      <c r="M176" s="220"/>
      <c r="N176" s="221"/>
      <c r="O176" s="30"/>
      <c r="P176">
        <v>779</v>
      </c>
      <c r="S176">
        <f>P176/12</f>
        <v>64.916666666666671</v>
      </c>
      <c r="T176" s="30">
        <f t="shared" si="54"/>
        <v>0</v>
      </c>
    </row>
    <row r="177" spans="1:20" ht="35.25" customHeight="1">
      <c r="A177" s="16" t="s">
        <v>163</v>
      </c>
      <c r="B177" s="9" t="s">
        <v>165</v>
      </c>
      <c r="C177" s="8" t="s">
        <v>4</v>
      </c>
      <c r="D177" s="10">
        <f>D178</f>
        <v>2.2330000000000001</v>
      </c>
      <c r="E177" s="8"/>
      <c r="F177" s="8"/>
      <c r="G177" s="10">
        <f t="shared" si="59"/>
        <v>0</v>
      </c>
      <c r="H177" s="10">
        <f>H178</f>
        <v>2.2330000000000001</v>
      </c>
      <c r="I177" s="8"/>
      <c r="J177" s="8"/>
      <c r="K177" s="10">
        <f t="shared" si="61"/>
        <v>0</v>
      </c>
      <c r="L177" s="16"/>
      <c r="M177" s="220"/>
      <c r="N177" s="221"/>
      <c r="O177" s="30"/>
      <c r="T177" s="30">
        <f t="shared" si="54"/>
        <v>0</v>
      </c>
    </row>
    <row r="178" spans="1:20" ht="18.75" customHeight="1">
      <c r="A178" s="16"/>
      <c r="B178" s="9" t="s">
        <v>100</v>
      </c>
      <c r="C178" s="8" t="s">
        <v>4</v>
      </c>
      <c r="D178" s="10">
        <v>2.2330000000000001</v>
      </c>
      <c r="E178" s="8"/>
      <c r="F178" s="8"/>
      <c r="G178" s="10">
        <f t="shared" si="59"/>
        <v>0</v>
      </c>
      <c r="H178" s="10">
        <v>2.2330000000000001</v>
      </c>
      <c r="I178" s="8"/>
      <c r="J178" s="8"/>
      <c r="K178" s="10">
        <f t="shared" si="61"/>
        <v>0</v>
      </c>
      <c r="L178" s="16"/>
      <c r="M178" s="36"/>
      <c r="N178" s="37"/>
      <c r="O178" s="30"/>
      <c r="T178" s="30">
        <f t="shared" si="54"/>
        <v>0</v>
      </c>
    </row>
    <row r="179" spans="1:20" ht="17.25" customHeight="1">
      <c r="A179" s="16" t="s">
        <v>164</v>
      </c>
      <c r="B179" s="6" t="s">
        <v>169</v>
      </c>
      <c r="C179" s="31" t="s">
        <v>4</v>
      </c>
      <c r="D179" s="7">
        <f t="shared" ref="D179:F179" si="86">D180+D181+D182</f>
        <v>318.99799999999999</v>
      </c>
      <c r="E179" s="7">
        <f t="shared" si="86"/>
        <v>637.41600000000005</v>
      </c>
      <c r="F179" s="7">
        <f t="shared" si="86"/>
        <v>0</v>
      </c>
      <c r="G179" s="10">
        <f t="shared" si="59"/>
        <v>-637.41600000000005</v>
      </c>
      <c r="H179" s="7">
        <f t="shared" ref="H179:J179" si="87">H180+H181+H182</f>
        <v>318.99799999999999</v>
      </c>
      <c r="I179" s="7">
        <f t="shared" si="87"/>
        <v>637.41600000000005</v>
      </c>
      <c r="J179" s="7">
        <f t="shared" si="87"/>
        <v>0</v>
      </c>
      <c r="K179" s="10">
        <f t="shared" si="61"/>
        <v>-637.41600000000005</v>
      </c>
      <c r="L179" s="16">
        <f t="shared" si="62"/>
        <v>-100</v>
      </c>
      <c r="M179" s="220"/>
      <c r="N179" s="221"/>
      <c r="O179" s="30"/>
      <c r="T179" s="30">
        <f t="shared" si="54"/>
        <v>0</v>
      </c>
    </row>
    <row r="180" spans="1:20" ht="17.25" customHeight="1">
      <c r="A180" s="8" t="s">
        <v>166</v>
      </c>
      <c r="B180" s="9" t="s">
        <v>170</v>
      </c>
      <c r="C180" s="8" t="s">
        <v>4</v>
      </c>
      <c r="D180" s="10">
        <v>61.292999999999999</v>
      </c>
      <c r="E180" s="8">
        <v>61.332999999999998</v>
      </c>
      <c r="F180" s="8"/>
      <c r="G180" s="10">
        <f t="shared" si="59"/>
        <v>-61.332999999999998</v>
      </c>
      <c r="H180" s="10">
        <v>61.292999999999999</v>
      </c>
      <c r="I180" s="8">
        <v>61.332999999999998</v>
      </c>
      <c r="J180" s="8">
        <f t="shared" ref="J180:J183" si="88">F180</f>
        <v>0</v>
      </c>
      <c r="K180" s="10">
        <f t="shared" si="61"/>
        <v>-61.332999999999998</v>
      </c>
      <c r="L180" s="16">
        <f t="shared" si="62"/>
        <v>-100</v>
      </c>
      <c r="M180" s="220"/>
      <c r="N180" s="221"/>
      <c r="O180" s="30"/>
      <c r="P180">
        <v>736</v>
      </c>
      <c r="S180">
        <f>P180/12</f>
        <v>61.333333333333336</v>
      </c>
      <c r="T180" s="30">
        <f t="shared" si="54"/>
        <v>0</v>
      </c>
    </row>
    <row r="181" spans="1:20" ht="17.25" customHeight="1">
      <c r="A181" s="8" t="s">
        <v>167</v>
      </c>
      <c r="B181" s="9" t="s">
        <v>171</v>
      </c>
      <c r="C181" s="8" t="s">
        <v>4</v>
      </c>
      <c r="D181" s="10">
        <v>168.477</v>
      </c>
      <c r="E181" s="8">
        <v>486.83300000000003</v>
      </c>
      <c r="F181" s="8"/>
      <c r="G181" s="10">
        <f t="shared" si="59"/>
        <v>-486.83300000000003</v>
      </c>
      <c r="H181" s="10">
        <v>168.477</v>
      </c>
      <c r="I181" s="8">
        <v>486.83300000000003</v>
      </c>
      <c r="J181" s="8">
        <f t="shared" si="88"/>
        <v>0</v>
      </c>
      <c r="K181" s="10">
        <f t="shared" si="61"/>
        <v>-486.83300000000003</v>
      </c>
      <c r="L181" s="16">
        <f t="shared" si="62"/>
        <v>-100</v>
      </c>
      <c r="M181" s="227" t="s">
        <v>300</v>
      </c>
      <c r="N181" s="228"/>
      <c r="O181" s="30"/>
      <c r="P181">
        <v>5842</v>
      </c>
      <c r="S181">
        <f>P181/12</f>
        <v>486.83333333333331</v>
      </c>
      <c r="T181" s="30">
        <f t="shared" si="54"/>
        <v>0</v>
      </c>
    </row>
    <row r="182" spans="1:20" ht="17.25" customHeight="1">
      <c r="A182" s="8" t="s">
        <v>267</v>
      </c>
      <c r="B182" s="9" t="s">
        <v>172</v>
      </c>
      <c r="C182" s="8" t="s">
        <v>4</v>
      </c>
      <c r="D182" s="10">
        <v>89.227999999999994</v>
      </c>
      <c r="E182" s="10">
        <v>89.25</v>
      </c>
      <c r="F182" s="8"/>
      <c r="G182" s="10">
        <f t="shared" si="59"/>
        <v>-89.25</v>
      </c>
      <c r="H182" s="10">
        <v>89.227999999999994</v>
      </c>
      <c r="I182" s="10">
        <v>89.25</v>
      </c>
      <c r="J182" s="8">
        <f t="shared" si="88"/>
        <v>0</v>
      </c>
      <c r="K182" s="10">
        <f t="shared" si="61"/>
        <v>-89.25</v>
      </c>
      <c r="L182" s="16">
        <f t="shared" si="62"/>
        <v>-100</v>
      </c>
      <c r="M182" s="227" t="s">
        <v>300</v>
      </c>
      <c r="N182" s="228"/>
      <c r="O182" s="30"/>
      <c r="P182">
        <v>1071</v>
      </c>
      <c r="S182">
        <f>P182/12</f>
        <v>89.25</v>
      </c>
      <c r="T182" s="30">
        <f t="shared" si="54"/>
        <v>0</v>
      </c>
    </row>
    <row r="183" spans="1:20" ht="53.25" customHeight="1">
      <c r="A183" s="8" t="s">
        <v>168</v>
      </c>
      <c r="B183" s="9" t="s">
        <v>174</v>
      </c>
      <c r="C183" s="8" t="s">
        <v>4</v>
      </c>
      <c r="D183" s="10">
        <v>95.709000000000003</v>
      </c>
      <c r="E183" s="8">
        <v>93.167000000000002</v>
      </c>
      <c r="F183" s="55">
        <v>76.558000000000007</v>
      </c>
      <c r="G183" s="10">
        <f t="shared" si="59"/>
        <v>-16.608999999999995</v>
      </c>
      <c r="H183" s="10">
        <v>95.709000000000003</v>
      </c>
      <c r="I183" s="8">
        <v>93.167000000000002</v>
      </c>
      <c r="J183" s="8">
        <f t="shared" si="88"/>
        <v>76.558000000000007</v>
      </c>
      <c r="K183" s="10">
        <f t="shared" si="61"/>
        <v>-16.608999999999995</v>
      </c>
      <c r="L183" s="16">
        <f t="shared" si="62"/>
        <v>-17.827127631028148</v>
      </c>
      <c r="M183" s="222" t="s">
        <v>303</v>
      </c>
      <c r="N183" s="223"/>
      <c r="O183" s="30"/>
      <c r="P183">
        <v>1118</v>
      </c>
      <c r="S183">
        <f>P183/12</f>
        <v>93.166666666666671</v>
      </c>
      <c r="T183" s="30">
        <f t="shared" si="54"/>
        <v>0</v>
      </c>
    </row>
    <row r="184" spans="1:20" ht="33" customHeight="1">
      <c r="A184" s="31" t="s">
        <v>173</v>
      </c>
      <c r="B184" s="6" t="s">
        <v>176</v>
      </c>
      <c r="C184" s="31" t="s">
        <v>4</v>
      </c>
      <c r="D184" s="7">
        <f t="shared" ref="D184:F184" si="89">D185+D186+D187</f>
        <v>50.518000000000001</v>
      </c>
      <c r="E184" s="7">
        <v>50.5</v>
      </c>
      <c r="F184" s="7">
        <f t="shared" si="89"/>
        <v>0</v>
      </c>
      <c r="G184" s="10">
        <f t="shared" si="59"/>
        <v>-50.5</v>
      </c>
      <c r="H184" s="7">
        <f t="shared" ref="H184" si="90">H185+H186+H187</f>
        <v>50.518000000000001</v>
      </c>
      <c r="I184" s="7">
        <v>50.5</v>
      </c>
      <c r="J184" s="7">
        <f t="shared" ref="J184" si="91">J185+J186+J187</f>
        <v>0</v>
      </c>
      <c r="K184" s="10">
        <f t="shared" si="61"/>
        <v>-50.5</v>
      </c>
      <c r="L184" s="16">
        <f t="shared" si="62"/>
        <v>-100</v>
      </c>
      <c r="M184" s="229" t="s">
        <v>293</v>
      </c>
      <c r="N184" s="230"/>
      <c r="O184" s="30"/>
      <c r="P184">
        <v>606</v>
      </c>
      <c r="S184">
        <f>P184/12</f>
        <v>50.5</v>
      </c>
      <c r="T184" s="30">
        <f t="shared" si="54"/>
        <v>0</v>
      </c>
    </row>
    <row r="185" spans="1:20" ht="17.25" customHeight="1">
      <c r="A185" s="8" t="s">
        <v>268</v>
      </c>
      <c r="B185" s="9" t="s">
        <v>177</v>
      </c>
      <c r="C185" s="8" t="s">
        <v>4</v>
      </c>
      <c r="D185" s="10">
        <v>19.254000000000001</v>
      </c>
      <c r="E185" s="8"/>
      <c r="F185" s="8"/>
      <c r="G185" s="10">
        <f t="shared" si="59"/>
        <v>0</v>
      </c>
      <c r="H185" s="10">
        <v>19.254000000000001</v>
      </c>
      <c r="I185" s="8"/>
      <c r="J185" s="8">
        <f t="shared" ref="J185:J187" si="92">F185</f>
        <v>0</v>
      </c>
      <c r="K185" s="10">
        <f t="shared" si="61"/>
        <v>0</v>
      </c>
      <c r="L185" s="16"/>
      <c r="M185" s="220"/>
      <c r="N185" s="221"/>
      <c r="O185" s="30"/>
      <c r="T185" s="30">
        <f t="shared" si="54"/>
        <v>0</v>
      </c>
    </row>
    <row r="186" spans="1:20" ht="17.25" customHeight="1">
      <c r="A186" s="8" t="s">
        <v>269</v>
      </c>
      <c r="B186" s="9" t="s">
        <v>178</v>
      </c>
      <c r="C186" s="8" t="s">
        <v>4</v>
      </c>
      <c r="D186" s="10">
        <v>8.7639999999999993</v>
      </c>
      <c r="E186" s="8"/>
      <c r="F186" s="8"/>
      <c r="G186" s="10">
        <f t="shared" si="59"/>
        <v>0</v>
      </c>
      <c r="H186" s="10">
        <v>8.7639999999999993</v>
      </c>
      <c r="I186" s="8"/>
      <c r="J186" s="8">
        <f t="shared" si="92"/>
        <v>0</v>
      </c>
      <c r="K186" s="10">
        <f t="shared" si="61"/>
        <v>0</v>
      </c>
      <c r="L186" s="16"/>
      <c r="M186" s="220"/>
      <c r="N186" s="221"/>
      <c r="O186" s="30"/>
      <c r="T186" s="30">
        <f t="shared" si="54"/>
        <v>0</v>
      </c>
    </row>
    <row r="187" spans="1:20" ht="17.25" customHeight="1">
      <c r="A187" s="8" t="s">
        <v>270</v>
      </c>
      <c r="B187" s="9" t="s">
        <v>179</v>
      </c>
      <c r="C187" s="8" t="s">
        <v>4</v>
      </c>
      <c r="D187" s="10">
        <v>22.5</v>
      </c>
      <c r="E187" s="8"/>
      <c r="F187" s="8"/>
      <c r="G187" s="10">
        <f t="shared" si="59"/>
        <v>0</v>
      </c>
      <c r="H187" s="10">
        <v>22.5</v>
      </c>
      <c r="I187" s="8"/>
      <c r="J187" s="8">
        <f t="shared" si="92"/>
        <v>0</v>
      </c>
      <c r="K187" s="10">
        <f t="shared" si="61"/>
        <v>0</v>
      </c>
      <c r="L187" s="16"/>
      <c r="M187" s="220"/>
      <c r="N187" s="221"/>
      <c r="O187" s="30"/>
      <c r="T187" s="30">
        <f t="shared" si="54"/>
        <v>0</v>
      </c>
    </row>
    <row r="188" spans="1:20" ht="17.25" customHeight="1">
      <c r="A188" s="31" t="s">
        <v>175</v>
      </c>
      <c r="B188" s="6" t="s">
        <v>180</v>
      </c>
      <c r="C188" s="31" t="s">
        <v>4</v>
      </c>
      <c r="D188" s="7">
        <f>D189+D190+D191+D192+D197+D198+D199+D200+D204</f>
        <v>186.78400000000005</v>
      </c>
      <c r="E188" s="7">
        <f>E189+E190+E191+E192+E197+E198+E199+E200+E204</f>
        <v>193.416</v>
      </c>
      <c r="F188" s="7">
        <f>F189+F190+F191+F192+F197+F198+F199+F200+F204</f>
        <v>88.114999999999995</v>
      </c>
      <c r="G188" s="10">
        <f t="shared" si="59"/>
        <v>-105.301</v>
      </c>
      <c r="H188" s="7">
        <f>H189+H190+H191+H192+H197+H198+H199+H200+H204</f>
        <v>186.78400000000005</v>
      </c>
      <c r="I188" s="7">
        <f>I189+I190+I191+I192+I197+I198+I199+I200+I204</f>
        <v>193.416</v>
      </c>
      <c r="J188" s="7">
        <f>J189+J190+J191+J192+J197+J198+J199+J200+J204</f>
        <v>88.114999999999995</v>
      </c>
      <c r="K188" s="10">
        <f t="shared" si="61"/>
        <v>-105.301</v>
      </c>
      <c r="L188" s="16">
        <f t="shared" si="62"/>
        <v>-54.442755511436488</v>
      </c>
      <c r="M188" s="226"/>
      <c r="N188" s="221"/>
      <c r="O188" s="30"/>
      <c r="T188" s="30">
        <f t="shared" si="54"/>
        <v>0</v>
      </c>
    </row>
    <row r="189" spans="1:20" ht="17.25" customHeight="1">
      <c r="A189" s="18" t="s">
        <v>271</v>
      </c>
      <c r="B189" s="9" t="s">
        <v>181</v>
      </c>
      <c r="C189" s="8" t="s">
        <v>4</v>
      </c>
      <c r="D189" s="10">
        <v>0</v>
      </c>
      <c r="E189" s="8"/>
      <c r="F189" s="8"/>
      <c r="G189" s="10">
        <f t="shared" si="59"/>
        <v>0</v>
      </c>
      <c r="H189" s="10">
        <v>0</v>
      </c>
      <c r="I189" s="8"/>
      <c r="J189" s="8">
        <f t="shared" ref="J189:J191" si="93">F189</f>
        <v>0</v>
      </c>
      <c r="K189" s="10">
        <f t="shared" si="61"/>
        <v>0</v>
      </c>
      <c r="L189" s="16"/>
      <c r="M189" s="220"/>
      <c r="N189" s="221"/>
      <c r="O189" s="30"/>
      <c r="T189" s="30">
        <f t="shared" si="54"/>
        <v>0</v>
      </c>
    </row>
    <row r="190" spans="1:20" ht="17.25" customHeight="1">
      <c r="A190" s="18" t="s">
        <v>272</v>
      </c>
      <c r="B190" s="9" t="s">
        <v>182</v>
      </c>
      <c r="C190" s="8" t="s">
        <v>4</v>
      </c>
      <c r="D190" s="10">
        <v>15.651</v>
      </c>
      <c r="E190" s="10">
        <v>22.25</v>
      </c>
      <c r="F190" s="55">
        <v>21.355</v>
      </c>
      <c r="G190" s="10">
        <f t="shared" si="59"/>
        <v>-0.89499999999999957</v>
      </c>
      <c r="H190" s="10">
        <v>15.651</v>
      </c>
      <c r="I190" s="10">
        <v>22.25</v>
      </c>
      <c r="J190" s="8">
        <f t="shared" si="93"/>
        <v>21.355</v>
      </c>
      <c r="K190" s="10">
        <f t="shared" si="61"/>
        <v>-0.89499999999999957</v>
      </c>
      <c r="L190" s="16">
        <f t="shared" si="62"/>
        <v>-4.0224719101123574</v>
      </c>
      <c r="M190" s="220"/>
      <c r="N190" s="221"/>
      <c r="O190" s="30"/>
      <c r="P190">
        <v>267</v>
      </c>
      <c r="S190" s="30">
        <f>P190/12</f>
        <v>22.25</v>
      </c>
      <c r="T190" s="30">
        <f t="shared" si="54"/>
        <v>0</v>
      </c>
    </row>
    <row r="191" spans="1:20" ht="33.75" customHeight="1">
      <c r="A191" s="18" t="s">
        <v>273</v>
      </c>
      <c r="B191" s="9" t="s">
        <v>237</v>
      </c>
      <c r="C191" s="8" t="s">
        <v>4</v>
      </c>
      <c r="D191" s="10">
        <v>1.4910000000000001</v>
      </c>
      <c r="E191" s="10">
        <v>1.5</v>
      </c>
      <c r="F191" s="54">
        <v>1.79</v>
      </c>
      <c r="G191" s="10">
        <f t="shared" si="59"/>
        <v>0.29000000000000004</v>
      </c>
      <c r="H191" s="10">
        <v>1.4910000000000001</v>
      </c>
      <c r="I191" s="10">
        <v>1.5</v>
      </c>
      <c r="J191" s="8">
        <f t="shared" si="93"/>
        <v>1.79</v>
      </c>
      <c r="K191" s="10">
        <f t="shared" si="61"/>
        <v>0.29000000000000004</v>
      </c>
      <c r="L191" s="16">
        <f t="shared" si="62"/>
        <v>19.333333333333336</v>
      </c>
      <c r="M191" s="220"/>
      <c r="N191" s="221"/>
      <c r="O191" s="30"/>
      <c r="T191" s="30">
        <f t="shared" si="54"/>
        <v>0</v>
      </c>
    </row>
    <row r="192" spans="1:20" ht="36.75" customHeight="1">
      <c r="A192" s="18" t="s">
        <v>274</v>
      </c>
      <c r="B192" s="9" t="s">
        <v>183</v>
      </c>
      <c r="C192" s="8" t="s">
        <v>4</v>
      </c>
      <c r="D192" s="10">
        <f t="shared" ref="D192:F192" si="94">D193+D194+D195+D196</f>
        <v>149.55900000000003</v>
      </c>
      <c r="E192" s="10">
        <f t="shared" si="94"/>
        <v>149.583</v>
      </c>
      <c r="F192" s="10">
        <f t="shared" si="94"/>
        <v>62.951999999999998</v>
      </c>
      <c r="G192" s="10">
        <f t="shared" si="59"/>
        <v>-86.631</v>
      </c>
      <c r="H192" s="10">
        <f t="shared" ref="H192:J192" si="95">H193+H194+H195+H196</f>
        <v>149.55900000000003</v>
      </c>
      <c r="I192" s="10">
        <f t="shared" si="95"/>
        <v>149.583</v>
      </c>
      <c r="J192" s="10">
        <f t="shared" si="95"/>
        <v>62.951999999999998</v>
      </c>
      <c r="K192" s="10">
        <f t="shared" si="61"/>
        <v>-86.631</v>
      </c>
      <c r="L192" s="16">
        <f t="shared" si="62"/>
        <v>-57.915003710314672</v>
      </c>
      <c r="M192" s="220"/>
      <c r="N192" s="221"/>
      <c r="O192" s="30"/>
      <c r="T192" s="30">
        <f t="shared" si="54"/>
        <v>0</v>
      </c>
    </row>
    <row r="193" spans="1:20" ht="74.25" customHeight="1">
      <c r="A193" s="8" t="s">
        <v>275</v>
      </c>
      <c r="B193" s="9" t="s">
        <v>184</v>
      </c>
      <c r="C193" s="8" t="s">
        <v>4</v>
      </c>
      <c r="D193" s="10">
        <v>33.363999999999997</v>
      </c>
      <c r="E193" s="8">
        <v>33.332999999999998</v>
      </c>
      <c r="F193" s="55">
        <v>40.329000000000001</v>
      </c>
      <c r="G193" s="10">
        <f t="shared" si="59"/>
        <v>6.9960000000000022</v>
      </c>
      <c r="H193" s="10">
        <v>33.363999999999997</v>
      </c>
      <c r="I193" s="8">
        <v>33.332999999999998</v>
      </c>
      <c r="J193" s="8">
        <f t="shared" ref="J193:J204" si="96">F193</f>
        <v>40.329000000000001</v>
      </c>
      <c r="K193" s="10">
        <f t="shared" si="61"/>
        <v>6.9960000000000022</v>
      </c>
      <c r="L193" s="16">
        <f t="shared" si="62"/>
        <v>20.988209882098829</v>
      </c>
      <c r="M193" s="220"/>
      <c r="N193" s="221"/>
      <c r="O193" s="30"/>
      <c r="P193">
        <v>400</v>
      </c>
      <c r="S193">
        <f>P193/12</f>
        <v>33.333333333333336</v>
      </c>
      <c r="T193" s="30">
        <f t="shared" si="54"/>
        <v>0</v>
      </c>
    </row>
    <row r="194" spans="1:20" ht="93" customHeight="1">
      <c r="A194" s="8" t="s">
        <v>276</v>
      </c>
      <c r="B194" s="9" t="s">
        <v>238</v>
      </c>
      <c r="C194" s="8" t="s">
        <v>4</v>
      </c>
      <c r="D194" s="10">
        <v>89.792000000000002</v>
      </c>
      <c r="E194" s="8">
        <v>89.832999999999998</v>
      </c>
      <c r="F194" s="8"/>
      <c r="G194" s="10">
        <f t="shared" si="59"/>
        <v>-89.832999999999998</v>
      </c>
      <c r="H194" s="10">
        <v>89.792000000000002</v>
      </c>
      <c r="I194" s="8">
        <v>89.832999999999998</v>
      </c>
      <c r="J194" s="8">
        <f t="shared" si="96"/>
        <v>0</v>
      </c>
      <c r="K194" s="10">
        <f t="shared" si="61"/>
        <v>-89.832999999999998</v>
      </c>
      <c r="L194" s="16">
        <f t="shared" si="62"/>
        <v>-100</v>
      </c>
      <c r="M194" s="220"/>
      <c r="N194" s="221"/>
      <c r="O194" s="30"/>
      <c r="P194">
        <v>1078</v>
      </c>
      <c r="S194">
        <f>P194/12</f>
        <v>89.833333333333329</v>
      </c>
      <c r="T194" s="30">
        <f t="shared" si="54"/>
        <v>0</v>
      </c>
    </row>
    <row r="195" spans="1:20" ht="90.75" customHeight="1">
      <c r="A195" s="8" t="s">
        <v>277</v>
      </c>
      <c r="B195" s="9" t="s">
        <v>185</v>
      </c>
      <c r="C195" s="8" t="s">
        <v>4</v>
      </c>
      <c r="D195" s="10">
        <v>7.9660000000000002</v>
      </c>
      <c r="E195" s="8">
        <v>8</v>
      </c>
      <c r="F195" s="55">
        <v>5.2370000000000001</v>
      </c>
      <c r="G195" s="10">
        <f t="shared" si="59"/>
        <v>-2.7629999999999999</v>
      </c>
      <c r="H195" s="10">
        <v>7.9660000000000002</v>
      </c>
      <c r="I195" s="8">
        <v>8</v>
      </c>
      <c r="J195" s="8">
        <f t="shared" si="96"/>
        <v>5.2370000000000001</v>
      </c>
      <c r="K195" s="10">
        <f t="shared" si="61"/>
        <v>-2.7629999999999999</v>
      </c>
      <c r="L195" s="16">
        <f t="shared" si="62"/>
        <v>-34.537500000000001</v>
      </c>
      <c r="M195" s="220"/>
      <c r="N195" s="221"/>
      <c r="O195" s="30"/>
      <c r="P195">
        <v>96</v>
      </c>
      <c r="S195">
        <f>P195/12</f>
        <v>8</v>
      </c>
      <c r="T195" s="30">
        <f t="shared" si="54"/>
        <v>0</v>
      </c>
    </row>
    <row r="196" spans="1:20" ht="37.5" customHeight="1">
      <c r="A196" s="8" t="s">
        <v>278</v>
      </c>
      <c r="B196" s="9" t="s">
        <v>186</v>
      </c>
      <c r="C196" s="8" t="s">
        <v>4</v>
      </c>
      <c r="D196" s="10">
        <v>18.437000000000001</v>
      </c>
      <c r="E196" s="8">
        <v>18.417000000000002</v>
      </c>
      <c r="F196" s="55">
        <v>17.385999999999999</v>
      </c>
      <c r="G196" s="10">
        <f t="shared" si="59"/>
        <v>-1.0310000000000024</v>
      </c>
      <c r="H196" s="10">
        <v>18.437000000000001</v>
      </c>
      <c r="I196" s="8">
        <v>18.417000000000002</v>
      </c>
      <c r="J196" s="8">
        <f t="shared" si="96"/>
        <v>17.385999999999999</v>
      </c>
      <c r="K196" s="10">
        <f t="shared" si="61"/>
        <v>-1.0310000000000024</v>
      </c>
      <c r="L196" s="16">
        <f t="shared" si="62"/>
        <v>-5.5980887223760778</v>
      </c>
      <c r="M196" s="220"/>
      <c r="N196" s="221"/>
      <c r="O196" s="30"/>
      <c r="P196">
        <v>221</v>
      </c>
      <c r="S196">
        <f>P196/12</f>
        <v>18.416666666666668</v>
      </c>
      <c r="T196" s="30">
        <f t="shared" si="54"/>
        <v>0</v>
      </c>
    </row>
    <row r="197" spans="1:20" ht="17.25" customHeight="1">
      <c r="A197" s="18" t="s">
        <v>279</v>
      </c>
      <c r="B197" s="26" t="s">
        <v>187</v>
      </c>
      <c r="C197" s="8" t="s">
        <v>4</v>
      </c>
      <c r="D197" s="10">
        <v>15.818</v>
      </c>
      <c r="E197" s="8">
        <v>15.833</v>
      </c>
      <c r="F197" s="8"/>
      <c r="G197" s="10">
        <f t="shared" si="59"/>
        <v>-15.833</v>
      </c>
      <c r="H197" s="10">
        <v>15.818</v>
      </c>
      <c r="I197" s="8">
        <v>15.833</v>
      </c>
      <c r="J197" s="8">
        <f t="shared" si="96"/>
        <v>0</v>
      </c>
      <c r="K197" s="10">
        <f t="shared" si="61"/>
        <v>-15.833</v>
      </c>
      <c r="L197" s="16">
        <f t="shared" si="62"/>
        <v>-100</v>
      </c>
      <c r="M197" s="220"/>
      <c r="N197" s="221"/>
      <c r="O197" s="30"/>
      <c r="T197" s="30">
        <f t="shared" si="54"/>
        <v>0</v>
      </c>
    </row>
    <row r="198" spans="1:20" ht="17.25" customHeight="1">
      <c r="A198" s="18"/>
      <c r="B198" s="26" t="s">
        <v>125</v>
      </c>
      <c r="C198" s="8" t="s">
        <v>4</v>
      </c>
      <c r="D198" s="10">
        <v>0.34200000000000003</v>
      </c>
      <c r="E198" s="8">
        <v>0.33300000000000002</v>
      </c>
      <c r="F198" s="8"/>
      <c r="G198" s="10">
        <f t="shared" si="59"/>
        <v>-0.33300000000000002</v>
      </c>
      <c r="H198" s="10">
        <v>0.34200000000000003</v>
      </c>
      <c r="I198" s="8">
        <v>0.33300000000000002</v>
      </c>
      <c r="J198" s="8">
        <f t="shared" si="96"/>
        <v>0</v>
      </c>
      <c r="K198" s="10">
        <f t="shared" si="61"/>
        <v>-0.33300000000000002</v>
      </c>
      <c r="L198" s="16">
        <f t="shared" si="62"/>
        <v>-100</v>
      </c>
      <c r="M198" s="220"/>
      <c r="N198" s="221"/>
      <c r="O198" s="30"/>
      <c r="T198" s="30">
        <f t="shared" si="54"/>
        <v>0</v>
      </c>
    </row>
    <row r="199" spans="1:20" ht="17.25" customHeight="1">
      <c r="A199" s="18" t="s">
        <v>280</v>
      </c>
      <c r="B199" s="26" t="s">
        <v>188</v>
      </c>
      <c r="C199" s="8" t="s">
        <v>4</v>
      </c>
      <c r="D199" s="10">
        <v>0</v>
      </c>
      <c r="E199" s="8"/>
      <c r="F199" s="8"/>
      <c r="G199" s="10">
        <f t="shared" si="59"/>
        <v>0</v>
      </c>
      <c r="H199" s="10">
        <v>0</v>
      </c>
      <c r="I199" s="8"/>
      <c r="J199" s="8">
        <f t="shared" si="96"/>
        <v>0</v>
      </c>
      <c r="K199" s="10">
        <f t="shared" si="61"/>
        <v>0</v>
      </c>
      <c r="L199" s="16"/>
      <c r="M199" s="220"/>
      <c r="N199" s="221"/>
      <c r="O199" s="30"/>
      <c r="T199" s="30">
        <f t="shared" si="54"/>
        <v>0</v>
      </c>
    </row>
    <row r="200" spans="1:20" ht="27" customHeight="1">
      <c r="A200" s="18" t="s">
        <v>281</v>
      </c>
      <c r="B200" s="26" t="s">
        <v>189</v>
      </c>
      <c r="C200" s="8" t="s">
        <v>4</v>
      </c>
      <c r="D200" s="10">
        <v>3.923</v>
      </c>
      <c r="E200" s="8">
        <v>3.9169999999999998</v>
      </c>
      <c r="F200" s="55">
        <v>2.0179999999999998</v>
      </c>
      <c r="G200" s="10">
        <f t="shared" si="59"/>
        <v>-1.899</v>
      </c>
      <c r="H200" s="10">
        <v>3.923</v>
      </c>
      <c r="I200" s="8">
        <v>3.9169999999999998</v>
      </c>
      <c r="J200" s="8">
        <f t="shared" si="96"/>
        <v>2.0179999999999998</v>
      </c>
      <c r="K200" s="10">
        <f t="shared" si="61"/>
        <v>-1.899</v>
      </c>
      <c r="L200" s="16">
        <f t="shared" si="62"/>
        <v>-48.480980342098547</v>
      </c>
      <c r="M200" s="222" t="s">
        <v>289</v>
      </c>
      <c r="N200" s="223"/>
      <c r="O200" s="30"/>
      <c r="T200" s="30">
        <f t="shared" si="54"/>
        <v>0</v>
      </c>
    </row>
    <row r="201" spans="1:20" ht="17.25" customHeight="1">
      <c r="A201" s="18" t="s">
        <v>282</v>
      </c>
      <c r="B201" s="26" t="s">
        <v>225</v>
      </c>
      <c r="C201" s="8" t="s">
        <v>4</v>
      </c>
      <c r="D201" s="10">
        <v>0</v>
      </c>
      <c r="E201" s="8"/>
      <c r="F201" s="8"/>
      <c r="G201" s="10">
        <f t="shared" si="59"/>
        <v>0</v>
      </c>
      <c r="H201" s="10">
        <v>0</v>
      </c>
      <c r="I201" s="8"/>
      <c r="J201" s="8">
        <f t="shared" si="96"/>
        <v>0</v>
      </c>
      <c r="K201" s="10">
        <f t="shared" si="61"/>
        <v>0</v>
      </c>
      <c r="L201" s="16" t="e">
        <f t="shared" si="62"/>
        <v>#DIV/0!</v>
      </c>
      <c r="M201" s="222" t="s">
        <v>290</v>
      </c>
      <c r="N201" s="223"/>
      <c r="O201" s="30"/>
      <c r="T201" s="30">
        <f t="shared" ref="T201:T214" si="97">J201-F201</f>
        <v>0</v>
      </c>
    </row>
    <row r="202" spans="1:20" ht="17.25" customHeight="1">
      <c r="A202" s="18" t="s">
        <v>283</v>
      </c>
      <c r="B202" s="26" t="s">
        <v>228</v>
      </c>
      <c r="C202" s="8" t="s">
        <v>4</v>
      </c>
      <c r="D202" s="10">
        <v>0</v>
      </c>
      <c r="E202" s="8"/>
      <c r="F202" s="8"/>
      <c r="G202" s="10">
        <f t="shared" si="59"/>
        <v>0</v>
      </c>
      <c r="H202" s="10">
        <v>0</v>
      </c>
      <c r="I202" s="8"/>
      <c r="J202" s="8">
        <f t="shared" si="96"/>
        <v>0</v>
      </c>
      <c r="K202" s="10">
        <f t="shared" si="61"/>
        <v>0</v>
      </c>
      <c r="L202" s="16" t="e">
        <f t="shared" si="62"/>
        <v>#DIV/0!</v>
      </c>
      <c r="M202" s="222" t="s">
        <v>290</v>
      </c>
      <c r="N202" s="223"/>
      <c r="O202" s="30"/>
      <c r="T202" s="30">
        <f t="shared" si="97"/>
        <v>0</v>
      </c>
    </row>
    <row r="203" spans="1:20" ht="34.5" customHeight="1">
      <c r="A203" s="18" t="s">
        <v>284</v>
      </c>
      <c r="B203" s="26" t="s">
        <v>231</v>
      </c>
      <c r="C203" s="8" t="s">
        <v>4</v>
      </c>
      <c r="D203" s="10">
        <v>0</v>
      </c>
      <c r="E203" s="8"/>
      <c r="F203" s="8"/>
      <c r="G203" s="10">
        <f t="shared" si="59"/>
        <v>0</v>
      </c>
      <c r="H203" s="10">
        <v>0</v>
      </c>
      <c r="I203" s="8"/>
      <c r="J203" s="8">
        <f t="shared" si="96"/>
        <v>0</v>
      </c>
      <c r="K203" s="10">
        <f t="shared" si="61"/>
        <v>0</v>
      </c>
      <c r="L203" s="16" t="e">
        <f t="shared" si="62"/>
        <v>#DIV/0!</v>
      </c>
      <c r="M203" s="222" t="s">
        <v>290</v>
      </c>
      <c r="N203" s="223"/>
      <c r="O203" s="30"/>
      <c r="T203" s="30">
        <f t="shared" si="97"/>
        <v>0</v>
      </c>
    </row>
    <row r="204" spans="1:20" ht="17.25" customHeight="1">
      <c r="A204" s="18" t="s">
        <v>282</v>
      </c>
      <c r="B204" s="26" t="s">
        <v>230</v>
      </c>
      <c r="C204" s="8" t="s">
        <v>4</v>
      </c>
      <c r="D204" s="10">
        <v>0</v>
      </c>
      <c r="E204" s="8"/>
      <c r="F204" s="8"/>
      <c r="G204" s="10">
        <f t="shared" si="59"/>
        <v>0</v>
      </c>
      <c r="H204" s="10">
        <v>0</v>
      </c>
      <c r="I204" s="8"/>
      <c r="J204" s="8">
        <f t="shared" si="96"/>
        <v>0</v>
      </c>
      <c r="K204" s="10">
        <f t="shared" si="61"/>
        <v>0</v>
      </c>
      <c r="L204" s="16"/>
      <c r="M204" s="220"/>
      <c r="N204" s="221"/>
      <c r="O204" s="30"/>
      <c r="T204" s="30">
        <f t="shared" si="97"/>
        <v>0</v>
      </c>
    </row>
    <row r="205" spans="1:20" ht="21" customHeight="1">
      <c r="A205" s="31" t="s">
        <v>190</v>
      </c>
      <c r="B205" s="6" t="s">
        <v>191</v>
      </c>
      <c r="C205" s="31" t="s">
        <v>4</v>
      </c>
      <c r="D205" s="7">
        <f>D8+D138</f>
        <v>76555.231</v>
      </c>
      <c r="E205" s="21">
        <f>E8+E138</f>
        <v>71086.831999999995</v>
      </c>
      <c r="F205" s="7">
        <f>F8+F138</f>
        <v>68188.676000000007</v>
      </c>
      <c r="G205" s="10">
        <f t="shared" ref="G205:G213" si="98">F205-E205</f>
        <v>-2898.1559999999881</v>
      </c>
      <c r="H205" s="7">
        <f>H8+H138</f>
        <v>76555.231</v>
      </c>
      <c r="I205" s="21">
        <f>I8+I138</f>
        <v>71086.831999999995</v>
      </c>
      <c r="J205" s="7">
        <f>J8+J138</f>
        <v>68188.676000000007</v>
      </c>
      <c r="K205" s="10">
        <f t="shared" ref="K205:K213" si="99">J205-I205</f>
        <v>-2898.1559999999881</v>
      </c>
      <c r="L205" s="16">
        <f t="shared" ref="L205:L213" si="100">K205/I205*100</f>
        <v>-4.0769238387216191</v>
      </c>
      <c r="M205" s="220"/>
      <c r="N205" s="221"/>
      <c r="O205" s="30"/>
      <c r="P205">
        <v>853042</v>
      </c>
      <c r="S205">
        <f t="shared" ref="S205:S209" si="101">P205/12</f>
        <v>71086.833333333328</v>
      </c>
      <c r="T205" s="30">
        <f t="shared" si="97"/>
        <v>0</v>
      </c>
    </row>
    <row r="206" spans="1:20" ht="17.25" customHeight="1">
      <c r="A206" s="31" t="s">
        <v>192</v>
      </c>
      <c r="B206" s="6" t="s">
        <v>193</v>
      </c>
      <c r="C206" s="31" t="s">
        <v>4</v>
      </c>
      <c r="D206" s="7">
        <v>1469.992</v>
      </c>
      <c r="E206" s="33">
        <v>1470.0830000000001</v>
      </c>
      <c r="F206" s="21">
        <f>F209-F205</f>
        <v>-693.80016000001342</v>
      </c>
      <c r="G206" s="10">
        <f t="shared" si="98"/>
        <v>-2163.8831600000135</v>
      </c>
      <c r="H206" s="7">
        <v>1469.992</v>
      </c>
      <c r="I206" s="47">
        <v>1470.0830000000001</v>
      </c>
      <c r="J206" s="21">
        <f>J209-J205</f>
        <v>-693.80016000001342</v>
      </c>
      <c r="K206" s="10">
        <f t="shared" si="99"/>
        <v>-2163.8831600000135</v>
      </c>
      <c r="L206" s="16">
        <f t="shared" si="100"/>
        <v>-147.19462506538838</v>
      </c>
      <c r="M206" s="220"/>
      <c r="N206" s="221"/>
      <c r="O206" s="30"/>
      <c r="P206">
        <v>17641</v>
      </c>
      <c r="S206">
        <f t="shared" si="101"/>
        <v>1470.0833333333333</v>
      </c>
      <c r="T206" s="30">
        <f t="shared" si="97"/>
        <v>0</v>
      </c>
    </row>
    <row r="207" spans="1:20" ht="17.25" customHeight="1">
      <c r="A207" s="31" t="s">
        <v>194</v>
      </c>
      <c r="B207" s="6" t="s">
        <v>195</v>
      </c>
      <c r="C207" s="31" t="s">
        <v>4</v>
      </c>
      <c r="D207" s="7">
        <f>D205+D206</f>
        <v>78025.222999999998</v>
      </c>
      <c r="E207" s="21">
        <f>E205+E206</f>
        <v>72556.914999999994</v>
      </c>
      <c r="F207" s="7">
        <f>F205+F206</f>
        <v>67494.875839999993</v>
      </c>
      <c r="G207" s="10">
        <f t="shared" si="98"/>
        <v>-5062.0391600000003</v>
      </c>
      <c r="H207" s="7">
        <f>H205+H206</f>
        <v>78025.222999999998</v>
      </c>
      <c r="I207" s="21">
        <f>I205+I206</f>
        <v>72556.914999999994</v>
      </c>
      <c r="J207" s="7">
        <f>J205+J206</f>
        <v>67494.875839999993</v>
      </c>
      <c r="K207" s="10">
        <f t="shared" si="99"/>
        <v>-5062.0391600000003</v>
      </c>
      <c r="L207" s="16">
        <f t="shared" si="100"/>
        <v>-6.976646071570161</v>
      </c>
      <c r="M207" s="220"/>
      <c r="N207" s="221"/>
      <c r="O207" s="30"/>
      <c r="P207">
        <v>870683</v>
      </c>
      <c r="S207">
        <f t="shared" si="101"/>
        <v>72556.916666666672</v>
      </c>
      <c r="T207" s="30">
        <f t="shared" si="97"/>
        <v>0</v>
      </c>
    </row>
    <row r="208" spans="1:20" ht="17.25" customHeight="1">
      <c r="A208" s="224" t="s">
        <v>196</v>
      </c>
      <c r="B208" s="225" t="s">
        <v>197</v>
      </c>
      <c r="C208" s="31" t="s">
        <v>114</v>
      </c>
      <c r="D208" s="7">
        <v>559.39200000000005</v>
      </c>
      <c r="E208" s="33">
        <v>523.61</v>
      </c>
      <c r="F208" s="33">
        <v>489.37700000000001</v>
      </c>
      <c r="G208" s="10">
        <f t="shared" si="98"/>
        <v>-34.233000000000004</v>
      </c>
      <c r="H208" s="7">
        <v>559.39200000000005</v>
      </c>
      <c r="I208" s="47">
        <v>523.61</v>
      </c>
      <c r="J208" s="47">
        <v>489.37700000000001</v>
      </c>
      <c r="K208" s="10">
        <f t="shared" si="99"/>
        <v>-34.233000000000004</v>
      </c>
      <c r="L208" s="16">
        <f t="shared" si="100"/>
        <v>-6.5378812474933641</v>
      </c>
      <c r="M208" s="220"/>
      <c r="N208" s="221"/>
      <c r="O208" s="30"/>
      <c r="P208">
        <v>6283</v>
      </c>
      <c r="S208">
        <f t="shared" si="101"/>
        <v>523.58333333333337</v>
      </c>
      <c r="T208" s="30">
        <f t="shared" si="97"/>
        <v>0</v>
      </c>
    </row>
    <row r="209" spans="1:20" ht="17.25" customHeight="1">
      <c r="A209" s="224"/>
      <c r="B209" s="225"/>
      <c r="C209" s="31" t="s">
        <v>4</v>
      </c>
      <c r="D209" s="7">
        <f>D207</f>
        <v>78025.222999999998</v>
      </c>
      <c r="E209" s="21">
        <f>E207</f>
        <v>72556.914999999994</v>
      </c>
      <c r="F209" s="33">
        <f>F213*F208</f>
        <v>67494.875839999993</v>
      </c>
      <c r="G209" s="10">
        <f t="shared" si="98"/>
        <v>-5062.0391600000003</v>
      </c>
      <c r="H209" s="7">
        <f>H207</f>
        <v>78025.222999999998</v>
      </c>
      <c r="I209" s="21">
        <f>I207</f>
        <v>72556.914999999994</v>
      </c>
      <c r="J209" s="47">
        <f>J213*J208</f>
        <v>67494.875839999993</v>
      </c>
      <c r="K209" s="10">
        <f t="shared" si="99"/>
        <v>-5062.0391600000003</v>
      </c>
      <c r="L209" s="16">
        <f t="shared" si="100"/>
        <v>-6.976646071570161</v>
      </c>
      <c r="M209" s="220"/>
      <c r="N209" s="221"/>
      <c r="O209" s="30"/>
      <c r="S209">
        <f t="shared" si="101"/>
        <v>0</v>
      </c>
      <c r="T209" s="30">
        <f t="shared" si="97"/>
        <v>0</v>
      </c>
    </row>
    <row r="210" spans="1:20" ht="17.25" customHeight="1">
      <c r="A210" s="31" t="s">
        <v>198</v>
      </c>
      <c r="B210" s="32" t="s">
        <v>199</v>
      </c>
      <c r="C210" s="31" t="s">
        <v>114</v>
      </c>
      <c r="D210" s="7">
        <v>761.69899999999996</v>
      </c>
      <c r="E210" s="21">
        <v>713</v>
      </c>
      <c r="F210" s="33">
        <v>645.62300000000005</v>
      </c>
      <c r="G210" s="10">
        <f t="shared" si="98"/>
        <v>-67.376999999999953</v>
      </c>
      <c r="H210" s="7">
        <v>761.69899999999996</v>
      </c>
      <c r="I210" s="21">
        <v>713</v>
      </c>
      <c r="J210" s="47">
        <v>645.62300000000005</v>
      </c>
      <c r="K210" s="10">
        <f t="shared" si="99"/>
        <v>-67.376999999999953</v>
      </c>
      <c r="L210" s="16">
        <f t="shared" si="100"/>
        <v>-9.4497896213183665</v>
      </c>
      <c r="M210" s="220"/>
      <c r="N210" s="221"/>
      <c r="O210" s="30"/>
      <c r="T210" s="30">
        <f t="shared" si="97"/>
        <v>0</v>
      </c>
    </row>
    <row r="211" spans="1:20" ht="17.25" customHeight="1">
      <c r="A211" s="224" t="s">
        <v>200</v>
      </c>
      <c r="B211" s="225" t="s">
        <v>201</v>
      </c>
      <c r="C211" s="31" t="s">
        <v>202</v>
      </c>
      <c r="D211" s="21">
        <f>D212/D210*100</f>
        <v>26.559966600980168</v>
      </c>
      <c r="E211" s="21">
        <f>E212/E210*100</f>
        <v>26.562412342215985</v>
      </c>
      <c r="F211" s="21">
        <f>F212/F210*100</f>
        <v>24.200810689829826</v>
      </c>
      <c r="G211" s="10">
        <f t="shared" si="98"/>
        <v>-2.3616016523861596</v>
      </c>
      <c r="H211" s="21">
        <f>H212/H210*100</f>
        <v>26.559966600980168</v>
      </c>
      <c r="I211" s="21">
        <f>I212/I210*100</f>
        <v>26.562412342215985</v>
      </c>
      <c r="J211" s="21">
        <f>J212/J210*100</f>
        <v>24.200810689829826</v>
      </c>
      <c r="K211" s="10">
        <f t="shared" si="99"/>
        <v>-2.3616016523861596</v>
      </c>
      <c r="L211" s="16">
        <f t="shared" si="100"/>
        <v>-8.8907649725504623</v>
      </c>
      <c r="M211" s="220"/>
      <c r="N211" s="221"/>
      <c r="O211" s="30"/>
      <c r="T211" s="30">
        <f t="shared" si="97"/>
        <v>0</v>
      </c>
    </row>
    <row r="212" spans="1:20" ht="17.25" customHeight="1">
      <c r="A212" s="224"/>
      <c r="B212" s="225"/>
      <c r="C212" s="31" t="s">
        <v>114</v>
      </c>
      <c r="D212" s="7">
        <f>D210-D208</f>
        <v>202.3069999999999</v>
      </c>
      <c r="E212" s="7">
        <f>E210-E208</f>
        <v>189.39</v>
      </c>
      <c r="F212" s="7">
        <f>F210-F208</f>
        <v>156.24600000000004</v>
      </c>
      <c r="G212" s="10">
        <f t="shared" si="98"/>
        <v>-33.143999999999949</v>
      </c>
      <c r="H212" s="7">
        <f>H210-H208</f>
        <v>202.3069999999999</v>
      </c>
      <c r="I212" s="7">
        <f>I210-I208</f>
        <v>189.39</v>
      </c>
      <c r="J212" s="7">
        <f>J210-J208</f>
        <v>156.24600000000004</v>
      </c>
      <c r="K212" s="10">
        <f t="shared" si="99"/>
        <v>-33.143999999999949</v>
      </c>
      <c r="L212" s="16">
        <f t="shared" si="100"/>
        <v>-17.500396008236947</v>
      </c>
      <c r="M212" s="220"/>
      <c r="N212" s="221"/>
      <c r="O212" s="30"/>
      <c r="T212" s="30">
        <f t="shared" si="97"/>
        <v>0</v>
      </c>
    </row>
    <row r="213" spans="1:20" s="1" customFormat="1" ht="21" customHeight="1">
      <c r="A213" s="31" t="s">
        <v>203</v>
      </c>
      <c r="B213" s="6" t="s">
        <v>204</v>
      </c>
      <c r="C213" s="31" t="s">
        <v>205</v>
      </c>
      <c r="D213" s="21">
        <f>D207/D208</f>
        <v>139.48219316686686</v>
      </c>
      <c r="E213" s="21">
        <f>E209/E208</f>
        <v>138.57052959263572</v>
      </c>
      <c r="F213" s="33">
        <v>137.91999999999999</v>
      </c>
      <c r="G213" s="10">
        <f t="shared" si="98"/>
        <v>-0.65052959263573484</v>
      </c>
      <c r="H213" s="21">
        <f>H207/H208</f>
        <v>139.48219316686686</v>
      </c>
      <c r="I213" s="21">
        <f>I209/I208</f>
        <v>138.57052959263572</v>
      </c>
      <c r="J213" s="47">
        <v>137.91999999999999</v>
      </c>
      <c r="K213" s="10">
        <f t="shared" si="99"/>
        <v>-0.65052959263573484</v>
      </c>
      <c r="L213" s="16">
        <f t="shared" si="100"/>
        <v>-0.46945739079451926</v>
      </c>
      <c r="M213" s="220"/>
      <c r="N213" s="221"/>
      <c r="O213" s="30"/>
      <c r="P213"/>
      <c r="Q213"/>
      <c r="R213"/>
      <c r="S213"/>
      <c r="T213" s="30">
        <f t="shared" si="97"/>
        <v>0</v>
      </c>
    </row>
    <row r="214" spans="1:20" ht="17.25" customHeight="1">
      <c r="A214" s="8"/>
      <c r="B214" s="9" t="s">
        <v>206</v>
      </c>
      <c r="C214" s="8"/>
      <c r="D214" s="21"/>
      <c r="E214" s="8"/>
      <c r="F214" s="8"/>
      <c r="G214" s="8"/>
      <c r="H214" s="21"/>
      <c r="I214" s="8"/>
      <c r="J214" s="8"/>
      <c r="K214" s="8"/>
      <c r="L214" s="16"/>
      <c r="M214" s="220"/>
      <c r="N214" s="221"/>
      <c r="T214" s="30">
        <f t="shared" si="97"/>
        <v>0</v>
      </c>
    </row>
    <row r="215" spans="1:20" ht="35.25" customHeight="1">
      <c r="A215" s="8">
        <v>7</v>
      </c>
      <c r="B215" s="9" t="s">
        <v>207</v>
      </c>
      <c r="C215" s="8" t="s">
        <v>208</v>
      </c>
      <c r="D215" s="14">
        <f>D216+D217</f>
        <v>253</v>
      </c>
      <c r="E215" s="14">
        <f t="shared" ref="E215:G215" si="102">E216+E217</f>
        <v>0</v>
      </c>
      <c r="F215" s="14">
        <f t="shared" si="102"/>
        <v>0</v>
      </c>
      <c r="G215" s="14">
        <f t="shared" si="102"/>
        <v>0</v>
      </c>
      <c r="H215" s="14">
        <f>H216+H217</f>
        <v>253</v>
      </c>
      <c r="I215" s="14">
        <f t="shared" ref="I215:K215" si="103">I216+I217</f>
        <v>0</v>
      </c>
      <c r="J215" s="14">
        <f t="shared" si="103"/>
        <v>0</v>
      </c>
      <c r="K215" s="14">
        <f t="shared" si="103"/>
        <v>0</v>
      </c>
      <c r="L215" s="16"/>
      <c r="M215" s="220"/>
      <c r="N215" s="221"/>
    </row>
    <row r="216" spans="1:20" ht="17.25" customHeight="1">
      <c r="A216" s="18" t="s">
        <v>209</v>
      </c>
      <c r="B216" s="9" t="s">
        <v>210</v>
      </c>
      <c r="C216" s="8" t="s">
        <v>208</v>
      </c>
      <c r="D216" s="14">
        <v>236</v>
      </c>
      <c r="E216" s="8"/>
      <c r="F216" s="8"/>
      <c r="G216" s="8"/>
      <c r="H216" s="14">
        <v>236</v>
      </c>
      <c r="I216" s="8"/>
      <c r="J216" s="8"/>
      <c r="K216" s="8"/>
      <c r="L216" s="16"/>
      <c r="M216" s="220"/>
      <c r="N216" s="221"/>
    </row>
    <row r="217" spans="1:20" ht="17.25" customHeight="1">
      <c r="A217" s="18" t="s">
        <v>211</v>
      </c>
      <c r="B217" s="9" t="s">
        <v>212</v>
      </c>
      <c r="C217" s="8" t="s">
        <v>208</v>
      </c>
      <c r="D217" s="14">
        <v>17</v>
      </c>
      <c r="E217" s="8"/>
      <c r="F217" s="8"/>
      <c r="G217" s="8"/>
      <c r="H217" s="14">
        <v>17</v>
      </c>
      <c r="I217" s="8"/>
      <c r="J217" s="8"/>
      <c r="K217" s="8"/>
      <c r="L217" s="16"/>
      <c r="M217" s="220"/>
      <c r="N217" s="221"/>
    </row>
    <row r="218" spans="1:20" ht="36" customHeight="1">
      <c r="A218" s="18" t="s">
        <v>213</v>
      </c>
      <c r="B218" s="9" t="s">
        <v>214</v>
      </c>
      <c r="C218" s="8" t="s">
        <v>16</v>
      </c>
      <c r="D218" s="14">
        <f>(D88+D145)/D215*1000</f>
        <v>86746.573122529648</v>
      </c>
      <c r="E218" s="8"/>
      <c r="F218" s="8"/>
      <c r="G218" s="8"/>
      <c r="H218" s="14">
        <f>(H88+H145)/H215*1000</f>
        <v>86746.573122529648</v>
      </c>
      <c r="I218" s="8"/>
      <c r="J218" s="8"/>
      <c r="K218" s="8"/>
      <c r="L218" s="16"/>
      <c r="M218" s="220"/>
      <c r="N218" s="221"/>
    </row>
    <row r="219" spans="1:20" ht="17.25" customHeight="1">
      <c r="A219" s="18" t="s">
        <v>215</v>
      </c>
      <c r="B219" s="9" t="s">
        <v>210</v>
      </c>
      <c r="C219" s="8" t="s">
        <v>16</v>
      </c>
      <c r="D219" s="14">
        <f>D88/D216*1000</f>
        <v>84883.580508474581</v>
      </c>
      <c r="E219" s="8"/>
      <c r="F219" s="8"/>
      <c r="G219" s="8"/>
      <c r="H219" s="14">
        <f>H88/H216*1000</f>
        <v>84883.580508474581</v>
      </c>
      <c r="I219" s="8"/>
      <c r="J219" s="8"/>
      <c r="K219" s="8"/>
      <c r="L219" s="16"/>
      <c r="M219" s="220"/>
      <c r="N219" s="221"/>
    </row>
    <row r="220" spans="1:20" ht="17.25" customHeight="1">
      <c r="A220" s="18" t="s">
        <v>216</v>
      </c>
      <c r="B220" s="9" t="s">
        <v>212</v>
      </c>
      <c r="C220" s="8" t="s">
        <v>16</v>
      </c>
      <c r="D220" s="14">
        <f>D145/D217*1000</f>
        <v>112609.29411764705</v>
      </c>
      <c r="E220" s="8"/>
      <c r="F220" s="8"/>
      <c r="G220" s="8"/>
      <c r="H220" s="14">
        <f>H145/H217*1000</f>
        <v>112609.29411764705</v>
      </c>
      <c r="I220" s="8"/>
      <c r="J220" s="8"/>
      <c r="K220" s="8"/>
      <c r="L220" s="16"/>
      <c r="M220" s="220"/>
      <c r="N220" s="221"/>
    </row>
    <row r="221" spans="1:20" ht="18.75">
      <c r="A221" s="29"/>
      <c r="B221" s="29"/>
      <c r="C221" s="29"/>
      <c r="D221" s="29"/>
      <c r="E221" s="29"/>
      <c r="F221" s="29"/>
      <c r="G221" s="29"/>
      <c r="H221" s="29">
        <f>H220*I217*12/1000</f>
        <v>0</v>
      </c>
      <c r="I221" s="29">
        <f>H218*I216*12/1000</f>
        <v>0</v>
      </c>
      <c r="J221" s="29"/>
      <c r="K221" s="29"/>
      <c r="L221" s="29"/>
      <c r="M221" s="29"/>
      <c r="N221" s="29">
        <f>H221+I221</f>
        <v>0</v>
      </c>
    </row>
    <row r="222" spans="1:20" ht="18.75">
      <c r="A222" s="29"/>
      <c r="B222" s="29"/>
      <c r="C222" s="29"/>
      <c r="D222" s="29"/>
      <c r="E222" s="29"/>
      <c r="F222" s="29"/>
      <c r="G222" s="29"/>
      <c r="H222" s="29">
        <v>607.40800000000002</v>
      </c>
      <c r="I222" s="29">
        <v>9999.5409999999993</v>
      </c>
      <c r="J222" s="29"/>
      <c r="K222" s="29"/>
      <c r="L222" s="29"/>
      <c r="M222" s="29"/>
      <c r="N222" s="29"/>
    </row>
    <row r="223" spans="1:20" ht="18.75">
      <c r="A223" s="29"/>
      <c r="B223" s="29"/>
      <c r="C223" s="29"/>
      <c r="D223" s="29"/>
      <c r="E223" s="29"/>
      <c r="F223" s="29"/>
      <c r="G223" s="29"/>
      <c r="H223" s="29">
        <v>953.40200000000004</v>
      </c>
      <c r="I223" s="29">
        <v>10043.467000000001</v>
      </c>
      <c r="J223" s="29"/>
      <c r="K223" s="29"/>
      <c r="L223" s="29"/>
      <c r="M223" s="29"/>
      <c r="N223" s="29"/>
    </row>
    <row r="224" spans="1:20" ht="18.75">
      <c r="A224" s="29"/>
      <c r="B224" s="29"/>
      <c r="C224" s="29"/>
      <c r="D224" s="29"/>
      <c r="E224" s="29"/>
      <c r="F224" s="29"/>
      <c r="G224" s="29"/>
      <c r="H224" s="29"/>
      <c r="I224" s="29">
        <f>888.772+371.175+148.47</f>
        <v>1408.4170000000001</v>
      </c>
      <c r="J224" s="29"/>
      <c r="K224" s="29"/>
      <c r="L224" s="29"/>
      <c r="M224" s="29"/>
      <c r="N224" s="29"/>
    </row>
    <row r="225" spans="1:15" ht="18.75">
      <c r="A225" s="29"/>
      <c r="B225" s="29"/>
      <c r="C225" s="29"/>
      <c r="D225" s="29"/>
      <c r="E225" s="29"/>
      <c r="F225" s="29"/>
      <c r="G225" s="29"/>
      <c r="H225" s="29">
        <f>SUM(H221:H223)</f>
        <v>1560.81</v>
      </c>
      <c r="I225" s="29">
        <f>SUM(I221:I224)</f>
        <v>21451.425000000003</v>
      </c>
      <c r="J225" s="29"/>
      <c r="K225" s="29"/>
      <c r="L225" s="29"/>
      <c r="M225" s="29"/>
      <c r="N225" s="29">
        <f>SUM(H225:M225)</f>
        <v>23012.235000000004</v>
      </c>
      <c r="O225" s="30">
        <f>I88+I145</f>
        <v>20167.5</v>
      </c>
    </row>
    <row r="226" spans="1:15" ht="72.75" customHeight="1">
      <c r="A226" s="29"/>
      <c r="B226" s="29" t="s">
        <v>295</v>
      </c>
      <c r="C226" s="29"/>
      <c r="D226" s="29"/>
      <c r="E226" s="29"/>
      <c r="F226" s="29"/>
      <c r="G226" s="29"/>
      <c r="H226" s="29"/>
      <c r="I226" s="29" t="s">
        <v>296</v>
      </c>
      <c r="J226" s="29"/>
      <c r="K226" s="29"/>
      <c r="L226" s="29"/>
      <c r="M226" s="29"/>
      <c r="N226" s="29">
        <f>H219*I216*12</f>
        <v>0</v>
      </c>
      <c r="O226">
        <v>15043000</v>
      </c>
    </row>
    <row r="227" spans="1:15" ht="9" customHeigh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</row>
    <row r="228" spans="1:15" ht="52.5" hidden="1" customHeight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</row>
    <row r="229" spans="1:15" ht="15.75" hidden="1" customHeight="1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</row>
    <row r="230" spans="1:15" ht="27" hidden="1" customHeight="1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</row>
    <row r="231" spans="1:15" ht="30" customHeight="1">
      <c r="A231" s="29"/>
      <c r="B231" s="29" t="s">
        <v>233</v>
      </c>
      <c r="C231" s="29"/>
      <c r="D231" s="29"/>
      <c r="E231" s="29"/>
      <c r="F231" s="29"/>
      <c r="G231" s="29"/>
      <c r="H231" s="29"/>
      <c r="I231" s="29" t="s">
        <v>234</v>
      </c>
      <c r="J231" s="29"/>
      <c r="K231" s="29"/>
      <c r="L231" s="29"/>
      <c r="M231" s="29"/>
      <c r="N231" s="29"/>
    </row>
    <row r="232" spans="1:15" ht="28.5" customHeight="1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</row>
    <row r="233" spans="1:15" ht="4.5" hidden="1" customHeight="1">
      <c r="B233" s="3" t="s">
        <v>233</v>
      </c>
      <c r="C233" s="3"/>
      <c r="D233" s="3"/>
      <c r="E233" s="3"/>
      <c r="F233" s="3"/>
      <c r="G233" s="3"/>
      <c r="H233" t="s">
        <v>234</v>
      </c>
    </row>
    <row r="234" spans="1:15" ht="16.5" customHeight="1">
      <c r="B234" s="4"/>
      <c r="C234" s="2"/>
      <c r="D234" s="2"/>
      <c r="E234" s="2"/>
      <c r="F234" s="2"/>
      <c r="G234" s="2"/>
    </row>
    <row r="235" spans="1:15" ht="15.75">
      <c r="A235" s="2"/>
      <c r="B235" s="2"/>
      <c r="C235" s="2"/>
      <c r="D235" s="2"/>
      <c r="E235" s="2"/>
      <c r="F235" s="2"/>
      <c r="G235" s="2"/>
    </row>
    <row r="236" spans="1:15" ht="15.75">
      <c r="A236" s="2"/>
      <c r="B236" s="2"/>
      <c r="C236" s="2"/>
      <c r="D236" s="2"/>
      <c r="E236" s="2"/>
      <c r="F236" s="2"/>
      <c r="G236" s="2"/>
    </row>
    <row r="237" spans="1:15" ht="15.75">
      <c r="A237" s="2"/>
      <c r="B237" s="2"/>
      <c r="C237" s="2"/>
      <c r="D237" s="2"/>
      <c r="E237" s="2"/>
      <c r="F237" s="2"/>
      <c r="G237" s="2"/>
    </row>
    <row r="238" spans="1:15" ht="15.75">
      <c r="A238" s="4" t="s">
        <v>235</v>
      </c>
      <c r="B238" s="2"/>
      <c r="C238" s="2"/>
      <c r="D238" s="2"/>
      <c r="E238" s="2"/>
      <c r="F238" s="2"/>
      <c r="G238" s="2"/>
    </row>
    <row r="239" spans="1:15" ht="15.75">
      <c r="A239" s="2"/>
      <c r="B239" s="2"/>
      <c r="C239" s="2"/>
      <c r="D239" s="2"/>
      <c r="E239" s="2"/>
      <c r="F239" s="2"/>
      <c r="G239" s="2"/>
    </row>
  </sheetData>
  <mergeCells count="222">
    <mergeCell ref="J5:J6"/>
    <mergeCell ref="L5:L6"/>
    <mergeCell ref="M7:N7"/>
    <mergeCell ref="M8:N8"/>
    <mergeCell ref="M9:N9"/>
    <mergeCell ref="M10:N10"/>
    <mergeCell ref="A1:N1"/>
    <mergeCell ref="A2:N2"/>
    <mergeCell ref="A3:C3"/>
    <mergeCell ref="A4:A6"/>
    <mergeCell ref="B4:B6"/>
    <mergeCell ref="C4:C6"/>
    <mergeCell ref="H4:L4"/>
    <mergeCell ref="M4:N6"/>
    <mergeCell ref="H5:H6"/>
    <mergeCell ref="I5:I6"/>
    <mergeCell ref="D4:G4"/>
    <mergeCell ref="D5:D6"/>
    <mergeCell ref="E5:E6"/>
    <mergeCell ref="F5:F6"/>
    <mergeCell ref="G5:G6"/>
    <mergeCell ref="K5:K6"/>
    <mergeCell ref="M17:N17"/>
    <mergeCell ref="M18:N18"/>
    <mergeCell ref="M19:N19"/>
    <mergeCell ref="M20:N20"/>
    <mergeCell ref="M21:N21"/>
    <mergeCell ref="M22:N22"/>
    <mergeCell ref="M11:N11"/>
    <mergeCell ref="M12:N12"/>
    <mergeCell ref="M13:N13"/>
    <mergeCell ref="M14:N14"/>
    <mergeCell ref="M15:N15"/>
    <mergeCell ref="M16:N16"/>
    <mergeCell ref="M29:N29"/>
    <mergeCell ref="M30:N30"/>
    <mergeCell ref="M31:N31"/>
    <mergeCell ref="M32:N32"/>
    <mergeCell ref="M33:N33"/>
    <mergeCell ref="M34:N34"/>
    <mergeCell ref="M23:N23"/>
    <mergeCell ref="M24:N24"/>
    <mergeCell ref="M25:N25"/>
    <mergeCell ref="M26:N26"/>
    <mergeCell ref="M27:N27"/>
    <mergeCell ref="M28:N28"/>
    <mergeCell ref="M41:N41"/>
    <mergeCell ref="M42:N43"/>
    <mergeCell ref="M44:N44"/>
    <mergeCell ref="M45:N45"/>
    <mergeCell ref="M46:N46"/>
    <mergeCell ref="M47:N47"/>
    <mergeCell ref="M35:N35"/>
    <mergeCell ref="M36:N36"/>
    <mergeCell ref="M37:N37"/>
    <mergeCell ref="M38:N38"/>
    <mergeCell ref="M39:N39"/>
    <mergeCell ref="M40:N40"/>
    <mergeCell ref="M54:N54"/>
    <mergeCell ref="M55:N55"/>
    <mergeCell ref="M56:N56"/>
    <mergeCell ref="M57:N58"/>
    <mergeCell ref="M59:N59"/>
    <mergeCell ref="M60:N61"/>
    <mergeCell ref="M48:N48"/>
    <mergeCell ref="M49:N49"/>
    <mergeCell ref="M50:N50"/>
    <mergeCell ref="M51:N51"/>
    <mergeCell ref="M52:N52"/>
    <mergeCell ref="M53:N53"/>
    <mergeCell ref="M68:N68"/>
    <mergeCell ref="M69:N70"/>
    <mergeCell ref="M71:N71"/>
    <mergeCell ref="M72:N72"/>
    <mergeCell ref="M73:N73"/>
    <mergeCell ref="M74:N74"/>
    <mergeCell ref="M62:N62"/>
    <mergeCell ref="M63:N63"/>
    <mergeCell ref="M64:N64"/>
    <mergeCell ref="M65:N65"/>
    <mergeCell ref="M66:N66"/>
    <mergeCell ref="M67:N67"/>
    <mergeCell ref="M81:N81"/>
    <mergeCell ref="M82:N82"/>
    <mergeCell ref="M83:N83"/>
    <mergeCell ref="M86:N86"/>
    <mergeCell ref="M84:N85"/>
    <mergeCell ref="M75:N75"/>
    <mergeCell ref="M76:N76"/>
    <mergeCell ref="M77:N77"/>
    <mergeCell ref="M78:N78"/>
    <mergeCell ref="M79:N79"/>
    <mergeCell ref="M80:N80"/>
    <mergeCell ref="M96:N96"/>
    <mergeCell ref="M97:N97"/>
    <mergeCell ref="M98:N98"/>
    <mergeCell ref="M99:N99"/>
    <mergeCell ref="M100:N100"/>
    <mergeCell ref="M101:N101"/>
    <mergeCell ref="M87:N87"/>
    <mergeCell ref="M88:N88"/>
    <mergeCell ref="M89:N89"/>
    <mergeCell ref="M93:N93"/>
    <mergeCell ref="M94:N94"/>
    <mergeCell ref="M95:N95"/>
    <mergeCell ref="M108:N108"/>
    <mergeCell ref="M109:N109"/>
    <mergeCell ref="M110:N110"/>
    <mergeCell ref="M111:N111"/>
    <mergeCell ref="M112:N112"/>
    <mergeCell ref="M113:N113"/>
    <mergeCell ref="M102:N102"/>
    <mergeCell ref="M103:N103"/>
    <mergeCell ref="M104:N104"/>
    <mergeCell ref="M105:N105"/>
    <mergeCell ref="M106:N106"/>
    <mergeCell ref="M107:N107"/>
    <mergeCell ref="M120:N120"/>
    <mergeCell ref="M121:N121"/>
    <mergeCell ref="M122:N122"/>
    <mergeCell ref="M123:N123"/>
    <mergeCell ref="M124:N124"/>
    <mergeCell ref="M125:N125"/>
    <mergeCell ref="M114:N114"/>
    <mergeCell ref="M115:N115"/>
    <mergeCell ref="M116:N116"/>
    <mergeCell ref="M117:N117"/>
    <mergeCell ref="M118:N118"/>
    <mergeCell ref="M119:N119"/>
    <mergeCell ref="M132:N132"/>
    <mergeCell ref="M133:N133"/>
    <mergeCell ref="M134:N134"/>
    <mergeCell ref="M135:N135"/>
    <mergeCell ref="M138:N138"/>
    <mergeCell ref="M139:N139"/>
    <mergeCell ref="M126:N126"/>
    <mergeCell ref="M127:N127"/>
    <mergeCell ref="M128:N128"/>
    <mergeCell ref="M129:N129"/>
    <mergeCell ref="M130:N130"/>
    <mergeCell ref="M131:N131"/>
    <mergeCell ref="M146:N146"/>
    <mergeCell ref="M150:N150"/>
    <mergeCell ref="M151:N151"/>
    <mergeCell ref="M152:N152"/>
    <mergeCell ref="M153:N153"/>
    <mergeCell ref="M154:N154"/>
    <mergeCell ref="M140:N140"/>
    <mergeCell ref="M141:N141"/>
    <mergeCell ref="M142:N142"/>
    <mergeCell ref="M143:N143"/>
    <mergeCell ref="M144:N144"/>
    <mergeCell ref="M145:N145"/>
    <mergeCell ref="M161:N161"/>
    <mergeCell ref="M162:N162"/>
    <mergeCell ref="M163:N163"/>
    <mergeCell ref="M164:N164"/>
    <mergeCell ref="M165:N165"/>
    <mergeCell ref="M166:N166"/>
    <mergeCell ref="M155:N155"/>
    <mergeCell ref="M156:N156"/>
    <mergeCell ref="M157:N157"/>
    <mergeCell ref="M158:N158"/>
    <mergeCell ref="M159:N159"/>
    <mergeCell ref="M160:N160"/>
    <mergeCell ref="M173:N173"/>
    <mergeCell ref="M174:N174"/>
    <mergeCell ref="M175:N175"/>
    <mergeCell ref="M176:N176"/>
    <mergeCell ref="M177:N177"/>
    <mergeCell ref="M179:N179"/>
    <mergeCell ref="M167:N167"/>
    <mergeCell ref="M168:N168"/>
    <mergeCell ref="M169:N169"/>
    <mergeCell ref="M170:N170"/>
    <mergeCell ref="M171:N171"/>
    <mergeCell ref="M172:N172"/>
    <mergeCell ref="M196:N196"/>
    <mergeCell ref="M197:N197"/>
    <mergeCell ref="M186:N186"/>
    <mergeCell ref="M187:N187"/>
    <mergeCell ref="M188:N188"/>
    <mergeCell ref="M189:N189"/>
    <mergeCell ref="M190:N190"/>
    <mergeCell ref="M191:N191"/>
    <mergeCell ref="M180:N180"/>
    <mergeCell ref="M181:N181"/>
    <mergeCell ref="M182:N182"/>
    <mergeCell ref="M183:N183"/>
    <mergeCell ref="M184:N184"/>
    <mergeCell ref="M185:N185"/>
    <mergeCell ref="M192:N192"/>
    <mergeCell ref="M193:N193"/>
    <mergeCell ref="M194:N194"/>
    <mergeCell ref="M195:N195"/>
    <mergeCell ref="A211:A212"/>
    <mergeCell ref="B211:B212"/>
    <mergeCell ref="M211:N211"/>
    <mergeCell ref="M212:N212"/>
    <mergeCell ref="M213:N213"/>
    <mergeCell ref="M204:N204"/>
    <mergeCell ref="M205:N205"/>
    <mergeCell ref="M206:N206"/>
    <mergeCell ref="M207:N207"/>
    <mergeCell ref="A208:A209"/>
    <mergeCell ref="B208:B209"/>
    <mergeCell ref="M208:N208"/>
    <mergeCell ref="M209:N209"/>
    <mergeCell ref="M220:N220"/>
    <mergeCell ref="M214:N214"/>
    <mergeCell ref="M215:N215"/>
    <mergeCell ref="M216:N216"/>
    <mergeCell ref="M217:N217"/>
    <mergeCell ref="M218:N218"/>
    <mergeCell ref="M219:N219"/>
    <mergeCell ref="M210:N210"/>
    <mergeCell ref="M198:N198"/>
    <mergeCell ref="M199:N199"/>
    <mergeCell ref="M200:N200"/>
    <mergeCell ref="M201:N201"/>
    <mergeCell ref="M202:N202"/>
    <mergeCell ref="M203:N203"/>
  </mergeCells>
  <pageMargins left="0" right="0" top="0.94488188976377963" bottom="0.39370078740157483" header="0.31496062992125984" footer="0.31496062992125984"/>
  <pageSetup paperSize="9" scale="78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V246"/>
  <sheetViews>
    <sheetView workbookViewId="0">
      <pane xSplit="10" ySplit="15" topLeftCell="K201" activePane="bottomRight" state="frozen"/>
      <selection pane="topRight" activeCell="J1" sqref="J1"/>
      <selection pane="bottomLeft" activeCell="A16" sqref="A16"/>
      <selection pane="bottomRight" activeCell="H203" sqref="H203"/>
    </sheetView>
  </sheetViews>
  <sheetFormatPr defaultRowHeight="15"/>
  <cols>
    <col min="1" max="1" width="6.5703125" customWidth="1"/>
    <col min="2" max="2" width="35" customWidth="1"/>
    <col min="3" max="3" width="13.140625" customWidth="1"/>
    <col min="4" max="4" width="14.5703125" customWidth="1"/>
    <col min="5" max="5" width="13" customWidth="1"/>
    <col min="6" max="6" width="14.5703125" style="60" customWidth="1"/>
    <col min="7" max="8" width="15" customWidth="1"/>
    <col min="9" max="9" width="14.7109375" style="60" customWidth="1"/>
    <col min="10" max="11" width="15" customWidth="1"/>
    <col min="12" max="12" width="10.7109375" customWidth="1"/>
    <col min="13" max="13" width="14.85546875" hidden="1" customWidth="1"/>
    <col min="14" max="14" width="6" hidden="1" customWidth="1"/>
    <col min="15" max="15" width="11.85546875" customWidth="1"/>
    <col min="16" max="16" width="9.7109375" customWidth="1"/>
    <col min="17" max="17" width="11.140625" customWidth="1"/>
    <col min="18" max="18" width="13.42578125" customWidth="1"/>
    <col min="19" max="19" width="12.85546875" customWidth="1"/>
    <col min="20" max="20" width="13.28515625" customWidth="1"/>
    <col min="21" max="21" width="13.7109375" customWidth="1"/>
    <col min="22" max="22" width="11.85546875" customWidth="1"/>
    <col min="23" max="27" width="9.140625" customWidth="1"/>
  </cols>
  <sheetData>
    <row r="1" spans="1:22" ht="54" customHeight="1">
      <c r="A1" s="241" t="s">
        <v>226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190"/>
      <c r="P1" s="190"/>
      <c r="Q1" s="190"/>
    </row>
    <row r="2" spans="1:22" ht="42.75" customHeight="1">
      <c r="A2" s="242" t="s">
        <v>345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191"/>
      <c r="P2" s="191"/>
      <c r="Q2" s="191"/>
      <c r="T2" s="30"/>
    </row>
    <row r="3" spans="1:22" ht="1.5" customHeight="1">
      <c r="A3" s="243"/>
      <c r="B3" s="243"/>
      <c r="C3" s="243"/>
      <c r="D3" s="192"/>
      <c r="E3" s="192"/>
      <c r="F3" s="192"/>
      <c r="G3" s="192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22" ht="18.75">
      <c r="A4" s="244" t="s">
        <v>0</v>
      </c>
      <c r="B4" s="247" t="s">
        <v>1</v>
      </c>
      <c r="C4" s="244" t="s">
        <v>217</v>
      </c>
      <c r="D4" s="250" t="s">
        <v>304</v>
      </c>
      <c r="E4" s="251"/>
      <c r="F4" s="251"/>
      <c r="G4" s="252"/>
      <c r="H4" s="250" t="s">
        <v>227</v>
      </c>
      <c r="I4" s="251"/>
      <c r="J4" s="251"/>
      <c r="K4" s="251"/>
      <c r="L4" s="252"/>
      <c r="M4" s="253" t="s">
        <v>239</v>
      </c>
      <c r="N4" s="254"/>
      <c r="O4" s="121"/>
      <c r="P4" s="121"/>
      <c r="Q4" s="112"/>
    </row>
    <row r="5" spans="1:22" ht="15" customHeight="1">
      <c r="A5" s="245"/>
      <c r="B5" s="248"/>
      <c r="C5" s="245"/>
      <c r="D5" s="237" t="s">
        <v>305</v>
      </c>
      <c r="E5" s="237" t="s">
        <v>306</v>
      </c>
      <c r="F5" s="237" t="s">
        <v>229</v>
      </c>
      <c r="G5" s="237" t="s">
        <v>219</v>
      </c>
      <c r="H5" s="237" t="s">
        <v>305</v>
      </c>
      <c r="I5" s="237" t="s">
        <v>306</v>
      </c>
      <c r="J5" s="237" t="s">
        <v>229</v>
      </c>
      <c r="K5" s="237" t="s">
        <v>341</v>
      </c>
      <c r="L5" s="237" t="s">
        <v>342</v>
      </c>
      <c r="M5" s="255"/>
      <c r="N5" s="256"/>
      <c r="O5" s="237" t="s">
        <v>329</v>
      </c>
      <c r="P5" s="237" t="s">
        <v>330</v>
      </c>
      <c r="Q5" s="112"/>
      <c r="T5" s="30">
        <f>F78+F81+F84</f>
        <v>0</v>
      </c>
    </row>
    <row r="6" spans="1:22" ht="41.25" customHeight="1">
      <c r="A6" s="246"/>
      <c r="B6" s="249"/>
      <c r="C6" s="246"/>
      <c r="D6" s="238"/>
      <c r="E6" s="238"/>
      <c r="F6" s="238"/>
      <c r="G6" s="238"/>
      <c r="H6" s="238"/>
      <c r="I6" s="238"/>
      <c r="J6" s="238"/>
      <c r="K6" s="238"/>
      <c r="L6" s="238"/>
      <c r="M6" s="257"/>
      <c r="N6" s="258"/>
      <c r="O6" s="238"/>
      <c r="P6" s="238"/>
      <c r="Q6" s="112"/>
    </row>
    <row r="7" spans="1:22" ht="15.75" customHeight="1">
      <c r="A7" s="35">
        <v>1</v>
      </c>
      <c r="B7" s="35">
        <v>2</v>
      </c>
      <c r="C7" s="35">
        <v>3</v>
      </c>
      <c r="D7" s="35"/>
      <c r="E7" s="35"/>
      <c r="F7" s="35"/>
      <c r="G7" s="35"/>
      <c r="H7" s="35">
        <v>4</v>
      </c>
      <c r="I7" s="35">
        <v>5</v>
      </c>
      <c r="J7" s="35">
        <v>6</v>
      </c>
      <c r="K7" s="35"/>
      <c r="L7" s="35">
        <v>7</v>
      </c>
      <c r="M7" s="239">
        <v>8</v>
      </c>
      <c r="N7" s="240"/>
      <c r="O7" s="119"/>
      <c r="P7" s="120"/>
      <c r="Q7" s="113"/>
      <c r="R7" s="30">
        <f>J8-R8</f>
        <v>482891.38799999992</v>
      </c>
      <c r="S7">
        <v>272681.63099999999</v>
      </c>
      <c r="T7" s="30">
        <f>J8-S7</f>
        <v>483531.84299999994</v>
      </c>
    </row>
    <row r="8" spans="1:22" ht="39" customHeight="1">
      <c r="A8" s="196" t="s">
        <v>2</v>
      </c>
      <c r="B8" s="6" t="s">
        <v>3</v>
      </c>
      <c r="C8" s="196" t="s">
        <v>4</v>
      </c>
      <c r="D8" s="7">
        <f>D9+D87+D93+D95+D97</f>
        <v>73170.115000000005</v>
      </c>
      <c r="E8" s="21">
        <f>E9+E87+E93+E95+E97</f>
        <v>68097.582999999999</v>
      </c>
      <c r="F8" s="7">
        <f>F9+F87+F93+F95+F97</f>
        <v>72687.399499999985</v>
      </c>
      <c r="G8" s="7">
        <f>F8-E8</f>
        <v>4589.8164999999863</v>
      </c>
      <c r="H8" s="7">
        <f>H9+H87+H93+H95+H97</f>
        <v>731701.14999999991</v>
      </c>
      <c r="I8" s="21">
        <f>I9+I87+I93+I95+I97</f>
        <v>656667.82999999996</v>
      </c>
      <c r="J8" s="7">
        <f>J9+J87+J93+J95+J97</f>
        <v>756213.47399999993</v>
      </c>
      <c r="K8" s="71">
        <f>J8-I8</f>
        <v>99545.643999999971</v>
      </c>
      <c r="L8" s="21">
        <f>K8/I8*100</f>
        <v>15.159208271250318</v>
      </c>
      <c r="M8" s="220"/>
      <c r="N8" s="221"/>
      <c r="O8" s="122">
        <f>J8-H8</f>
        <v>24512.324000000022</v>
      </c>
      <c r="P8" s="123">
        <f>O8/H8*100</f>
        <v>3.3500458486364315</v>
      </c>
      <c r="Q8" s="118"/>
      <c r="R8">
        <f>640.455+272681.631</f>
        <v>273322.08600000001</v>
      </c>
      <c r="S8">
        <f>D8*5</f>
        <v>365850.57500000001</v>
      </c>
      <c r="T8" s="44">
        <f>E8+апр!I8</f>
        <v>340487.91499999998</v>
      </c>
      <c r="U8" s="30">
        <f>F8+апр!J8</f>
        <v>346498.8519999999</v>
      </c>
      <c r="V8" s="30">
        <f>J8-U8</f>
        <v>409714.62200000003</v>
      </c>
    </row>
    <row r="9" spans="1:22" ht="17.25" customHeight="1">
      <c r="A9" s="196" t="s">
        <v>5</v>
      </c>
      <c r="B9" s="6" t="s">
        <v>6</v>
      </c>
      <c r="C9" s="196" t="s">
        <v>4</v>
      </c>
      <c r="D9" s="7">
        <f>D10+D37+D72</f>
        <v>35732.106</v>
      </c>
      <c r="E9" s="21">
        <f>E10+E37+E72</f>
        <v>32135.084000000003</v>
      </c>
      <c r="F9" s="7">
        <f>F10+F37+F72</f>
        <v>33899.478000000003</v>
      </c>
      <c r="G9" s="7">
        <f>F9-E9</f>
        <v>1764.3940000000002</v>
      </c>
      <c r="H9" s="7">
        <f>H10+H37+H72</f>
        <v>357321.05999999994</v>
      </c>
      <c r="I9" s="21">
        <f>I10+I37+I72</f>
        <v>297044.17300000001</v>
      </c>
      <c r="J9" s="7">
        <f>J10+J37+J72</f>
        <v>366376.58199999999</v>
      </c>
      <c r="K9" s="21">
        <f>J9-I9</f>
        <v>69332.408999999985</v>
      </c>
      <c r="L9" s="21">
        <f>K9/I9*100</f>
        <v>23.340773966301633</v>
      </c>
      <c r="M9" s="220"/>
      <c r="N9" s="221"/>
      <c r="O9" s="122">
        <f t="shared" ref="O9:O72" si="0">J9-H9</f>
        <v>9055.5220000000554</v>
      </c>
      <c r="P9" s="123">
        <f t="shared" ref="P9:P72" si="1">O9/H9*100</f>
        <v>2.5342816345613821</v>
      </c>
      <c r="Q9" s="114"/>
      <c r="S9">
        <f t="shared" ref="S9:S72" si="2">D9*5</f>
        <v>178660.53</v>
      </c>
      <c r="T9" s="44">
        <f>E9+апр!I9</f>
        <v>160675.42000000001</v>
      </c>
      <c r="U9" s="30">
        <f>F9+апр!J9</f>
        <v>172866.5</v>
      </c>
    </row>
    <row r="10" spans="1:22" ht="17.25" customHeight="1">
      <c r="A10" s="8" t="s">
        <v>7</v>
      </c>
      <c r="B10" s="9" t="s">
        <v>8</v>
      </c>
      <c r="C10" s="8" t="s">
        <v>4</v>
      </c>
      <c r="D10" s="10">
        <f>D11+D30+D35</f>
        <v>7601.0440000000008</v>
      </c>
      <c r="E10" s="10">
        <f>E11+E30+E35</f>
        <v>5895.3339999999998</v>
      </c>
      <c r="F10" s="10">
        <f>F11+F30+F35</f>
        <v>4416.5640000000003</v>
      </c>
      <c r="G10" s="10">
        <f>F10-E10</f>
        <v>-1478.7699999999995</v>
      </c>
      <c r="H10" s="10">
        <f>H11+H30+H35</f>
        <v>76010.44</v>
      </c>
      <c r="I10" s="10">
        <f>I11+I30+I35</f>
        <v>58953.34</v>
      </c>
      <c r="J10" s="10">
        <f>J11+J30+J35</f>
        <v>68283.489000000001</v>
      </c>
      <c r="K10" s="10">
        <f>J10-I10</f>
        <v>9330.1490000000049</v>
      </c>
      <c r="L10" s="16">
        <f>K10/I10*100</f>
        <v>15.826328075729052</v>
      </c>
      <c r="M10" s="220"/>
      <c r="N10" s="221"/>
      <c r="O10" s="122">
        <f t="shared" si="0"/>
        <v>-7726.9510000000009</v>
      </c>
      <c r="P10" s="123">
        <f t="shared" si="1"/>
        <v>-10.165644350960211</v>
      </c>
      <c r="Q10" s="114"/>
      <c r="S10">
        <f t="shared" si="2"/>
        <v>38005.22</v>
      </c>
      <c r="T10" s="44">
        <f>E10+апр!I10</f>
        <v>29476.67</v>
      </c>
      <c r="U10" s="30">
        <f>F10+апр!J10</f>
        <v>27119.275999999998</v>
      </c>
    </row>
    <row r="11" spans="1:22" ht="17.25" customHeight="1">
      <c r="A11" s="8" t="s">
        <v>9</v>
      </c>
      <c r="B11" s="9" t="s">
        <v>10</v>
      </c>
      <c r="C11" s="8" t="s">
        <v>4</v>
      </c>
      <c r="D11" s="10">
        <f>D12+D15+D18+D21+D24+D27</f>
        <v>5032.2450000000008</v>
      </c>
      <c r="E11" s="8">
        <v>4970.0829999999996</v>
      </c>
      <c r="F11" s="10">
        <f>F12+F15+F18+F21+F24+F27</f>
        <v>3838.1210000000001</v>
      </c>
      <c r="G11" s="10">
        <f t="shared" ref="G11:G74" si="3">F11-E11</f>
        <v>-1131.9619999999995</v>
      </c>
      <c r="H11" s="10">
        <f>H12+H15+H18+H21+H24+H27</f>
        <v>50322.45</v>
      </c>
      <c r="I11" s="8">
        <f>E11+сентябрь!I11</f>
        <v>49700.829999999994</v>
      </c>
      <c r="J11" s="10">
        <f>J12+J15+J18+J21+J24+J27</f>
        <v>45990.788999999997</v>
      </c>
      <c r="K11" s="10">
        <f t="shared" ref="K11:K74" si="4">J11-I11</f>
        <v>-3710.0409999999974</v>
      </c>
      <c r="L11" s="16">
        <f t="shared" ref="L11:L72" si="5">K11/I11*100</f>
        <v>-7.4647465645945905</v>
      </c>
      <c r="M11" s="220"/>
      <c r="N11" s="221"/>
      <c r="O11" s="122">
        <f t="shared" si="0"/>
        <v>-4331.6610000000001</v>
      </c>
      <c r="P11" s="123">
        <f t="shared" si="1"/>
        <v>-8.6078102318150265</v>
      </c>
      <c r="Q11" s="114"/>
      <c r="S11">
        <f t="shared" si="2"/>
        <v>25161.225000000006</v>
      </c>
      <c r="T11" s="44">
        <f>E11+апр!I11</f>
        <v>24850.414999999997</v>
      </c>
      <c r="U11" s="30">
        <f>F11+апр!J11</f>
        <v>15584.536</v>
      </c>
    </row>
    <row r="12" spans="1:22" ht="18.75" customHeight="1">
      <c r="A12" s="8" t="s">
        <v>11</v>
      </c>
      <c r="B12" s="9" t="s">
        <v>12</v>
      </c>
      <c r="C12" s="8" t="s">
        <v>4</v>
      </c>
      <c r="D12" s="10">
        <v>852.13199999999995</v>
      </c>
      <c r="E12" s="8"/>
      <c r="F12" s="54">
        <v>1426.5</v>
      </c>
      <c r="G12" s="10">
        <f t="shared" si="3"/>
        <v>1426.5</v>
      </c>
      <c r="H12" s="10">
        <f>D12+сентябрь!H12</f>
        <v>8521.3199999999979</v>
      </c>
      <c r="I12" s="8"/>
      <c r="J12" s="183">
        <f>F12+сентябрь!J12</f>
        <v>13051.636</v>
      </c>
      <c r="K12" s="10">
        <f t="shared" si="4"/>
        <v>13051.636</v>
      </c>
      <c r="L12" s="16"/>
      <c r="M12" s="222" t="s">
        <v>297</v>
      </c>
      <c r="N12" s="223"/>
      <c r="O12" s="122">
        <f t="shared" si="0"/>
        <v>4530.3160000000025</v>
      </c>
      <c r="P12" s="123">
        <f t="shared" si="1"/>
        <v>53.164486253303522</v>
      </c>
      <c r="S12">
        <f t="shared" si="2"/>
        <v>4260.66</v>
      </c>
      <c r="T12" s="44">
        <f>E12+апр!I12</f>
        <v>0</v>
      </c>
      <c r="U12" s="30">
        <f>F12+апр!J12</f>
        <v>3746.09</v>
      </c>
    </row>
    <row r="13" spans="1:22" ht="17.25" customHeight="1">
      <c r="A13" s="8"/>
      <c r="B13" s="12" t="s">
        <v>13</v>
      </c>
      <c r="C13" s="13" t="s">
        <v>14</v>
      </c>
      <c r="D13" s="14">
        <v>3667</v>
      </c>
      <c r="E13" s="13"/>
      <c r="F13" s="8">
        <v>2853</v>
      </c>
      <c r="G13" s="10">
        <f t="shared" si="3"/>
        <v>2853</v>
      </c>
      <c r="H13" s="10">
        <f>D13+сентябрь!H13</f>
        <v>36670</v>
      </c>
      <c r="I13" s="8"/>
      <c r="J13" s="183">
        <v>34.588999999999999</v>
      </c>
      <c r="K13" s="10">
        <f t="shared" si="4"/>
        <v>34.588999999999999</v>
      </c>
      <c r="L13" s="16"/>
      <c r="M13" s="220"/>
      <c r="N13" s="221"/>
      <c r="O13" s="122">
        <f t="shared" si="0"/>
        <v>-36635.411</v>
      </c>
      <c r="P13" s="123">
        <f t="shared" si="1"/>
        <v>-99.905674938641937</v>
      </c>
      <c r="Q13" s="114"/>
      <c r="S13">
        <f t="shared" si="2"/>
        <v>18335</v>
      </c>
      <c r="T13" s="44">
        <f>E13+апр!I13</f>
        <v>0</v>
      </c>
      <c r="U13" s="30">
        <f>F13+апр!J13</f>
        <v>10494</v>
      </c>
    </row>
    <row r="14" spans="1:22" ht="17.25" customHeight="1">
      <c r="A14" s="15"/>
      <c r="B14" s="12" t="s">
        <v>15</v>
      </c>
      <c r="C14" s="13" t="s">
        <v>16</v>
      </c>
      <c r="D14" s="16">
        <f>D12/D13*1000</f>
        <v>232.37851104445048</v>
      </c>
      <c r="E14" s="16"/>
      <c r="F14" s="16">
        <f t="shared" ref="F14" si="6">F12/F13*1000</f>
        <v>500</v>
      </c>
      <c r="G14" s="10">
        <f t="shared" si="3"/>
        <v>500</v>
      </c>
      <c r="H14" s="16">
        <f>H12/H13*1000</f>
        <v>232.37851104445045</v>
      </c>
      <c r="I14" s="16"/>
      <c r="J14" s="16">
        <f t="shared" ref="J14" si="7">J12/J13*1000</f>
        <v>377334.87524935673</v>
      </c>
      <c r="K14" s="10">
        <f t="shared" si="4"/>
        <v>377334.87524935673</v>
      </c>
      <c r="L14" s="16"/>
      <c r="M14" s="220"/>
      <c r="N14" s="221"/>
      <c r="O14" s="122">
        <f t="shared" si="0"/>
        <v>377102.4967383123</v>
      </c>
      <c r="P14" s="123">
        <f t="shared" si="1"/>
        <v>162279.41862755906</v>
      </c>
      <c r="Q14" s="114"/>
      <c r="S14">
        <f t="shared" si="2"/>
        <v>1161.8925552222524</v>
      </c>
      <c r="T14" s="44">
        <f>E14+апр!I14</f>
        <v>0</v>
      </c>
      <c r="U14" s="30">
        <f>F14+апр!J14</f>
        <v>803.5715220520874</v>
      </c>
    </row>
    <row r="15" spans="1:22" ht="17.25" customHeight="1">
      <c r="A15" s="8" t="s">
        <v>17</v>
      </c>
      <c r="B15" s="9" t="s">
        <v>18</v>
      </c>
      <c r="C15" s="8" t="s">
        <v>4</v>
      </c>
      <c r="D15" s="10">
        <v>2808.576</v>
      </c>
      <c r="E15" s="8"/>
      <c r="F15" s="54">
        <v>1356.721</v>
      </c>
      <c r="G15" s="10">
        <f t="shared" si="3"/>
        <v>1356.721</v>
      </c>
      <c r="H15" s="10">
        <f>D15+сентябрь!H15</f>
        <v>28085.760000000006</v>
      </c>
      <c r="I15" s="8"/>
      <c r="J15" s="183">
        <f>F15+сентябрь!J15</f>
        <v>20623.259000000002</v>
      </c>
      <c r="K15" s="10">
        <f t="shared" si="4"/>
        <v>20623.259000000002</v>
      </c>
      <c r="L15" s="16"/>
      <c r="M15" s="220"/>
      <c r="N15" s="221"/>
      <c r="O15" s="122">
        <f t="shared" si="0"/>
        <v>-7462.5010000000038</v>
      </c>
      <c r="P15" s="123">
        <f t="shared" si="1"/>
        <v>-26.570407922021701</v>
      </c>
      <c r="Q15" s="115">
        <f>6457.287+14165.973</f>
        <v>20623.260000000002</v>
      </c>
      <c r="S15">
        <f t="shared" si="2"/>
        <v>14042.880000000001</v>
      </c>
      <c r="T15" s="44">
        <f>E15+апр!I15</f>
        <v>0</v>
      </c>
      <c r="U15" s="30">
        <f>F15+апр!J15</f>
        <v>6327.5259999999998</v>
      </c>
    </row>
    <row r="16" spans="1:22" ht="17.25" customHeight="1">
      <c r="A16" s="8"/>
      <c r="B16" s="12" t="s">
        <v>13</v>
      </c>
      <c r="C16" s="13" t="s">
        <v>14</v>
      </c>
      <c r="D16" s="14">
        <v>15000</v>
      </c>
      <c r="E16" s="13"/>
      <c r="F16" s="8">
        <v>9995</v>
      </c>
      <c r="G16" s="10">
        <f t="shared" si="3"/>
        <v>9995</v>
      </c>
      <c r="H16" s="10">
        <f>D16+сентябрь!H16</f>
        <v>150000</v>
      </c>
      <c r="I16" s="8"/>
      <c r="J16" s="183">
        <v>158204</v>
      </c>
      <c r="K16" s="10">
        <f t="shared" si="4"/>
        <v>158204</v>
      </c>
      <c r="L16" s="16"/>
      <c r="M16" s="220"/>
      <c r="N16" s="221"/>
      <c r="O16" s="122">
        <f t="shared" si="0"/>
        <v>8204</v>
      </c>
      <c r="P16" s="123">
        <f t="shared" si="1"/>
        <v>5.4693333333333332</v>
      </c>
      <c r="Q16" s="114"/>
      <c r="S16">
        <f t="shared" si="2"/>
        <v>75000</v>
      </c>
      <c r="T16" s="44">
        <f>E16+апр!I16</f>
        <v>0</v>
      </c>
      <c r="U16" s="30">
        <f>F16+апр!J16</f>
        <v>49321</v>
      </c>
    </row>
    <row r="17" spans="1:21" ht="17.25" customHeight="1">
      <c r="A17" s="8"/>
      <c r="B17" s="12" t="s">
        <v>15</v>
      </c>
      <c r="C17" s="13" t="s">
        <v>16</v>
      </c>
      <c r="D17" s="16">
        <f>D15/D16*1000</f>
        <v>187.23840000000001</v>
      </c>
      <c r="E17" s="16"/>
      <c r="F17" s="16">
        <f t="shared" ref="F17" si="8">F15/F16*1000</f>
        <v>135.73996998499248</v>
      </c>
      <c r="G17" s="10">
        <f t="shared" si="3"/>
        <v>135.73996998499248</v>
      </c>
      <c r="H17" s="16">
        <f>H15/H16*1000</f>
        <v>187.23840000000001</v>
      </c>
      <c r="I17" s="8"/>
      <c r="J17" s="16">
        <f t="shared" ref="J17" si="9">J15/J16*1000</f>
        <v>130.3586445349043</v>
      </c>
      <c r="K17" s="10">
        <f t="shared" si="4"/>
        <v>130.3586445349043</v>
      </c>
      <c r="L17" s="16"/>
      <c r="M17" s="220"/>
      <c r="N17" s="221"/>
      <c r="O17" s="122">
        <f t="shared" si="0"/>
        <v>-56.879755465095712</v>
      </c>
      <c r="P17" s="123">
        <f t="shared" si="1"/>
        <v>-30.378253320417027</v>
      </c>
      <c r="Q17" s="114"/>
      <c r="S17">
        <f t="shared" si="2"/>
        <v>936.19200000000001</v>
      </c>
      <c r="T17" s="44">
        <f>E17+апр!I17</f>
        <v>0</v>
      </c>
      <c r="U17" s="30">
        <f>F17+апр!J17</f>
        <v>135.73996998499248</v>
      </c>
    </row>
    <row r="18" spans="1:21" ht="17.25" customHeight="1">
      <c r="A18" s="8" t="s">
        <v>19</v>
      </c>
      <c r="B18" s="9" t="s">
        <v>20</v>
      </c>
      <c r="C18" s="8" t="s">
        <v>4</v>
      </c>
      <c r="D18" s="10">
        <v>241.64599999999999</v>
      </c>
      <c r="E18" s="8"/>
      <c r="F18" s="54">
        <v>423.5</v>
      </c>
      <c r="G18" s="10">
        <f t="shared" si="3"/>
        <v>423.5</v>
      </c>
      <c r="H18" s="10">
        <f>D18+сентябрь!H18</f>
        <v>2416.46</v>
      </c>
      <c r="I18" s="8"/>
      <c r="J18" s="183">
        <f>F18+сентябрь!J18</f>
        <v>1108.46</v>
      </c>
      <c r="K18" s="10">
        <f t="shared" si="4"/>
        <v>1108.46</v>
      </c>
      <c r="L18" s="16"/>
      <c r="M18" s="220"/>
      <c r="N18" s="221"/>
      <c r="O18" s="122">
        <f t="shared" si="0"/>
        <v>-1308</v>
      </c>
      <c r="P18" s="123">
        <f t="shared" si="1"/>
        <v>-54.12876687385679</v>
      </c>
      <c r="Q18" s="114"/>
      <c r="S18">
        <f t="shared" si="2"/>
        <v>1208.23</v>
      </c>
      <c r="T18" s="44">
        <f>E18+апр!I18</f>
        <v>0</v>
      </c>
      <c r="U18" s="30">
        <f>F18+апр!J18</f>
        <v>569.46</v>
      </c>
    </row>
    <row r="19" spans="1:21" ht="17.25" customHeight="1">
      <c r="A19" s="8"/>
      <c r="B19" s="12" t="s">
        <v>13</v>
      </c>
      <c r="C19" s="13" t="s">
        <v>14</v>
      </c>
      <c r="D19" s="14">
        <v>1025</v>
      </c>
      <c r="E19" s="13"/>
      <c r="F19" s="8">
        <v>1210</v>
      </c>
      <c r="G19" s="10">
        <f t="shared" si="3"/>
        <v>1210</v>
      </c>
      <c r="H19" s="10">
        <f>D19+сентябрь!H19</f>
        <v>10250</v>
      </c>
      <c r="I19" s="8"/>
      <c r="J19" s="183">
        <v>3040</v>
      </c>
      <c r="K19" s="10">
        <f t="shared" si="4"/>
        <v>3040</v>
      </c>
      <c r="L19" s="16"/>
      <c r="M19" s="220"/>
      <c r="N19" s="221"/>
      <c r="O19" s="122">
        <f t="shared" si="0"/>
        <v>-7210</v>
      </c>
      <c r="P19" s="123">
        <f t="shared" si="1"/>
        <v>-70.341463414634148</v>
      </c>
      <c r="Q19" s="114"/>
      <c r="S19">
        <f t="shared" si="2"/>
        <v>5125</v>
      </c>
      <c r="T19" s="44">
        <f>E19+апр!I19</f>
        <v>0</v>
      </c>
      <c r="U19" s="30">
        <f>F19+апр!J19</f>
        <v>1500</v>
      </c>
    </row>
    <row r="20" spans="1:21" ht="17.25" customHeight="1">
      <c r="A20" s="8"/>
      <c r="B20" s="12" t="s">
        <v>15</v>
      </c>
      <c r="C20" s="13" t="s">
        <v>16</v>
      </c>
      <c r="D20" s="16">
        <f>D18/D19*1000</f>
        <v>235.75219512195119</v>
      </c>
      <c r="E20" s="16"/>
      <c r="F20" s="16">
        <f>F18/F19*1000</f>
        <v>350</v>
      </c>
      <c r="G20" s="10">
        <f t="shared" si="3"/>
        <v>350</v>
      </c>
      <c r="H20" s="16">
        <f>H18/H19*1000</f>
        <v>235.75219512195122</v>
      </c>
      <c r="I20" s="8"/>
      <c r="J20" s="16">
        <f t="shared" ref="J20" si="10">J18/J19*1000</f>
        <v>364.62500000000006</v>
      </c>
      <c r="K20" s="10">
        <f t="shared" si="4"/>
        <v>364.62500000000006</v>
      </c>
      <c r="L20" s="16"/>
      <c r="M20" s="220"/>
      <c r="N20" s="221"/>
      <c r="O20" s="122">
        <f t="shared" si="0"/>
        <v>128.87280487804884</v>
      </c>
      <c r="P20" s="123">
        <f t="shared" si="1"/>
        <v>54.664519586502593</v>
      </c>
      <c r="Q20" s="114"/>
      <c r="S20">
        <f t="shared" si="2"/>
        <v>1178.7609756097559</v>
      </c>
      <c r="T20" s="44">
        <f>E20+апр!I20</f>
        <v>0</v>
      </c>
      <c r="U20" s="30">
        <f>F20+апр!J20</f>
        <v>350</v>
      </c>
    </row>
    <row r="21" spans="1:21" ht="17.25" customHeight="1">
      <c r="A21" s="8" t="s">
        <v>21</v>
      </c>
      <c r="B21" s="9" t="s">
        <v>22</v>
      </c>
      <c r="C21" s="8" t="s">
        <v>4</v>
      </c>
      <c r="D21" s="10">
        <v>750.73</v>
      </c>
      <c r="E21" s="8"/>
      <c r="F21" s="54">
        <v>631.4</v>
      </c>
      <c r="G21" s="10">
        <f t="shared" si="3"/>
        <v>631.4</v>
      </c>
      <c r="H21" s="10">
        <f>D21+сентябрь!H21</f>
        <v>7507.2999999999993</v>
      </c>
      <c r="I21" s="8"/>
      <c r="J21" s="183">
        <f>F21+сентябрь!J21</f>
        <v>9356.0199999999986</v>
      </c>
      <c r="K21" s="10">
        <f t="shared" si="4"/>
        <v>9356.0199999999986</v>
      </c>
      <c r="L21" s="16"/>
      <c r="M21" s="220"/>
      <c r="N21" s="221"/>
      <c r="O21" s="122">
        <f t="shared" si="0"/>
        <v>1848.7199999999993</v>
      </c>
      <c r="P21" s="123">
        <f t="shared" si="1"/>
        <v>24.625631052442284</v>
      </c>
      <c r="Q21" s="114"/>
      <c r="S21">
        <f t="shared" si="2"/>
        <v>3753.65</v>
      </c>
      <c r="T21" s="44">
        <f>E21+апр!I21</f>
        <v>0</v>
      </c>
      <c r="U21" s="30">
        <f>F21+апр!J21</f>
        <v>4525.62</v>
      </c>
    </row>
    <row r="22" spans="1:21" ht="17.25" customHeight="1">
      <c r="A22" s="8"/>
      <c r="B22" s="12" t="s">
        <v>13</v>
      </c>
      <c r="C22" s="13" t="s">
        <v>14</v>
      </c>
      <c r="D22" s="14">
        <v>5883</v>
      </c>
      <c r="E22" s="13"/>
      <c r="F22" s="8">
        <v>3850</v>
      </c>
      <c r="G22" s="10">
        <f t="shared" si="3"/>
        <v>3850</v>
      </c>
      <c r="H22" s="10">
        <f>D22+сентябрь!H22</f>
        <v>58830</v>
      </c>
      <c r="I22" s="8"/>
      <c r="J22" s="183">
        <v>56390</v>
      </c>
      <c r="K22" s="10">
        <f t="shared" si="4"/>
        <v>56390</v>
      </c>
      <c r="L22" s="16"/>
      <c r="M22" s="220"/>
      <c r="N22" s="221"/>
      <c r="O22" s="122">
        <f t="shared" si="0"/>
        <v>-2440</v>
      </c>
      <c r="P22" s="123">
        <f t="shared" si="1"/>
        <v>-4.1475437701852798</v>
      </c>
      <c r="Q22" s="114"/>
      <c r="S22">
        <f t="shared" si="2"/>
        <v>29415</v>
      </c>
      <c r="T22" s="44">
        <f>E22+апр!I22</f>
        <v>0</v>
      </c>
      <c r="U22" s="30">
        <f>F22+апр!J22</f>
        <v>26640</v>
      </c>
    </row>
    <row r="23" spans="1:21" ht="17.25" customHeight="1">
      <c r="A23" s="8"/>
      <c r="B23" s="12" t="s">
        <v>15</v>
      </c>
      <c r="C23" s="13" t="s">
        <v>16</v>
      </c>
      <c r="D23" s="16">
        <f>D21/D22*1000</f>
        <v>127.61006289308177</v>
      </c>
      <c r="E23" s="16" t="e">
        <f t="shared" ref="E23:F23" si="11">E21/E22*1000</f>
        <v>#DIV/0!</v>
      </c>
      <c r="F23" s="16">
        <f t="shared" si="11"/>
        <v>164</v>
      </c>
      <c r="G23" s="10" t="e">
        <f t="shared" si="3"/>
        <v>#DIV/0!</v>
      </c>
      <c r="H23" s="16">
        <f>H21/H22*1000</f>
        <v>127.61006289308175</v>
      </c>
      <c r="I23" s="8"/>
      <c r="J23" s="16">
        <f t="shared" ref="J23" si="12">J21/J22*1000</f>
        <v>165.91629721581839</v>
      </c>
      <c r="K23" s="10">
        <f t="shared" si="4"/>
        <v>165.91629721581839</v>
      </c>
      <c r="L23" s="16"/>
      <c r="M23" s="220"/>
      <c r="N23" s="221"/>
      <c r="O23" s="122">
        <f t="shared" si="0"/>
        <v>38.306234322736643</v>
      </c>
      <c r="P23" s="123">
        <f t="shared" si="1"/>
        <v>30.018192495392444</v>
      </c>
      <c r="Q23" s="114"/>
      <c r="S23">
        <f t="shared" si="2"/>
        <v>638.05031446540886</v>
      </c>
      <c r="T23" s="44" t="e">
        <f>E23+апр!I23</f>
        <v>#DIV/0!</v>
      </c>
      <c r="U23" s="30">
        <f>F23+апр!J23</f>
        <v>164</v>
      </c>
    </row>
    <row r="24" spans="1:21" ht="17.25" customHeight="1">
      <c r="A24" s="8" t="s">
        <v>23</v>
      </c>
      <c r="B24" s="9" t="s">
        <v>24</v>
      </c>
      <c r="C24" s="8" t="s">
        <v>4</v>
      </c>
      <c r="D24" s="10">
        <v>165.005</v>
      </c>
      <c r="E24" s="8"/>
      <c r="F24" s="54"/>
      <c r="G24" s="10">
        <f t="shared" si="3"/>
        <v>0</v>
      </c>
      <c r="H24" s="10">
        <f>D24+сентябрь!H24</f>
        <v>1650.0500000000002</v>
      </c>
      <c r="I24" s="8"/>
      <c r="J24" s="183">
        <f>F24+сентябрь!J24</f>
        <v>483.41399999999999</v>
      </c>
      <c r="K24" s="10">
        <f t="shared" si="4"/>
        <v>483.41399999999999</v>
      </c>
      <c r="L24" s="16"/>
      <c r="M24" s="220"/>
      <c r="N24" s="221"/>
      <c r="O24" s="122">
        <f t="shared" si="0"/>
        <v>-1166.6360000000002</v>
      </c>
      <c r="P24" s="123">
        <f t="shared" si="1"/>
        <v>-70.703069603951391</v>
      </c>
      <c r="Q24" s="114"/>
      <c r="S24">
        <f t="shared" si="2"/>
        <v>825.02499999999998</v>
      </c>
      <c r="T24" s="44">
        <f>E24+апр!I24</f>
        <v>0</v>
      </c>
      <c r="U24" s="30">
        <f>F24+апр!J24</f>
        <v>415.84</v>
      </c>
    </row>
    <row r="25" spans="1:21" ht="17.25" customHeight="1">
      <c r="A25" s="8"/>
      <c r="B25" s="12" t="s">
        <v>13</v>
      </c>
      <c r="C25" s="13" t="s">
        <v>14</v>
      </c>
      <c r="D25" s="14">
        <v>251</v>
      </c>
      <c r="E25" s="13"/>
      <c r="F25" s="8"/>
      <c r="G25" s="10">
        <f t="shared" si="3"/>
        <v>0</v>
      </c>
      <c r="H25" s="10">
        <f>D25+сентябрь!H25</f>
        <v>2510</v>
      </c>
      <c r="I25" s="8"/>
      <c r="J25" s="183">
        <f>F25+сентябрь!J25</f>
        <v>930</v>
      </c>
      <c r="K25" s="10">
        <f t="shared" si="4"/>
        <v>930</v>
      </c>
      <c r="L25" s="16"/>
      <c r="M25" s="220"/>
      <c r="N25" s="221"/>
      <c r="O25" s="122">
        <f t="shared" si="0"/>
        <v>-1580</v>
      </c>
      <c r="P25" s="123">
        <f t="shared" si="1"/>
        <v>-62.948207171314742</v>
      </c>
      <c r="Q25" s="114"/>
      <c r="S25">
        <f t="shared" si="2"/>
        <v>1255</v>
      </c>
      <c r="T25" s="44">
        <f>E25+апр!I25</f>
        <v>0</v>
      </c>
      <c r="U25" s="30">
        <f>F25+апр!J25</f>
        <v>800</v>
      </c>
    </row>
    <row r="26" spans="1:21" ht="17.25" customHeight="1">
      <c r="A26" s="8"/>
      <c r="B26" s="12" t="s">
        <v>15</v>
      </c>
      <c r="C26" s="13" t="s">
        <v>16</v>
      </c>
      <c r="D26" s="16">
        <f>D24/D25*1000</f>
        <v>657.39043824701196</v>
      </c>
      <c r="E26" s="16" t="e">
        <f t="shared" ref="E26:F26" si="13">E24/E25*1000</f>
        <v>#DIV/0!</v>
      </c>
      <c r="F26" s="16" t="e">
        <f t="shared" si="13"/>
        <v>#DIV/0!</v>
      </c>
      <c r="G26" s="10" t="e">
        <f t="shared" si="3"/>
        <v>#DIV/0!</v>
      </c>
      <c r="H26" s="16">
        <f>H24/H25*1000</f>
        <v>657.39043824701207</v>
      </c>
      <c r="I26" s="16"/>
      <c r="J26" s="16">
        <f t="shared" ref="J26" si="14">J24/J25*1000</f>
        <v>519.80000000000007</v>
      </c>
      <c r="K26" s="16"/>
      <c r="L26" s="16"/>
      <c r="M26" s="220"/>
      <c r="N26" s="221"/>
      <c r="O26" s="122">
        <f t="shared" si="0"/>
        <v>-137.590438247012</v>
      </c>
      <c r="P26" s="123">
        <f t="shared" si="1"/>
        <v>-20.929790006363447</v>
      </c>
      <c r="Q26" s="114"/>
      <c r="S26">
        <f t="shared" si="2"/>
        <v>3286.9521912350597</v>
      </c>
      <c r="T26" s="44" t="e">
        <f>E26+апр!I26</f>
        <v>#DIV/0!</v>
      </c>
      <c r="U26" s="30" t="e">
        <f>F26+апр!J26</f>
        <v>#DIV/0!</v>
      </c>
    </row>
    <row r="27" spans="1:21" ht="17.25" customHeight="1">
      <c r="A27" s="8" t="s">
        <v>23</v>
      </c>
      <c r="B27" s="9" t="s">
        <v>25</v>
      </c>
      <c r="C27" s="8" t="s">
        <v>4</v>
      </c>
      <c r="D27" s="10">
        <v>214.15600000000001</v>
      </c>
      <c r="E27" s="8"/>
      <c r="F27" s="54"/>
      <c r="G27" s="10">
        <f t="shared" si="3"/>
        <v>0</v>
      </c>
      <c r="H27" s="10">
        <f>D27+сентябрь!H27</f>
        <v>2141.56</v>
      </c>
      <c r="I27" s="8"/>
      <c r="J27" s="183">
        <f>F27+сентябрь!J27</f>
        <v>1368</v>
      </c>
      <c r="K27" s="10">
        <f t="shared" si="4"/>
        <v>1368</v>
      </c>
      <c r="L27" s="16"/>
      <c r="M27" s="220"/>
      <c r="N27" s="221"/>
      <c r="O27" s="122">
        <f t="shared" si="0"/>
        <v>-773.56</v>
      </c>
      <c r="P27" s="123">
        <f t="shared" si="1"/>
        <v>-36.121332113039088</v>
      </c>
      <c r="Q27" s="114"/>
      <c r="S27">
        <f t="shared" si="2"/>
        <v>1070.78</v>
      </c>
      <c r="T27" s="44">
        <f>E27+апр!I27</f>
        <v>0</v>
      </c>
      <c r="U27" s="30">
        <f>F27+апр!J27</f>
        <v>0</v>
      </c>
    </row>
    <row r="28" spans="1:21" ht="17.25" customHeight="1">
      <c r="A28" s="8"/>
      <c r="B28" s="12" t="s">
        <v>13</v>
      </c>
      <c r="C28" s="13" t="s">
        <v>14</v>
      </c>
      <c r="D28" s="14">
        <v>238</v>
      </c>
      <c r="E28" s="13"/>
      <c r="F28" s="8"/>
      <c r="G28" s="10">
        <f t="shared" si="3"/>
        <v>0</v>
      </c>
      <c r="H28" s="10">
        <f>D28+сентябрь!H28</f>
        <v>2380</v>
      </c>
      <c r="I28" s="8"/>
      <c r="J28" s="183">
        <f>F28+сентябрь!J28</f>
        <v>1710</v>
      </c>
      <c r="K28" s="10">
        <f t="shared" si="4"/>
        <v>1710</v>
      </c>
      <c r="L28" s="16"/>
      <c r="M28" s="220"/>
      <c r="N28" s="221"/>
      <c r="O28" s="122">
        <f t="shared" si="0"/>
        <v>-670</v>
      </c>
      <c r="P28" s="123">
        <f t="shared" si="1"/>
        <v>-28.15126050420168</v>
      </c>
      <c r="Q28" s="114"/>
      <c r="S28">
        <f t="shared" si="2"/>
        <v>1190</v>
      </c>
      <c r="T28" s="44">
        <f>E28+апр!I28</f>
        <v>0</v>
      </c>
      <c r="U28" s="30">
        <f>F28+апр!J28</f>
        <v>0</v>
      </c>
    </row>
    <row r="29" spans="1:21" ht="17.25" customHeight="1">
      <c r="A29" s="8"/>
      <c r="B29" s="12" t="s">
        <v>15</v>
      </c>
      <c r="C29" s="13" t="s">
        <v>16</v>
      </c>
      <c r="D29" s="16">
        <f>D27/D28*1000</f>
        <v>899.81512605042019</v>
      </c>
      <c r="E29" s="13"/>
      <c r="F29" s="16" t="e">
        <f t="shared" ref="F29" si="15">F27/F28*1000</f>
        <v>#DIV/0!</v>
      </c>
      <c r="G29" s="10" t="e">
        <f t="shared" si="3"/>
        <v>#DIV/0!</v>
      </c>
      <c r="H29" s="16">
        <f>H27/H28*1000</f>
        <v>899.81512605042008</v>
      </c>
      <c r="I29" s="16"/>
      <c r="J29" s="16">
        <f t="shared" ref="J29" si="16">J27/J28*1000</f>
        <v>800</v>
      </c>
      <c r="K29" s="10">
        <f t="shared" si="4"/>
        <v>800</v>
      </c>
      <c r="L29" s="16"/>
      <c r="M29" s="220"/>
      <c r="N29" s="221"/>
      <c r="O29" s="122">
        <f t="shared" si="0"/>
        <v>-99.815126050420076</v>
      </c>
      <c r="P29" s="123">
        <f t="shared" si="1"/>
        <v>-11.09284820411288</v>
      </c>
      <c r="Q29" s="114"/>
      <c r="S29">
        <f t="shared" si="2"/>
        <v>4499.0756302521013</v>
      </c>
      <c r="T29" s="44">
        <f>E29+апр!I29</f>
        <v>0</v>
      </c>
      <c r="U29" s="30" t="e">
        <f>F29+апр!J29</f>
        <v>#DIV/0!</v>
      </c>
    </row>
    <row r="30" spans="1:21" ht="17.25" customHeight="1">
      <c r="A30" s="18" t="s">
        <v>26</v>
      </c>
      <c r="B30" s="9" t="s">
        <v>27</v>
      </c>
      <c r="C30" s="8" t="s">
        <v>4</v>
      </c>
      <c r="D30" s="10">
        <f t="shared" ref="D30" si="17">D31+D32+D33+D34</f>
        <v>2406.0839999999998</v>
      </c>
      <c r="E30" s="8">
        <v>762.50099999999998</v>
      </c>
      <c r="F30" s="10">
        <f>F31+F32+F33+F34</f>
        <v>515.90700000000004</v>
      </c>
      <c r="G30" s="10">
        <f t="shared" si="3"/>
        <v>-246.59399999999994</v>
      </c>
      <c r="H30" s="10">
        <f t="shared" ref="H30" si="18">H31+H32+H33+H34</f>
        <v>24060.840000000004</v>
      </c>
      <c r="I30" s="8">
        <f>E30+сентябрь!I30</f>
        <v>7625.0100000000011</v>
      </c>
      <c r="J30" s="10">
        <f t="shared" ref="J30" si="19">J31+J32+J33+J34</f>
        <v>19216.68</v>
      </c>
      <c r="K30" s="10">
        <f t="shared" si="4"/>
        <v>11591.669999999998</v>
      </c>
      <c r="L30" s="16">
        <f t="shared" si="5"/>
        <v>152.02170226661994</v>
      </c>
      <c r="M30" s="220"/>
      <c r="N30" s="221"/>
      <c r="O30" s="122">
        <f t="shared" si="0"/>
        <v>-4844.1600000000035</v>
      </c>
      <c r="P30" s="123">
        <f t="shared" si="1"/>
        <v>-20.132962938949774</v>
      </c>
      <c r="Q30" s="114"/>
      <c r="S30">
        <f t="shared" si="2"/>
        <v>12030.419999999998</v>
      </c>
      <c r="T30" s="44">
        <f>E30+апр!I30</f>
        <v>3812.5050000000001</v>
      </c>
      <c r="U30" s="30">
        <f>F30+апр!J30</f>
        <v>9688.655999999999</v>
      </c>
    </row>
    <row r="31" spans="1:21" ht="35.25" customHeight="1">
      <c r="A31" s="18" t="s">
        <v>28</v>
      </c>
      <c r="B31" s="9" t="s">
        <v>29</v>
      </c>
      <c r="C31" s="8" t="s">
        <v>4</v>
      </c>
      <c r="D31" s="10">
        <v>2288.5219999999999</v>
      </c>
      <c r="E31" s="8"/>
      <c r="F31" s="55">
        <v>428.67099999999999</v>
      </c>
      <c r="G31" s="10">
        <f t="shared" si="3"/>
        <v>428.67099999999999</v>
      </c>
      <c r="H31" s="10">
        <f>D31+сентябрь!H31</f>
        <v>22885.220000000005</v>
      </c>
      <c r="I31" s="8"/>
      <c r="J31" s="183">
        <v>18030.900000000001</v>
      </c>
      <c r="K31" s="10">
        <f t="shared" si="4"/>
        <v>18030.900000000001</v>
      </c>
      <c r="L31" s="16"/>
      <c r="M31" s="220"/>
      <c r="N31" s="221"/>
      <c r="O31" s="122">
        <f t="shared" si="0"/>
        <v>-4854.3200000000033</v>
      </c>
      <c r="P31" s="123">
        <f t="shared" si="1"/>
        <v>-21.211594207964801</v>
      </c>
      <c r="Q31" s="114">
        <f>1684.27+16346.673</f>
        <v>18030.942999999999</v>
      </c>
      <c r="S31">
        <f t="shared" si="2"/>
        <v>11442.61</v>
      </c>
      <c r="T31" s="44">
        <f>E31+апр!I31</f>
        <v>0</v>
      </c>
      <c r="U31" s="30">
        <f>F31+апр!J31</f>
        <v>9202.1059999999998</v>
      </c>
    </row>
    <row r="32" spans="1:21" ht="51.75" customHeight="1">
      <c r="A32" s="18" t="s">
        <v>30</v>
      </c>
      <c r="B32" s="9" t="s">
        <v>31</v>
      </c>
      <c r="C32" s="8" t="s">
        <v>4</v>
      </c>
      <c r="D32" s="10">
        <v>60.337000000000003</v>
      </c>
      <c r="E32" s="8"/>
      <c r="F32" s="54">
        <v>35.802</v>
      </c>
      <c r="G32" s="10">
        <f t="shared" si="3"/>
        <v>35.802</v>
      </c>
      <c r="H32" s="10">
        <f>D32+сентябрь!H32</f>
        <v>603.37</v>
      </c>
      <c r="I32" s="8"/>
      <c r="J32" s="183">
        <v>834.13699999999994</v>
      </c>
      <c r="K32" s="10">
        <f t="shared" si="4"/>
        <v>834.13699999999994</v>
      </c>
      <c r="L32" s="16"/>
      <c r="M32" s="222" t="s">
        <v>285</v>
      </c>
      <c r="N32" s="223"/>
      <c r="O32" s="122">
        <f t="shared" si="0"/>
        <v>230.76699999999994</v>
      </c>
      <c r="P32" s="123">
        <f t="shared" si="1"/>
        <v>38.246349669357102</v>
      </c>
      <c r="Q32" s="115">
        <f>774.896+59.241</f>
        <v>834.13699999999994</v>
      </c>
      <c r="S32">
        <f t="shared" si="2"/>
        <v>301.685</v>
      </c>
      <c r="T32" s="44">
        <f>E32+апр!I32</f>
        <v>0</v>
      </c>
      <c r="U32" s="30">
        <f>F32+апр!J32</f>
        <v>303.83199999999999</v>
      </c>
    </row>
    <row r="33" spans="1:21" ht="17.25" customHeight="1">
      <c r="A33" s="18" t="s">
        <v>32</v>
      </c>
      <c r="B33" s="9" t="s">
        <v>33</v>
      </c>
      <c r="C33" s="8" t="s">
        <v>4</v>
      </c>
      <c r="D33" s="10">
        <v>19.736999999999998</v>
      </c>
      <c r="E33" s="8"/>
      <c r="F33" s="55">
        <v>17.116</v>
      </c>
      <c r="G33" s="10">
        <f t="shared" si="3"/>
        <v>17.116</v>
      </c>
      <c r="H33" s="10">
        <f>D33+сентябрь!H33</f>
        <v>197.36999999999998</v>
      </c>
      <c r="I33" s="8"/>
      <c r="J33" s="183">
        <f>161.884+54.317</f>
        <v>216.20099999999999</v>
      </c>
      <c r="K33" s="10">
        <f t="shared" si="4"/>
        <v>216.20099999999999</v>
      </c>
      <c r="L33" s="16"/>
      <c r="M33" s="220"/>
      <c r="N33" s="221"/>
      <c r="O33" s="122">
        <f t="shared" si="0"/>
        <v>18.831000000000017</v>
      </c>
      <c r="P33" s="123">
        <f t="shared" si="1"/>
        <v>9.5409636722906317</v>
      </c>
      <c r="Q33" s="114"/>
      <c r="S33">
        <f t="shared" si="2"/>
        <v>98.684999999999988</v>
      </c>
      <c r="T33" s="44">
        <f>E33+апр!I33</f>
        <v>0</v>
      </c>
      <c r="U33" s="30">
        <f>F33+апр!J33</f>
        <v>66.641999999999996</v>
      </c>
    </row>
    <row r="34" spans="1:21" ht="33" customHeight="1">
      <c r="A34" s="18" t="s">
        <v>34</v>
      </c>
      <c r="B34" s="9" t="s">
        <v>35</v>
      </c>
      <c r="C34" s="8" t="s">
        <v>4</v>
      </c>
      <c r="D34" s="10">
        <v>37.488</v>
      </c>
      <c r="E34" s="8"/>
      <c r="F34" s="55">
        <v>34.317999999999998</v>
      </c>
      <c r="G34" s="10">
        <f t="shared" si="3"/>
        <v>34.317999999999998</v>
      </c>
      <c r="H34" s="10">
        <f>D34+сентябрь!H34</f>
        <v>374.88</v>
      </c>
      <c r="I34" s="8"/>
      <c r="J34" s="183">
        <f>F34+сентябрь!J34</f>
        <v>135.44200000000001</v>
      </c>
      <c r="K34" s="10">
        <f t="shared" si="4"/>
        <v>135.44200000000001</v>
      </c>
      <c r="L34" s="16"/>
      <c r="M34" s="220"/>
      <c r="N34" s="221"/>
      <c r="O34" s="122">
        <f t="shared" si="0"/>
        <v>-239.43799999999999</v>
      </c>
      <c r="P34" s="123">
        <f t="shared" si="1"/>
        <v>-63.870571916346563</v>
      </c>
      <c r="Q34" s="114">
        <f>47.574+87.868</f>
        <v>135.44200000000001</v>
      </c>
      <c r="S34">
        <f t="shared" si="2"/>
        <v>187.44</v>
      </c>
      <c r="T34" s="44">
        <f>E34+апр!I34</f>
        <v>0</v>
      </c>
      <c r="U34" s="30">
        <f>F34+апр!J34</f>
        <v>116.07600000000001</v>
      </c>
    </row>
    <row r="35" spans="1:21" ht="17.25" customHeight="1">
      <c r="A35" s="18" t="s">
        <v>36</v>
      </c>
      <c r="B35" s="9" t="s">
        <v>37</v>
      </c>
      <c r="C35" s="8" t="s">
        <v>4</v>
      </c>
      <c r="D35" s="10">
        <f t="shared" ref="D35:J35" si="20">D36</f>
        <v>162.715</v>
      </c>
      <c r="E35" s="10">
        <f t="shared" si="20"/>
        <v>162.75</v>
      </c>
      <c r="F35" s="10">
        <f t="shared" si="20"/>
        <v>62.536000000000001</v>
      </c>
      <c r="G35" s="10">
        <f t="shared" si="3"/>
        <v>-100.214</v>
      </c>
      <c r="H35" s="10">
        <f t="shared" si="20"/>
        <v>1627.1499999999999</v>
      </c>
      <c r="I35" s="10">
        <f t="shared" si="20"/>
        <v>1627.5</v>
      </c>
      <c r="J35" s="10">
        <f t="shared" si="20"/>
        <v>3076.02</v>
      </c>
      <c r="K35" s="10">
        <f t="shared" si="4"/>
        <v>1448.52</v>
      </c>
      <c r="L35" s="16">
        <f t="shared" si="5"/>
        <v>89.002764976958531</v>
      </c>
      <c r="M35" s="220"/>
      <c r="N35" s="221"/>
      <c r="O35" s="122">
        <f t="shared" si="0"/>
        <v>1448.8700000000001</v>
      </c>
      <c r="P35" s="123">
        <f t="shared" si="1"/>
        <v>89.043419475770534</v>
      </c>
      <c r="Q35" s="114"/>
      <c r="S35">
        <f t="shared" si="2"/>
        <v>813.57500000000005</v>
      </c>
      <c r="T35" s="44">
        <f>E35+апр!I35</f>
        <v>813.75</v>
      </c>
      <c r="U35" s="30">
        <f>F35+апр!J35</f>
        <v>1846.0840000000001</v>
      </c>
    </row>
    <row r="36" spans="1:21" ht="17.25" customHeight="1">
      <c r="A36" s="8" t="s">
        <v>38</v>
      </c>
      <c r="B36" s="9" t="s">
        <v>39</v>
      </c>
      <c r="C36" s="8" t="s">
        <v>4</v>
      </c>
      <c r="D36" s="10">
        <v>162.715</v>
      </c>
      <c r="E36" s="8">
        <v>162.75</v>
      </c>
      <c r="F36" s="54">
        <v>62.536000000000001</v>
      </c>
      <c r="G36" s="10">
        <f t="shared" si="3"/>
        <v>-100.214</v>
      </c>
      <c r="H36" s="10">
        <f>D36+сентябрь!H36</f>
        <v>1627.1499999999999</v>
      </c>
      <c r="I36" s="8">
        <f>E36+сентябрь!I36</f>
        <v>1627.5</v>
      </c>
      <c r="J36" s="183">
        <v>3076.02</v>
      </c>
      <c r="K36" s="10">
        <f t="shared" si="4"/>
        <v>1448.52</v>
      </c>
      <c r="L36" s="16">
        <f t="shared" si="5"/>
        <v>89.002764976958531</v>
      </c>
      <c r="M36" s="220"/>
      <c r="N36" s="221"/>
      <c r="O36" s="122">
        <f t="shared" si="0"/>
        <v>1448.8700000000001</v>
      </c>
      <c r="P36" s="123">
        <f t="shared" si="1"/>
        <v>89.043419475770534</v>
      </c>
      <c r="Q36" s="114">
        <f>2566.013+510.005</f>
        <v>3076.018</v>
      </c>
      <c r="S36">
        <f t="shared" si="2"/>
        <v>813.57500000000005</v>
      </c>
      <c r="T36" s="44">
        <f>E36+апр!I36</f>
        <v>813.75</v>
      </c>
      <c r="U36" s="30">
        <f>F36+апр!J36</f>
        <v>1846.0840000000001</v>
      </c>
    </row>
    <row r="37" spans="1:21" ht="17.25" customHeight="1">
      <c r="A37" s="18" t="s">
        <v>40</v>
      </c>
      <c r="B37" s="9" t="s">
        <v>41</v>
      </c>
      <c r="C37" s="8" t="s">
        <v>4</v>
      </c>
      <c r="D37" s="10">
        <f>D38+D41+D48+D51</f>
        <v>1613.3909999999998</v>
      </c>
      <c r="E37" s="8">
        <v>1933.0830000000001</v>
      </c>
      <c r="F37" s="10">
        <f>F38+F41+F48+F51</f>
        <v>2135.9449999999997</v>
      </c>
      <c r="G37" s="10">
        <f t="shared" si="3"/>
        <v>202.86199999999963</v>
      </c>
      <c r="H37" s="10">
        <f>H38+H41+H48+H51</f>
        <v>16133.909999999998</v>
      </c>
      <c r="I37" s="8">
        <f>E37+сентябрь!I37</f>
        <v>19330.830000000002</v>
      </c>
      <c r="J37" s="10">
        <f>J38+J41+J48+J51</f>
        <v>18808.092999999997</v>
      </c>
      <c r="K37" s="10">
        <f t="shared" si="4"/>
        <v>-522.73700000000463</v>
      </c>
      <c r="L37" s="16">
        <f t="shared" si="5"/>
        <v>-2.7041622113484243</v>
      </c>
      <c r="M37" s="220"/>
      <c r="N37" s="221"/>
      <c r="O37" s="122">
        <f t="shared" si="0"/>
        <v>2674.1829999999991</v>
      </c>
      <c r="P37" s="123">
        <f t="shared" si="1"/>
        <v>16.574922012085104</v>
      </c>
      <c r="Q37" s="114"/>
      <c r="S37">
        <f t="shared" si="2"/>
        <v>8066.954999999999</v>
      </c>
      <c r="T37" s="44">
        <f>E37+апр!I37</f>
        <v>9665.4150000000009</v>
      </c>
      <c r="U37" s="30">
        <f>F37+апр!J37</f>
        <v>12187.677</v>
      </c>
    </row>
    <row r="38" spans="1:21" ht="17.25" customHeight="1">
      <c r="A38" s="18" t="s">
        <v>42</v>
      </c>
      <c r="B38" s="9" t="s">
        <v>43</v>
      </c>
      <c r="C38" s="8" t="s">
        <v>4</v>
      </c>
      <c r="D38" s="10">
        <v>707.32500000000005</v>
      </c>
      <c r="E38" s="8">
        <v>707.33299999999997</v>
      </c>
      <c r="F38" s="55">
        <v>308.88</v>
      </c>
      <c r="G38" s="10">
        <f t="shared" si="3"/>
        <v>-398.45299999999997</v>
      </c>
      <c r="H38" s="10">
        <f>D38+сентябрь!H38</f>
        <v>7073.2499999999991</v>
      </c>
      <c r="I38" s="8">
        <f>E38+сентябрь!I38</f>
        <v>7073.3299999999981</v>
      </c>
      <c r="J38" s="183">
        <f>F38+сентябрь!J38</f>
        <v>5962.0879999999997</v>
      </c>
      <c r="K38" s="10">
        <f t="shared" si="4"/>
        <v>-1111.2419999999984</v>
      </c>
      <c r="L38" s="16">
        <f t="shared" si="5"/>
        <v>-15.710309005800644</v>
      </c>
      <c r="M38" s="220"/>
      <c r="N38" s="221"/>
      <c r="O38" s="122">
        <f t="shared" si="0"/>
        <v>-1111.1619999999994</v>
      </c>
      <c r="P38" s="123">
        <f t="shared" si="1"/>
        <v>-15.709355671014025</v>
      </c>
      <c r="Q38" s="114"/>
      <c r="S38">
        <f t="shared" si="2"/>
        <v>3536.625</v>
      </c>
      <c r="T38" s="44">
        <f>E38+апр!I38</f>
        <v>3536.665</v>
      </c>
      <c r="U38" s="30">
        <f>F38+апр!J38</f>
        <v>5856.2460000000001</v>
      </c>
    </row>
    <row r="39" spans="1:21" ht="17.25" customHeight="1">
      <c r="A39" s="8"/>
      <c r="B39" s="12" t="s">
        <v>13</v>
      </c>
      <c r="C39" s="13" t="s">
        <v>44</v>
      </c>
      <c r="D39" s="14">
        <v>87</v>
      </c>
      <c r="E39" s="13"/>
      <c r="F39" s="8">
        <v>30</v>
      </c>
      <c r="G39" s="10">
        <f t="shared" si="3"/>
        <v>30</v>
      </c>
      <c r="H39" s="10">
        <f>D39+сентябрь!H39</f>
        <v>870</v>
      </c>
      <c r="I39" s="8"/>
      <c r="J39" s="183">
        <f>F39+сентябрь!J39</f>
        <v>938</v>
      </c>
      <c r="K39" s="10">
        <f t="shared" si="4"/>
        <v>938</v>
      </c>
      <c r="L39" s="16"/>
      <c r="M39" s="220"/>
      <c r="N39" s="221"/>
      <c r="O39" s="122">
        <f t="shared" si="0"/>
        <v>68</v>
      </c>
      <c r="P39" s="123">
        <f t="shared" si="1"/>
        <v>7.8160919540229887</v>
      </c>
      <c r="Q39" s="114"/>
      <c r="S39">
        <f t="shared" si="2"/>
        <v>435</v>
      </c>
      <c r="T39" s="44">
        <f>E39+апр!I39</f>
        <v>0</v>
      </c>
      <c r="U39" s="30">
        <f>F39+апр!J39</f>
        <v>921</v>
      </c>
    </row>
    <row r="40" spans="1:21" ht="17.25" customHeight="1">
      <c r="A40" s="8"/>
      <c r="B40" s="12" t="s">
        <v>15</v>
      </c>
      <c r="C40" s="13" t="s">
        <v>16</v>
      </c>
      <c r="D40" s="16">
        <f>D38/D39*1000</f>
        <v>8130.1724137931051</v>
      </c>
      <c r="E40" s="16"/>
      <c r="F40" s="16">
        <f t="shared" ref="F40" si="21">F38/F39*1000</f>
        <v>10296</v>
      </c>
      <c r="G40" s="10">
        <f t="shared" si="3"/>
        <v>10296</v>
      </c>
      <c r="H40" s="16">
        <f>H38/H39*1000</f>
        <v>8130.1724137931033</v>
      </c>
      <c r="I40" s="16"/>
      <c r="J40" s="16">
        <f t="shared" ref="J40" si="22">J38/J39*1000</f>
        <v>6356.1705756929632</v>
      </c>
      <c r="K40" s="10">
        <f t="shared" si="4"/>
        <v>6356.1705756929632</v>
      </c>
      <c r="L40" s="16"/>
      <c r="M40" s="220"/>
      <c r="N40" s="221"/>
      <c r="O40" s="122">
        <f t="shared" si="0"/>
        <v>-1774.00183810014</v>
      </c>
      <c r="P40" s="123">
        <f t="shared" si="1"/>
        <v>-21.819978074394683</v>
      </c>
      <c r="Q40" s="114"/>
      <c r="S40">
        <f t="shared" si="2"/>
        <v>40650.862068965522</v>
      </c>
      <c r="T40" s="44">
        <f>E40+апр!I40</f>
        <v>0</v>
      </c>
      <c r="U40" s="30">
        <f>F40+апр!J40</f>
        <v>16522</v>
      </c>
    </row>
    <row r="41" spans="1:21" ht="17.25" customHeight="1">
      <c r="A41" s="18" t="s">
        <v>45</v>
      </c>
      <c r="B41" s="9" t="s">
        <v>46</v>
      </c>
      <c r="C41" s="8" t="s">
        <v>4</v>
      </c>
      <c r="D41" s="10">
        <f t="shared" ref="D41:F41" si="23">D42+D45</f>
        <v>315.00200000000001</v>
      </c>
      <c r="E41" s="10">
        <f t="shared" si="23"/>
        <v>0</v>
      </c>
      <c r="F41" s="54">
        <f t="shared" si="23"/>
        <v>324.80599999999998</v>
      </c>
      <c r="G41" s="10">
        <f t="shared" si="3"/>
        <v>324.80599999999998</v>
      </c>
      <c r="H41" s="10">
        <f t="shared" ref="H41:J41" si="24">H42+H45</f>
        <v>3150.0199999999995</v>
      </c>
      <c r="I41" s="10">
        <f t="shared" si="24"/>
        <v>0</v>
      </c>
      <c r="J41" s="10">
        <f t="shared" si="24"/>
        <v>3485.8110000000001</v>
      </c>
      <c r="K41" s="10">
        <f t="shared" si="4"/>
        <v>3485.8110000000001</v>
      </c>
      <c r="L41" s="16"/>
      <c r="M41" s="220"/>
      <c r="N41" s="221"/>
      <c r="O41" s="122">
        <f t="shared" si="0"/>
        <v>335.79100000000062</v>
      </c>
      <c r="P41" s="123">
        <f t="shared" si="1"/>
        <v>10.659964063720253</v>
      </c>
      <c r="Q41" s="114"/>
      <c r="S41">
        <f t="shared" si="2"/>
        <v>1575.01</v>
      </c>
      <c r="T41" s="44">
        <f>E41+апр!I41</f>
        <v>0</v>
      </c>
      <c r="U41" s="30">
        <f>F41+апр!J41</f>
        <v>1761.864</v>
      </c>
    </row>
    <row r="42" spans="1:21" ht="16.5" customHeight="1">
      <c r="A42" s="8"/>
      <c r="B42" s="9" t="s">
        <v>47</v>
      </c>
      <c r="C42" s="8" t="s">
        <v>4</v>
      </c>
      <c r="D42" s="10">
        <v>152.298</v>
      </c>
      <c r="E42" s="8"/>
      <c r="F42" s="8"/>
      <c r="G42" s="10">
        <f t="shared" si="3"/>
        <v>0</v>
      </c>
      <c r="H42" s="10">
        <f>D42+сентябрь!H42</f>
        <v>1522.98</v>
      </c>
      <c r="I42" s="8"/>
      <c r="J42" s="54">
        <f>F42+сентябрь!J42</f>
        <v>0</v>
      </c>
      <c r="K42" s="10">
        <f t="shared" si="4"/>
        <v>0</v>
      </c>
      <c r="L42" s="16"/>
      <c r="M42" s="233" t="s">
        <v>286</v>
      </c>
      <c r="N42" s="234"/>
      <c r="O42" s="122">
        <f t="shared" si="0"/>
        <v>-1522.98</v>
      </c>
      <c r="P42" s="123">
        <f t="shared" si="1"/>
        <v>-100</v>
      </c>
      <c r="Q42" s="115"/>
      <c r="S42">
        <f t="shared" si="2"/>
        <v>761.49</v>
      </c>
      <c r="T42" s="44">
        <f>E42+апр!I42</f>
        <v>0</v>
      </c>
      <c r="U42" s="30">
        <f>F42+апр!J42</f>
        <v>0</v>
      </c>
    </row>
    <row r="43" spans="1:21" ht="17.25" customHeight="1">
      <c r="A43" s="8"/>
      <c r="B43" s="12" t="s">
        <v>48</v>
      </c>
      <c r="C43" s="13" t="s">
        <v>49</v>
      </c>
      <c r="D43" s="14">
        <v>1917</v>
      </c>
      <c r="E43" s="13"/>
      <c r="F43" s="8"/>
      <c r="G43" s="10">
        <f t="shared" si="3"/>
        <v>0</v>
      </c>
      <c r="H43" s="10">
        <f>D43+сентябрь!H43</f>
        <v>19170</v>
      </c>
      <c r="I43" s="8"/>
      <c r="J43" s="54">
        <f>F43+сентябрь!J43</f>
        <v>0</v>
      </c>
      <c r="K43" s="10">
        <f t="shared" si="4"/>
        <v>0</v>
      </c>
      <c r="L43" s="16"/>
      <c r="M43" s="235"/>
      <c r="N43" s="236"/>
      <c r="O43" s="122">
        <f t="shared" si="0"/>
        <v>-19170</v>
      </c>
      <c r="P43" s="123">
        <f t="shared" si="1"/>
        <v>-100</v>
      </c>
      <c r="Q43" s="115"/>
      <c r="S43">
        <f t="shared" si="2"/>
        <v>9585</v>
      </c>
      <c r="T43" s="44">
        <f>E43+апр!I43</f>
        <v>0</v>
      </c>
      <c r="U43" s="30">
        <f>F43+апр!J43</f>
        <v>0</v>
      </c>
    </row>
    <row r="44" spans="1:21" ht="17.25" customHeight="1">
      <c r="A44" s="8"/>
      <c r="B44" s="12" t="s">
        <v>15</v>
      </c>
      <c r="C44" s="13" t="s">
        <v>16</v>
      </c>
      <c r="D44" s="16">
        <f>D42/D43*1000</f>
        <v>79.44600938967136</v>
      </c>
      <c r="E44" s="13"/>
      <c r="F44" s="8"/>
      <c r="G44" s="10">
        <f t="shared" si="3"/>
        <v>0</v>
      </c>
      <c r="H44" s="16">
        <f>H42/H43*1000</f>
        <v>79.44600938967136</v>
      </c>
      <c r="I44" s="16"/>
      <c r="J44" s="16" t="e">
        <f t="shared" ref="J44" si="25">J42/J43*1000</f>
        <v>#DIV/0!</v>
      </c>
      <c r="K44" s="10" t="e">
        <f t="shared" si="4"/>
        <v>#DIV/0!</v>
      </c>
      <c r="L44" s="16"/>
      <c r="M44" s="220"/>
      <c r="N44" s="221"/>
      <c r="O44" s="122" t="e">
        <f t="shared" si="0"/>
        <v>#DIV/0!</v>
      </c>
      <c r="P44" s="123" t="e">
        <f t="shared" si="1"/>
        <v>#DIV/0!</v>
      </c>
      <c r="Q44" s="114"/>
      <c r="S44">
        <f t="shared" si="2"/>
        <v>397.2300469483568</v>
      </c>
      <c r="T44" s="44">
        <f>E44+апр!I44</f>
        <v>0</v>
      </c>
      <c r="U44" s="30" t="e">
        <f>F44+апр!J44</f>
        <v>#DIV/0!</v>
      </c>
    </row>
    <row r="45" spans="1:21" ht="17.25" customHeight="1">
      <c r="A45" s="8"/>
      <c r="B45" s="19" t="s">
        <v>50</v>
      </c>
      <c r="C45" s="8" t="s">
        <v>4</v>
      </c>
      <c r="D45" s="10">
        <v>162.70400000000001</v>
      </c>
      <c r="E45" s="8"/>
      <c r="F45" s="54">
        <v>324.80599999999998</v>
      </c>
      <c r="G45" s="10">
        <f t="shared" si="3"/>
        <v>324.80599999999998</v>
      </c>
      <c r="H45" s="10">
        <f>D45+сентябрь!H45</f>
        <v>1627.0399999999997</v>
      </c>
      <c r="I45" s="8">
        <f>E45+август!I45</f>
        <v>0</v>
      </c>
      <c r="J45" s="183">
        <v>3485.8110000000001</v>
      </c>
      <c r="K45" s="10">
        <f t="shared" si="4"/>
        <v>3485.8110000000001</v>
      </c>
      <c r="L45" s="16"/>
      <c r="M45" s="220"/>
      <c r="N45" s="221"/>
      <c r="O45" s="122">
        <f t="shared" si="0"/>
        <v>1858.7710000000004</v>
      </c>
      <c r="P45" s="123">
        <f t="shared" si="1"/>
        <v>114.24248942865576</v>
      </c>
      <c r="Q45" s="114"/>
      <c r="S45">
        <f t="shared" si="2"/>
        <v>813.52</v>
      </c>
      <c r="T45" s="44">
        <f>E45+апр!I45</f>
        <v>0</v>
      </c>
      <c r="U45" s="30">
        <f>F45+апр!J45</f>
        <v>1761.864</v>
      </c>
    </row>
    <row r="46" spans="1:21" ht="17.25" customHeight="1">
      <c r="A46" s="8"/>
      <c r="B46" s="12" t="s">
        <v>51</v>
      </c>
      <c r="C46" s="13" t="s">
        <v>49</v>
      </c>
      <c r="D46" s="14">
        <v>1417</v>
      </c>
      <c r="E46" s="13"/>
      <c r="F46" s="8">
        <v>2284</v>
      </c>
      <c r="G46" s="10">
        <f t="shared" si="3"/>
        <v>2284</v>
      </c>
      <c r="H46" s="10">
        <f>D46+сентябрь!H46</f>
        <v>14170</v>
      </c>
      <c r="I46" s="8"/>
      <c r="J46" s="183">
        <v>24520</v>
      </c>
      <c r="K46" s="10">
        <f t="shared" si="4"/>
        <v>24520</v>
      </c>
      <c r="L46" s="16"/>
      <c r="M46" s="220"/>
      <c r="N46" s="221"/>
      <c r="O46" s="122">
        <f t="shared" si="0"/>
        <v>10350</v>
      </c>
      <c r="P46" s="123">
        <f t="shared" si="1"/>
        <v>73.041637261820753</v>
      </c>
      <c r="Q46" s="114"/>
      <c r="S46">
        <f t="shared" si="2"/>
        <v>7085</v>
      </c>
      <c r="T46" s="44">
        <f>E46+апр!I46</f>
        <v>0</v>
      </c>
      <c r="U46" s="30">
        <f>F46+апр!J46</f>
        <v>12406</v>
      </c>
    </row>
    <row r="47" spans="1:21" ht="17.25" customHeight="1">
      <c r="A47" s="8"/>
      <c r="B47" s="12" t="s">
        <v>15</v>
      </c>
      <c r="C47" s="13" t="s">
        <v>16</v>
      </c>
      <c r="D47" s="16">
        <f>D45/D46*1000</f>
        <v>114.82286520818631</v>
      </c>
      <c r="E47" s="16"/>
      <c r="F47" s="16">
        <f t="shared" ref="F47" si="26">F45/F46*1000</f>
        <v>142.20928196147108</v>
      </c>
      <c r="G47" s="10">
        <f t="shared" si="3"/>
        <v>142.20928196147108</v>
      </c>
      <c r="H47" s="16">
        <f>H45/H46*1000</f>
        <v>114.82286520818629</v>
      </c>
      <c r="I47" s="16"/>
      <c r="J47" s="16">
        <f t="shared" ref="J47" si="27">J45/J46*1000</f>
        <v>142.16194942903755</v>
      </c>
      <c r="K47" s="10">
        <f t="shared" si="4"/>
        <v>142.16194942903755</v>
      </c>
      <c r="L47" s="16"/>
      <c r="M47" s="220"/>
      <c r="N47" s="221"/>
      <c r="O47" s="122">
        <f t="shared" si="0"/>
        <v>27.339084220851262</v>
      </c>
      <c r="P47" s="123">
        <f t="shared" si="1"/>
        <v>23.809790995271317</v>
      </c>
      <c r="Q47" s="114"/>
      <c r="S47">
        <f t="shared" si="2"/>
        <v>574.11432604093159</v>
      </c>
      <c r="T47" s="44">
        <f>E47+апр!I47</f>
        <v>0</v>
      </c>
      <c r="U47" s="30">
        <f>F47+апр!J47</f>
        <v>284.18300257004648</v>
      </c>
    </row>
    <row r="48" spans="1:21" ht="17.25" customHeight="1">
      <c r="A48" s="18" t="s">
        <v>52</v>
      </c>
      <c r="B48" s="9" t="s">
        <v>53</v>
      </c>
      <c r="C48" s="8" t="s">
        <v>4</v>
      </c>
      <c r="D48" s="10">
        <v>515.60799999999995</v>
      </c>
      <c r="E48" s="8"/>
      <c r="F48" s="55">
        <f>754.536+666.335</f>
        <v>1420.8710000000001</v>
      </c>
      <c r="G48" s="10">
        <f t="shared" si="3"/>
        <v>1420.8710000000001</v>
      </c>
      <c r="H48" s="10">
        <f>D48+сентябрь!H48</f>
        <v>5156.0800000000008</v>
      </c>
      <c r="I48" s="8"/>
      <c r="J48" s="183">
        <v>8703.7379999999994</v>
      </c>
      <c r="K48" s="10">
        <f t="shared" si="4"/>
        <v>8703.7379999999994</v>
      </c>
      <c r="L48" s="16"/>
      <c r="M48" s="220"/>
      <c r="N48" s="221"/>
      <c r="O48" s="122">
        <f t="shared" si="0"/>
        <v>3547.6579999999985</v>
      </c>
      <c r="P48" s="123">
        <f t="shared" si="1"/>
        <v>68.805332733394323</v>
      </c>
      <c r="Q48" s="114"/>
      <c r="S48">
        <f t="shared" si="2"/>
        <v>2578.04</v>
      </c>
      <c r="T48" s="44">
        <f>E48+апр!I48</f>
        <v>0</v>
      </c>
      <c r="U48" s="30">
        <f>F48+апр!J48</f>
        <v>4367.0300000000007</v>
      </c>
    </row>
    <row r="49" spans="1:21" ht="17.25" customHeight="1">
      <c r="A49" s="8"/>
      <c r="B49" s="12" t="s">
        <v>13</v>
      </c>
      <c r="C49" s="13" t="s">
        <v>49</v>
      </c>
      <c r="D49" s="14">
        <v>5833</v>
      </c>
      <c r="E49" s="13"/>
      <c r="F49" s="8">
        <v>8267</v>
      </c>
      <c r="G49" s="10">
        <f t="shared" si="3"/>
        <v>8267</v>
      </c>
      <c r="H49" s="10">
        <f>D49+сентябрь!H49</f>
        <v>58330</v>
      </c>
      <c r="I49" s="8"/>
      <c r="J49" s="183">
        <v>55844</v>
      </c>
      <c r="K49" s="10">
        <f t="shared" si="4"/>
        <v>55844</v>
      </c>
      <c r="L49" s="16"/>
      <c r="M49" s="220"/>
      <c r="N49" s="221"/>
      <c r="O49" s="122">
        <f t="shared" si="0"/>
        <v>-2486</v>
      </c>
      <c r="P49" s="123">
        <f t="shared" si="1"/>
        <v>-4.2619578261614954</v>
      </c>
      <c r="Q49" s="114"/>
      <c r="S49">
        <f t="shared" si="2"/>
        <v>29165</v>
      </c>
      <c r="T49" s="44">
        <f>E49+апр!I49</f>
        <v>0</v>
      </c>
      <c r="U49" s="30">
        <f>F49+апр!J49</f>
        <v>26590</v>
      </c>
    </row>
    <row r="50" spans="1:21" ht="17.25" customHeight="1">
      <c r="A50" s="8"/>
      <c r="B50" s="12" t="s">
        <v>15</v>
      </c>
      <c r="C50" s="13" t="s">
        <v>16</v>
      </c>
      <c r="D50" s="16">
        <f>D48/D49*1000</f>
        <v>88.394993999657117</v>
      </c>
      <c r="E50" s="16"/>
      <c r="F50" s="16">
        <f t="shared" ref="F50" si="28">F48/F49*1000</f>
        <v>171.87262610378616</v>
      </c>
      <c r="G50" s="10">
        <f t="shared" si="3"/>
        <v>171.87262610378616</v>
      </c>
      <c r="H50" s="16">
        <f>H48/H49*1000</f>
        <v>88.394993999657146</v>
      </c>
      <c r="I50" s="16"/>
      <c r="J50" s="16">
        <f t="shared" ref="J50" si="29">J48/J49*1000</f>
        <v>155.8580689062388</v>
      </c>
      <c r="K50" s="10">
        <f t="shared" si="4"/>
        <v>155.8580689062388</v>
      </c>
      <c r="L50" s="16"/>
      <c r="M50" s="220"/>
      <c r="N50" s="221"/>
      <c r="O50" s="122">
        <f t="shared" si="0"/>
        <v>67.463074906581653</v>
      </c>
      <c r="P50" s="123">
        <f t="shared" si="1"/>
        <v>76.320017519140634</v>
      </c>
      <c r="Q50" s="114"/>
      <c r="S50">
        <f t="shared" si="2"/>
        <v>441.97496999828559</v>
      </c>
      <c r="T50" s="44">
        <f>E50+апр!I50</f>
        <v>0</v>
      </c>
      <c r="U50" s="30">
        <f>F50+апр!J50</f>
        <v>332.66283513069226</v>
      </c>
    </row>
    <row r="51" spans="1:21" ht="17.25" customHeight="1">
      <c r="A51" s="18" t="s">
        <v>54</v>
      </c>
      <c r="B51" s="20" t="s">
        <v>55</v>
      </c>
      <c r="C51" s="8" t="s">
        <v>4</v>
      </c>
      <c r="D51" s="10">
        <f t="shared" ref="D51:F52" si="30">D54+D57+D60+D63+D66+D69</f>
        <v>75.456000000000003</v>
      </c>
      <c r="E51" s="10"/>
      <c r="F51" s="10">
        <f t="shared" si="30"/>
        <v>81.388000000000005</v>
      </c>
      <c r="G51" s="10">
        <f t="shared" si="3"/>
        <v>81.388000000000005</v>
      </c>
      <c r="H51" s="10">
        <f t="shared" ref="H51:H52" si="31">H54+H57+H60+H63+H66+H69</f>
        <v>754.56000000000006</v>
      </c>
      <c r="I51" s="10"/>
      <c r="J51" s="10">
        <f t="shared" ref="J51:J52" si="32">J54+J57+J60+J63+J66+J69</f>
        <v>656.45600000000002</v>
      </c>
      <c r="K51" s="10">
        <f t="shared" si="4"/>
        <v>656.45600000000002</v>
      </c>
      <c r="L51" s="16"/>
      <c r="M51" s="220"/>
      <c r="N51" s="221"/>
      <c r="O51" s="122">
        <f t="shared" si="0"/>
        <v>-98.104000000000042</v>
      </c>
      <c r="P51" s="123">
        <f t="shared" si="1"/>
        <v>-13.001484308736222</v>
      </c>
      <c r="Q51" s="114"/>
      <c r="S51">
        <f t="shared" si="2"/>
        <v>377.28000000000003</v>
      </c>
      <c r="T51" s="44">
        <f>E51+апр!I51</f>
        <v>0</v>
      </c>
      <c r="U51" s="30">
        <f>F51+апр!J51</f>
        <v>202.53700000000001</v>
      </c>
    </row>
    <row r="52" spans="1:21" ht="17.25" customHeight="1">
      <c r="A52" s="8"/>
      <c r="B52" s="19" t="s">
        <v>13</v>
      </c>
      <c r="C52" s="13" t="s">
        <v>49</v>
      </c>
      <c r="D52" s="14">
        <f t="shared" si="30"/>
        <v>177</v>
      </c>
      <c r="E52" s="13"/>
      <c r="F52" s="14">
        <f t="shared" si="30"/>
        <v>107</v>
      </c>
      <c r="G52" s="10">
        <f t="shared" si="3"/>
        <v>107</v>
      </c>
      <c r="H52" s="14">
        <f t="shared" si="31"/>
        <v>1770</v>
      </c>
      <c r="I52" s="8"/>
      <c r="J52" s="14">
        <f t="shared" si="32"/>
        <v>1191.02</v>
      </c>
      <c r="K52" s="10">
        <f t="shared" si="4"/>
        <v>1191.02</v>
      </c>
      <c r="L52" s="16"/>
      <c r="M52" s="220"/>
      <c r="N52" s="221"/>
      <c r="O52" s="122">
        <f t="shared" si="0"/>
        <v>-578.98</v>
      </c>
      <c r="P52" s="123">
        <f t="shared" si="1"/>
        <v>-32.710734463276836</v>
      </c>
      <c r="Q52" s="114"/>
      <c r="S52">
        <f t="shared" si="2"/>
        <v>885</v>
      </c>
      <c r="T52" s="44">
        <f>E52+апр!I52</f>
        <v>0</v>
      </c>
      <c r="U52" s="30">
        <f>F52+апр!J52</f>
        <v>326.07499999999999</v>
      </c>
    </row>
    <row r="53" spans="1:21" ht="17.25" customHeight="1">
      <c r="A53" s="8"/>
      <c r="B53" s="19" t="s">
        <v>15</v>
      </c>
      <c r="C53" s="13" t="s">
        <v>16</v>
      </c>
      <c r="D53" s="16">
        <f>D51/D52*1000</f>
        <v>426.30508474576271</v>
      </c>
      <c r="E53" s="16"/>
      <c r="F53" s="16">
        <f t="shared" ref="F53" si="33">F51/F52*1000</f>
        <v>760.63551401869165</v>
      </c>
      <c r="G53" s="10">
        <f t="shared" si="3"/>
        <v>760.63551401869165</v>
      </c>
      <c r="H53" s="16">
        <f>H51/H52*1000</f>
        <v>426.30508474576271</v>
      </c>
      <c r="I53" s="16"/>
      <c r="J53" s="16">
        <f t="shared" ref="J53" si="34">J51/J52*1000</f>
        <v>551.17126496616356</v>
      </c>
      <c r="K53" s="10">
        <f t="shared" si="4"/>
        <v>551.17126496616356</v>
      </c>
      <c r="L53" s="16"/>
      <c r="M53" s="220"/>
      <c r="N53" s="221"/>
      <c r="O53" s="122">
        <f t="shared" si="0"/>
        <v>124.86618022040085</v>
      </c>
      <c r="P53" s="123">
        <f t="shared" si="1"/>
        <v>29.290333305517059</v>
      </c>
      <c r="Q53" s="114"/>
      <c r="S53">
        <f t="shared" si="2"/>
        <v>2131.5254237288136</v>
      </c>
      <c r="T53" s="44">
        <f>E53+апр!I53</f>
        <v>0</v>
      </c>
      <c r="U53" s="30">
        <f>F53+апр!J53</f>
        <v>1313.637910458267</v>
      </c>
    </row>
    <row r="54" spans="1:21" ht="17.25" customHeight="1">
      <c r="A54" s="8"/>
      <c r="B54" s="20" t="s">
        <v>56</v>
      </c>
      <c r="C54" s="8" t="s">
        <v>4</v>
      </c>
      <c r="D54" s="10">
        <v>7.8079999999999998</v>
      </c>
      <c r="E54" s="8"/>
      <c r="F54" s="55">
        <v>7.5</v>
      </c>
      <c r="G54" s="10">
        <f t="shared" si="3"/>
        <v>7.5</v>
      </c>
      <c r="H54" s="10">
        <f>D54+сентябрь!H54</f>
        <v>78.079999999999984</v>
      </c>
      <c r="I54" s="8"/>
      <c r="J54" s="183">
        <f>F54+сентябрь!J54</f>
        <v>46.158999999999999</v>
      </c>
      <c r="K54" s="10">
        <f t="shared" si="4"/>
        <v>46.158999999999999</v>
      </c>
      <c r="L54" s="16"/>
      <c r="M54" s="220"/>
      <c r="N54" s="221"/>
      <c r="O54" s="122">
        <f t="shared" si="0"/>
        <v>-31.920999999999985</v>
      </c>
      <c r="P54" s="123">
        <f t="shared" si="1"/>
        <v>-40.882428278688515</v>
      </c>
      <c r="Q54" s="114"/>
      <c r="S54">
        <f t="shared" si="2"/>
        <v>39.04</v>
      </c>
      <c r="T54" s="44">
        <f>E54+апр!I54</f>
        <v>0</v>
      </c>
      <c r="U54" s="30">
        <f>F54+апр!J54</f>
        <v>21.103999999999999</v>
      </c>
    </row>
    <row r="55" spans="1:21" ht="17.25" customHeight="1">
      <c r="A55" s="8"/>
      <c r="B55" s="12" t="s">
        <v>13</v>
      </c>
      <c r="C55" s="13" t="s">
        <v>49</v>
      </c>
      <c r="D55" s="14">
        <v>31</v>
      </c>
      <c r="E55" s="13"/>
      <c r="F55" s="8">
        <v>16</v>
      </c>
      <c r="G55" s="10">
        <f t="shared" si="3"/>
        <v>16</v>
      </c>
      <c r="H55" s="10">
        <f>D55+сентябрь!H55</f>
        <v>310</v>
      </c>
      <c r="I55" s="8"/>
      <c r="J55" s="183">
        <v>95</v>
      </c>
      <c r="K55" s="10">
        <f t="shared" si="4"/>
        <v>95</v>
      </c>
      <c r="L55" s="16"/>
      <c r="M55" s="220"/>
      <c r="N55" s="221"/>
      <c r="O55" s="122">
        <f t="shared" si="0"/>
        <v>-215</v>
      </c>
      <c r="P55" s="123">
        <f t="shared" si="1"/>
        <v>-69.354838709677423</v>
      </c>
      <c r="Q55" s="114"/>
      <c r="S55">
        <f t="shared" si="2"/>
        <v>155</v>
      </c>
      <c r="T55" s="44">
        <f>E55+апр!I55</f>
        <v>0</v>
      </c>
      <c r="U55" s="30">
        <f>F55+апр!J55</f>
        <v>41</v>
      </c>
    </row>
    <row r="56" spans="1:21" ht="17.25" customHeight="1">
      <c r="A56" s="8"/>
      <c r="B56" s="12" t="s">
        <v>15</v>
      </c>
      <c r="C56" s="13" t="s">
        <v>16</v>
      </c>
      <c r="D56" s="16">
        <f>D54/D55*1000</f>
        <v>251.87096774193546</v>
      </c>
      <c r="E56" s="16"/>
      <c r="F56" s="16">
        <f t="shared" ref="F56" si="35">F54/F55*1000</f>
        <v>468.75</v>
      </c>
      <c r="G56" s="10">
        <f t="shared" si="3"/>
        <v>468.75</v>
      </c>
      <c r="H56" s="16">
        <f>H54/H55*1000</f>
        <v>251.87096774193546</v>
      </c>
      <c r="I56" s="16"/>
      <c r="J56" s="16">
        <f t="shared" ref="J56" si="36">J54/J55*1000</f>
        <v>485.88421052631577</v>
      </c>
      <c r="K56" s="10">
        <f t="shared" si="4"/>
        <v>485.88421052631577</v>
      </c>
      <c r="L56" s="16"/>
      <c r="M56" s="220"/>
      <c r="N56" s="221"/>
      <c r="O56" s="122">
        <f t="shared" si="0"/>
        <v>234.01324278438031</v>
      </c>
      <c r="P56" s="123">
        <f t="shared" si="1"/>
        <v>92.909970880069039</v>
      </c>
      <c r="Q56" s="114"/>
      <c r="S56">
        <f t="shared" si="2"/>
        <v>1259.3548387096773</v>
      </c>
      <c r="T56" s="44">
        <f>E56+апр!I56</f>
        <v>0</v>
      </c>
      <c r="U56" s="30">
        <f>F56+апр!J56</f>
        <v>1012.91</v>
      </c>
    </row>
    <row r="57" spans="1:21" ht="17.25" customHeight="1">
      <c r="A57" s="8"/>
      <c r="B57" s="20" t="s">
        <v>57</v>
      </c>
      <c r="C57" s="8" t="s">
        <v>4</v>
      </c>
      <c r="D57" s="10">
        <v>13.96</v>
      </c>
      <c r="E57" s="8"/>
      <c r="F57" s="55"/>
      <c r="G57" s="10">
        <f t="shared" si="3"/>
        <v>0</v>
      </c>
      <c r="H57" s="10">
        <f>D57+сентябрь!H57</f>
        <v>139.60000000000005</v>
      </c>
      <c r="I57" s="8"/>
      <c r="J57" s="183">
        <f>F57+сентябрь!J57</f>
        <v>116.25</v>
      </c>
      <c r="K57" s="10">
        <f t="shared" si="4"/>
        <v>116.25</v>
      </c>
      <c r="L57" s="16"/>
      <c r="M57" s="233" t="s">
        <v>291</v>
      </c>
      <c r="N57" s="234"/>
      <c r="O57" s="122">
        <f t="shared" si="0"/>
        <v>-23.350000000000051</v>
      </c>
      <c r="P57" s="123">
        <f t="shared" si="1"/>
        <v>-16.726361031518657</v>
      </c>
      <c r="Q57" s="115"/>
      <c r="S57">
        <f t="shared" si="2"/>
        <v>69.800000000000011</v>
      </c>
      <c r="T57" s="44">
        <f>E57+апр!I57</f>
        <v>0</v>
      </c>
      <c r="U57" s="30">
        <f>F57+апр!J57</f>
        <v>0</v>
      </c>
    </row>
    <row r="58" spans="1:21" ht="17.25" customHeight="1">
      <c r="A58" s="8"/>
      <c r="B58" s="12" t="s">
        <v>13</v>
      </c>
      <c r="C58" s="13" t="s">
        <v>49</v>
      </c>
      <c r="D58" s="14">
        <v>33</v>
      </c>
      <c r="E58" s="13"/>
      <c r="F58" s="8"/>
      <c r="G58" s="10">
        <f t="shared" si="3"/>
        <v>0</v>
      </c>
      <c r="H58" s="10">
        <f>D58+сентябрь!H58</f>
        <v>330</v>
      </c>
      <c r="I58" s="8"/>
      <c r="J58" s="183">
        <f>F58+сентябрь!J58</f>
        <v>300</v>
      </c>
      <c r="K58" s="10">
        <f t="shared" si="4"/>
        <v>300</v>
      </c>
      <c r="L58" s="16"/>
      <c r="M58" s="235"/>
      <c r="N58" s="236"/>
      <c r="O58" s="122">
        <f t="shared" si="0"/>
        <v>-30</v>
      </c>
      <c r="P58" s="123">
        <f t="shared" si="1"/>
        <v>-9.0909090909090917</v>
      </c>
      <c r="Q58" s="115"/>
      <c r="S58">
        <f t="shared" si="2"/>
        <v>165</v>
      </c>
      <c r="T58" s="44">
        <f>E58+апр!I58</f>
        <v>0</v>
      </c>
      <c r="U58" s="30">
        <f>F58+апр!J58</f>
        <v>0</v>
      </c>
    </row>
    <row r="59" spans="1:21" ht="17.25" customHeight="1">
      <c r="A59" s="8"/>
      <c r="B59" s="12" t="s">
        <v>15</v>
      </c>
      <c r="C59" s="13" t="s">
        <v>16</v>
      </c>
      <c r="D59" s="16">
        <f>D57/D58*1000</f>
        <v>423.03030303030306</v>
      </c>
      <c r="E59" s="13"/>
      <c r="F59" s="16" t="e">
        <f t="shared" ref="F59" si="37">F57/F58*1000</f>
        <v>#DIV/0!</v>
      </c>
      <c r="G59" s="10" t="e">
        <f t="shared" si="3"/>
        <v>#DIV/0!</v>
      </c>
      <c r="H59" s="16">
        <f>H57/H58*1000</f>
        <v>423.03030303030317</v>
      </c>
      <c r="I59" s="8"/>
      <c r="J59" s="13"/>
      <c r="K59" s="10">
        <f t="shared" si="4"/>
        <v>0</v>
      </c>
      <c r="L59" s="16"/>
      <c r="M59" s="220"/>
      <c r="N59" s="221"/>
      <c r="O59" s="122">
        <f t="shared" si="0"/>
        <v>-423.03030303030317</v>
      </c>
      <c r="P59" s="123">
        <f t="shared" si="1"/>
        <v>-100</v>
      </c>
      <c r="Q59" s="114"/>
      <c r="S59">
        <f t="shared" si="2"/>
        <v>2115.1515151515155</v>
      </c>
      <c r="T59" s="44">
        <f>E59+апр!I59</f>
        <v>0</v>
      </c>
      <c r="U59" s="30" t="e">
        <f>F59+апр!J59</f>
        <v>#DIV/0!</v>
      </c>
    </row>
    <row r="60" spans="1:21" ht="17.25" customHeight="1">
      <c r="A60" s="8"/>
      <c r="B60" s="20" t="s">
        <v>58</v>
      </c>
      <c r="C60" s="8" t="s">
        <v>4</v>
      </c>
      <c r="D60" s="10">
        <v>28.585000000000001</v>
      </c>
      <c r="E60" s="8"/>
      <c r="F60" s="55">
        <v>52.188000000000002</v>
      </c>
      <c r="G60" s="10">
        <f t="shared" si="3"/>
        <v>52.188000000000002</v>
      </c>
      <c r="H60" s="10">
        <f>D60+сентябрь!H60</f>
        <v>285.85000000000002</v>
      </c>
      <c r="I60" s="8"/>
      <c r="J60" s="183">
        <f>F60+сентябрь!J60</f>
        <v>320.78199999999998</v>
      </c>
      <c r="K60" s="10">
        <f t="shared" si="4"/>
        <v>320.78199999999998</v>
      </c>
      <c r="L60" s="16"/>
      <c r="M60" s="233" t="s">
        <v>291</v>
      </c>
      <c r="N60" s="234"/>
      <c r="O60" s="122">
        <f t="shared" si="0"/>
        <v>34.93199999999996</v>
      </c>
      <c r="P60" s="123">
        <f t="shared" si="1"/>
        <v>12.220395312226676</v>
      </c>
      <c r="Q60" s="115"/>
      <c r="S60">
        <f t="shared" si="2"/>
        <v>142.92500000000001</v>
      </c>
      <c r="T60" s="44">
        <f>E60+апр!I60</f>
        <v>0</v>
      </c>
      <c r="U60" s="30">
        <f>F60+апр!J60</f>
        <v>109.563</v>
      </c>
    </row>
    <row r="61" spans="1:21" ht="17.25" customHeight="1">
      <c r="A61" s="8"/>
      <c r="B61" s="12" t="s">
        <v>13</v>
      </c>
      <c r="C61" s="13" t="s">
        <v>49</v>
      </c>
      <c r="D61" s="14">
        <v>70</v>
      </c>
      <c r="E61" s="13"/>
      <c r="F61" s="8">
        <v>80</v>
      </c>
      <c r="G61" s="10">
        <f t="shared" si="3"/>
        <v>80</v>
      </c>
      <c r="H61" s="10">
        <f>D61+сентябрь!H61</f>
        <v>700</v>
      </c>
      <c r="I61" s="8"/>
      <c r="J61" s="183">
        <v>540</v>
      </c>
      <c r="K61" s="10">
        <f t="shared" si="4"/>
        <v>540</v>
      </c>
      <c r="L61" s="16"/>
      <c r="M61" s="235"/>
      <c r="N61" s="236"/>
      <c r="O61" s="122">
        <f t="shared" si="0"/>
        <v>-160</v>
      </c>
      <c r="P61" s="123">
        <f t="shared" si="1"/>
        <v>-22.857142857142858</v>
      </c>
      <c r="Q61" s="115"/>
      <c r="S61">
        <f t="shared" si="2"/>
        <v>350</v>
      </c>
      <c r="T61" s="44">
        <f>E61+апр!I61</f>
        <v>0</v>
      </c>
      <c r="U61" s="30">
        <f>F61+апр!J61</f>
        <v>188</v>
      </c>
    </row>
    <row r="62" spans="1:21" ht="17.25" customHeight="1">
      <c r="A62" s="8"/>
      <c r="B62" s="12" t="s">
        <v>15</v>
      </c>
      <c r="C62" s="13" t="s">
        <v>16</v>
      </c>
      <c r="D62" s="16">
        <f>D60/D61*1000</f>
        <v>408.35714285714289</v>
      </c>
      <c r="E62" s="16"/>
      <c r="F62" s="16">
        <f t="shared" ref="F62" si="38">F60/F61*1000</f>
        <v>652.35</v>
      </c>
      <c r="G62" s="10">
        <f t="shared" si="3"/>
        <v>652.35</v>
      </c>
      <c r="H62" s="16">
        <f>H60/H61*1000</f>
        <v>408.35714285714289</v>
      </c>
      <c r="I62" s="16"/>
      <c r="J62" s="16">
        <f t="shared" ref="J62" si="39">J60/J61*1000</f>
        <v>594.04074074074072</v>
      </c>
      <c r="K62" s="10">
        <f t="shared" si="4"/>
        <v>594.04074074074072</v>
      </c>
      <c r="L62" s="16"/>
      <c r="M62" s="220"/>
      <c r="N62" s="221"/>
      <c r="O62" s="122">
        <f t="shared" si="0"/>
        <v>185.68359788359783</v>
      </c>
      <c r="P62" s="123">
        <f t="shared" si="1"/>
        <v>45.470882812145696</v>
      </c>
      <c r="Q62" s="114"/>
      <c r="S62">
        <f t="shared" si="2"/>
        <v>2041.7857142857144</v>
      </c>
      <c r="T62" s="44">
        <f>E62+апр!I62</f>
        <v>0</v>
      </c>
      <c r="U62" s="30">
        <f>F62+апр!J62</f>
        <v>1183.5999999999999</v>
      </c>
    </row>
    <row r="63" spans="1:21" ht="17.25" customHeight="1">
      <c r="A63" s="8"/>
      <c r="B63" s="20" t="s">
        <v>220</v>
      </c>
      <c r="C63" s="8" t="s">
        <v>4</v>
      </c>
      <c r="D63" s="10">
        <v>12.234</v>
      </c>
      <c r="E63" s="8"/>
      <c r="F63" s="54">
        <v>4.33</v>
      </c>
      <c r="G63" s="10">
        <f t="shared" si="3"/>
        <v>4.33</v>
      </c>
      <c r="H63" s="10">
        <f>D63+сентябрь!H63</f>
        <v>122.33999999999997</v>
      </c>
      <c r="I63" s="8"/>
      <c r="J63" s="183">
        <f>F63+сентябрь!J63</f>
        <v>56.389999999999993</v>
      </c>
      <c r="K63" s="10">
        <f t="shared" si="4"/>
        <v>56.389999999999993</v>
      </c>
      <c r="L63" s="16"/>
      <c r="M63" s="220"/>
      <c r="N63" s="221"/>
      <c r="O63" s="122">
        <f t="shared" si="0"/>
        <v>-65.949999999999989</v>
      </c>
      <c r="P63" s="123">
        <f t="shared" si="1"/>
        <v>-53.907144024848783</v>
      </c>
      <c r="Q63" s="114"/>
      <c r="S63">
        <f t="shared" si="2"/>
        <v>61.17</v>
      </c>
      <c r="T63" s="44">
        <f>E63+апр!I63</f>
        <v>0</v>
      </c>
      <c r="U63" s="30">
        <f>F63+апр!J63</f>
        <v>12.99</v>
      </c>
    </row>
    <row r="64" spans="1:21" ht="17.25" customHeight="1">
      <c r="A64" s="8"/>
      <c r="B64" s="12" t="s">
        <v>13</v>
      </c>
      <c r="C64" s="13" t="s">
        <v>49</v>
      </c>
      <c r="D64" s="14">
        <v>23</v>
      </c>
      <c r="E64" s="13"/>
      <c r="F64" s="8">
        <v>10</v>
      </c>
      <c r="G64" s="10">
        <f t="shared" si="3"/>
        <v>10</v>
      </c>
      <c r="H64" s="10">
        <f>D64+сентябрь!H64</f>
        <v>230</v>
      </c>
      <c r="I64" s="8"/>
      <c r="J64" s="183">
        <f>F64+сентябрь!J64</f>
        <v>130</v>
      </c>
      <c r="K64" s="10">
        <f t="shared" si="4"/>
        <v>130</v>
      </c>
      <c r="L64" s="16"/>
      <c r="M64" s="220"/>
      <c r="N64" s="221"/>
      <c r="O64" s="122">
        <f t="shared" si="0"/>
        <v>-100</v>
      </c>
      <c r="P64" s="123">
        <f t="shared" si="1"/>
        <v>-43.478260869565219</v>
      </c>
      <c r="Q64" s="114"/>
      <c r="S64">
        <f t="shared" si="2"/>
        <v>115</v>
      </c>
      <c r="T64" s="44">
        <f>E64+апр!I64</f>
        <v>0</v>
      </c>
      <c r="U64" s="30">
        <f>F64+апр!J64</f>
        <v>30</v>
      </c>
    </row>
    <row r="65" spans="1:21" ht="17.25" customHeight="1">
      <c r="A65" s="8"/>
      <c r="B65" s="12" t="s">
        <v>15</v>
      </c>
      <c r="C65" s="13" t="s">
        <v>16</v>
      </c>
      <c r="D65" s="16">
        <f>D63/D64*1000</f>
        <v>531.91304347826087</v>
      </c>
      <c r="E65" s="16"/>
      <c r="F65" s="16">
        <f t="shared" ref="F65" si="40">F63/F64*1000</f>
        <v>433</v>
      </c>
      <c r="G65" s="10">
        <f t="shared" si="3"/>
        <v>433</v>
      </c>
      <c r="H65" s="16">
        <f>H63/H64*1000</f>
        <v>531.91304347826076</v>
      </c>
      <c r="I65" s="16"/>
      <c r="J65" s="16">
        <f t="shared" ref="J65" si="41">J63/J64*1000</f>
        <v>433.76923076923072</v>
      </c>
      <c r="K65" s="10">
        <f t="shared" si="4"/>
        <v>433.76923076923072</v>
      </c>
      <c r="L65" s="16"/>
      <c r="M65" s="220"/>
      <c r="N65" s="221"/>
      <c r="O65" s="122">
        <f t="shared" si="0"/>
        <v>-98.143812709030044</v>
      </c>
      <c r="P65" s="123">
        <f t="shared" si="1"/>
        <v>-18.451100967040148</v>
      </c>
      <c r="Q65" s="114"/>
      <c r="S65">
        <f t="shared" si="2"/>
        <v>2659.5652173913045</v>
      </c>
      <c r="T65" s="44">
        <f>E65+апр!I65</f>
        <v>0</v>
      </c>
      <c r="U65" s="30">
        <f>F65+апр!J65</f>
        <v>866</v>
      </c>
    </row>
    <row r="66" spans="1:21" ht="17.25" customHeight="1">
      <c r="A66" s="8"/>
      <c r="B66" s="9" t="s">
        <v>59</v>
      </c>
      <c r="C66" s="8" t="s">
        <v>4</v>
      </c>
      <c r="D66" s="10">
        <v>2.8610000000000002</v>
      </c>
      <c r="E66" s="8"/>
      <c r="F66" s="8"/>
      <c r="G66" s="10">
        <f t="shared" si="3"/>
        <v>0</v>
      </c>
      <c r="H66" s="10">
        <f>D66+сентябрь!H66</f>
        <v>28.610000000000003</v>
      </c>
      <c r="I66" s="8"/>
      <c r="J66" s="54">
        <f>F66+сентябрь!J66</f>
        <v>0</v>
      </c>
      <c r="K66" s="10">
        <f t="shared" si="4"/>
        <v>0</v>
      </c>
      <c r="L66" s="16"/>
      <c r="M66" s="220"/>
      <c r="N66" s="221"/>
      <c r="O66" s="122">
        <f t="shared" si="0"/>
        <v>-28.610000000000003</v>
      </c>
      <c r="P66" s="123">
        <f t="shared" si="1"/>
        <v>-100</v>
      </c>
      <c r="Q66" s="114"/>
      <c r="S66">
        <f t="shared" si="2"/>
        <v>14.305000000000001</v>
      </c>
      <c r="T66" s="44">
        <f>E66+апр!I66</f>
        <v>0</v>
      </c>
      <c r="U66" s="30">
        <f>F66+апр!J66</f>
        <v>0</v>
      </c>
    </row>
    <row r="67" spans="1:21" ht="17.25" customHeight="1">
      <c r="A67" s="8"/>
      <c r="B67" s="12" t="s">
        <v>13</v>
      </c>
      <c r="C67" s="13" t="s">
        <v>49</v>
      </c>
      <c r="D67" s="14">
        <v>2</v>
      </c>
      <c r="E67" s="13"/>
      <c r="F67" s="8"/>
      <c r="G67" s="10">
        <f t="shared" si="3"/>
        <v>0</v>
      </c>
      <c r="H67" s="10">
        <f>D67+сентябрь!H67</f>
        <v>20</v>
      </c>
      <c r="I67" s="8"/>
      <c r="J67" s="54">
        <f>F67+сентябрь!J67</f>
        <v>0</v>
      </c>
      <c r="K67" s="10">
        <f t="shared" si="4"/>
        <v>0</v>
      </c>
      <c r="L67" s="16"/>
      <c r="M67" s="220"/>
      <c r="N67" s="221"/>
      <c r="O67" s="122">
        <f t="shared" si="0"/>
        <v>-20</v>
      </c>
      <c r="P67" s="123">
        <f t="shared" si="1"/>
        <v>-100</v>
      </c>
      <c r="Q67" s="114"/>
      <c r="S67">
        <f t="shared" si="2"/>
        <v>10</v>
      </c>
      <c r="T67" s="44">
        <f>E67+апр!I67</f>
        <v>0</v>
      </c>
      <c r="U67" s="30">
        <f>F67+апр!J67</f>
        <v>0</v>
      </c>
    </row>
    <row r="68" spans="1:21" ht="17.25" customHeight="1">
      <c r="A68" s="8"/>
      <c r="B68" s="12" t="s">
        <v>15</v>
      </c>
      <c r="C68" s="13" t="s">
        <v>16</v>
      </c>
      <c r="D68" s="16">
        <f>D66/D67*1000</f>
        <v>1430.5</v>
      </c>
      <c r="E68" s="13"/>
      <c r="F68" s="8"/>
      <c r="G68" s="10">
        <f t="shared" si="3"/>
        <v>0</v>
      </c>
      <c r="H68" s="16">
        <f>H66/H67*1000</f>
        <v>1430.5</v>
      </c>
      <c r="I68" s="16"/>
      <c r="J68" s="16" t="e">
        <f t="shared" ref="J68" si="42">J66/J67*1000</f>
        <v>#DIV/0!</v>
      </c>
      <c r="K68" s="10" t="e">
        <f t="shared" si="4"/>
        <v>#DIV/0!</v>
      </c>
      <c r="L68" s="16"/>
      <c r="M68" s="220"/>
      <c r="N68" s="221"/>
      <c r="O68" s="122" t="e">
        <f t="shared" si="0"/>
        <v>#DIV/0!</v>
      </c>
      <c r="P68" s="123" t="e">
        <f t="shared" si="1"/>
        <v>#DIV/0!</v>
      </c>
      <c r="Q68" s="114"/>
      <c r="S68">
        <f t="shared" si="2"/>
        <v>7152.5</v>
      </c>
      <c r="T68" s="44">
        <f>E68+апр!I68</f>
        <v>0</v>
      </c>
      <c r="U68" s="30" t="e">
        <f>F68+апр!J68</f>
        <v>#DIV/0!</v>
      </c>
    </row>
    <row r="69" spans="1:21" ht="17.25" customHeight="1">
      <c r="A69" s="8"/>
      <c r="B69" s="20" t="s">
        <v>60</v>
      </c>
      <c r="C69" s="8" t="s">
        <v>4</v>
      </c>
      <c r="D69" s="10">
        <v>10.007999999999999</v>
      </c>
      <c r="E69" s="8"/>
      <c r="F69" s="54">
        <v>17.37</v>
      </c>
      <c r="G69" s="10">
        <f t="shared" si="3"/>
        <v>17.37</v>
      </c>
      <c r="H69" s="10">
        <f>D69+сентябрь!H69</f>
        <v>100.07999999999997</v>
      </c>
      <c r="I69" s="8"/>
      <c r="J69" s="183">
        <v>116.875</v>
      </c>
      <c r="K69" s="10">
        <f t="shared" si="4"/>
        <v>116.875</v>
      </c>
      <c r="L69" s="16"/>
      <c r="M69" s="233" t="s">
        <v>292</v>
      </c>
      <c r="N69" s="234"/>
      <c r="O69" s="122">
        <f t="shared" si="0"/>
        <v>16.79500000000003</v>
      </c>
      <c r="P69" s="123">
        <f t="shared" si="1"/>
        <v>16.781574740207869</v>
      </c>
      <c r="Q69" s="115"/>
      <c r="S69">
        <f t="shared" si="2"/>
        <v>50.039999999999992</v>
      </c>
      <c r="T69" s="44">
        <f>E69+апр!I69</f>
        <v>0</v>
      </c>
      <c r="U69" s="30">
        <f>F69+апр!J69</f>
        <v>58.88000000000001</v>
      </c>
    </row>
    <row r="70" spans="1:21" ht="17.25" customHeight="1">
      <c r="A70" s="8"/>
      <c r="B70" s="12" t="s">
        <v>13</v>
      </c>
      <c r="C70" s="13" t="s">
        <v>61</v>
      </c>
      <c r="D70" s="14">
        <v>18</v>
      </c>
      <c r="E70" s="13"/>
      <c r="F70" s="10">
        <v>1</v>
      </c>
      <c r="G70" s="10">
        <f t="shared" si="3"/>
        <v>1</v>
      </c>
      <c r="H70" s="10">
        <f>D70+сентябрь!H70</f>
        <v>180</v>
      </c>
      <c r="I70" s="8"/>
      <c r="J70" s="183">
        <v>126.02</v>
      </c>
      <c r="K70" s="10">
        <f t="shared" si="4"/>
        <v>126.02</v>
      </c>
      <c r="L70" s="16"/>
      <c r="M70" s="235"/>
      <c r="N70" s="236"/>
      <c r="O70" s="122">
        <f t="shared" si="0"/>
        <v>-53.980000000000004</v>
      </c>
      <c r="P70" s="123">
        <f t="shared" si="1"/>
        <v>-29.988888888888894</v>
      </c>
      <c r="Q70" s="115"/>
      <c r="S70">
        <f t="shared" si="2"/>
        <v>90</v>
      </c>
      <c r="T70" s="44">
        <f>E70+апр!I70</f>
        <v>0</v>
      </c>
      <c r="U70" s="30">
        <f>F70+апр!J70</f>
        <v>67.075000000000003</v>
      </c>
    </row>
    <row r="71" spans="1:21" ht="17.25" customHeight="1">
      <c r="A71" s="8"/>
      <c r="B71" s="12" t="s">
        <v>15</v>
      </c>
      <c r="C71" s="13" t="s">
        <v>16</v>
      </c>
      <c r="D71" s="16">
        <f>D69/D70*1000</f>
        <v>555.99999999999989</v>
      </c>
      <c r="E71" s="16"/>
      <c r="F71" s="16">
        <f>F69/F70*1000</f>
        <v>17370</v>
      </c>
      <c r="G71" s="10">
        <f t="shared" si="3"/>
        <v>17370</v>
      </c>
      <c r="H71" s="16">
        <f>H69/H70*1000</f>
        <v>555.99999999999977</v>
      </c>
      <c r="I71" s="16"/>
      <c r="J71" s="16">
        <f t="shared" ref="J71" si="43">J69/J70*1000</f>
        <v>927.43215362640854</v>
      </c>
      <c r="K71" s="10">
        <f t="shared" si="4"/>
        <v>927.43215362640854</v>
      </c>
      <c r="L71" s="16"/>
      <c r="M71" s="220"/>
      <c r="N71" s="221"/>
      <c r="O71" s="122">
        <f t="shared" si="0"/>
        <v>371.43215362640876</v>
      </c>
      <c r="P71" s="123">
        <f t="shared" si="1"/>
        <v>66.804344177411679</v>
      </c>
      <c r="Q71" s="114"/>
      <c r="S71">
        <f t="shared" si="2"/>
        <v>2779.9999999999995</v>
      </c>
      <c r="T71" s="44">
        <f>E71+апр!I71</f>
        <v>0</v>
      </c>
      <c r="U71" s="30">
        <f>F71+апр!J71</f>
        <v>17998.225501324254</v>
      </c>
    </row>
    <row r="72" spans="1:21" ht="17.25" customHeight="1">
      <c r="A72" s="18" t="s">
        <v>62</v>
      </c>
      <c r="B72" s="20" t="s">
        <v>63</v>
      </c>
      <c r="C72" s="8" t="s">
        <v>4</v>
      </c>
      <c r="D72" s="10">
        <f>D73</f>
        <v>26517.671000000002</v>
      </c>
      <c r="E72" s="8">
        <v>24306.667000000001</v>
      </c>
      <c r="F72" s="10">
        <f>F73</f>
        <v>27346.969000000001</v>
      </c>
      <c r="G72" s="10">
        <f t="shared" si="3"/>
        <v>3040.3019999999997</v>
      </c>
      <c r="H72" s="10">
        <f>H73</f>
        <v>265176.70999999996</v>
      </c>
      <c r="I72" s="8">
        <f>E72+август!I72</f>
        <v>218760.00300000003</v>
      </c>
      <c r="J72" s="183">
        <v>279285</v>
      </c>
      <c r="K72" s="10">
        <f t="shared" si="4"/>
        <v>60524.996999999974</v>
      </c>
      <c r="L72" s="16">
        <f t="shared" si="5"/>
        <v>27.66730488662499</v>
      </c>
      <c r="M72" s="220"/>
      <c r="N72" s="221"/>
      <c r="O72" s="122">
        <f t="shared" si="0"/>
        <v>14108.290000000037</v>
      </c>
      <c r="P72" s="123">
        <f t="shared" si="1"/>
        <v>5.3203352587035413</v>
      </c>
      <c r="Q72" s="114">
        <f>83974.595+195310.293</f>
        <v>279284.88800000004</v>
      </c>
      <c r="S72">
        <f t="shared" si="2"/>
        <v>132588.35500000001</v>
      </c>
      <c r="T72" s="44">
        <f>E72+апр!I72</f>
        <v>121533.33500000001</v>
      </c>
      <c r="U72" s="30">
        <f>F72+апр!J72</f>
        <v>133559.54700000002</v>
      </c>
    </row>
    <row r="73" spans="1:21" ht="17.25" hidden="1" customHeight="1">
      <c r="A73" s="8"/>
      <c r="B73" s="28" t="s">
        <v>64</v>
      </c>
      <c r="C73" s="8" t="s">
        <v>4</v>
      </c>
      <c r="D73" s="10">
        <f>D75+D78+D81+D84</f>
        <v>26517.671000000002</v>
      </c>
      <c r="E73" s="10">
        <f t="shared" ref="E73:F73" si="44">E75+E78+E81+E84</f>
        <v>0</v>
      </c>
      <c r="F73" s="54">
        <f t="shared" si="44"/>
        <v>27346.969000000001</v>
      </c>
      <c r="G73" s="10">
        <f t="shared" si="3"/>
        <v>27346.969000000001</v>
      </c>
      <c r="H73" s="10">
        <f>H75+H78+H81+H84</f>
        <v>265176.70999999996</v>
      </c>
      <c r="I73" s="10">
        <f t="shared" ref="I73:J74" si="45">I75+I78+I81+I84</f>
        <v>0</v>
      </c>
      <c r="J73" s="10">
        <f t="shared" si="45"/>
        <v>252389.92</v>
      </c>
      <c r="K73" s="10">
        <f t="shared" si="4"/>
        <v>252389.92</v>
      </c>
      <c r="L73" s="16"/>
      <c r="M73" s="220"/>
      <c r="N73" s="221"/>
      <c r="O73" s="122">
        <f t="shared" ref="O73:O87" si="46">J73-H73</f>
        <v>-12786.78999999995</v>
      </c>
      <c r="P73" s="123">
        <f t="shared" ref="P73:P87" si="47">O73/H73*100</f>
        <v>-4.8219883261995191</v>
      </c>
      <c r="Q73" s="114"/>
      <c r="S73">
        <f t="shared" ref="S73:S136" si="48">D73*5</f>
        <v>132588.35500000001</v>
      </c>
      <c r="T73" s="44">
        <f>E73+апр!I73</f>
        <v>0</v>
      </c>
      <c r="U73" s="30">
        <f>F73+апр!J73</f>
        <v>106327.454</v>
      </c>
    </row>
    <row r="74" spans="1:21" ht="17.25" hidden="1" customHeight="1">
      <c r="A74" s="8"/>
      <c r="B74" s="28" t="s">
        <v>65</v>
      </c>
      <c r="C74" s="22" t="s">
        <v>66</v>
      </c>
      <c r="D74" s="14">
        <f t="shared" ref="D74:F74" si="49">D76+D79+D82+D85</f>
        <v>1280770</v>
      </c>
      <c r="E74" s="14">
        <f t="shared" si="49"/>
        <v>0</v>
      </c>
      <c r="F74" s="14">
        <f t="shared" si="49"/>
        <v>0</v>
      </c>
      <c r="G74" s="14">
        <f t="shared" si="3"/>
        <v>0</v>
      </c>
      <c r="H74" s="14">
        <f t="shared" ref="H74" si="50">H76+H79+H82+H85</f>
        <v>12807700</v>
      </c>
      <c r="I74" s="59"/>
      <c r="J74" s="14">
        <f t="shared" si="45"/>
        <v>8181135.54</v>
      </c>
      <c r="K74" s="10">
        <f t="shared" si="4"/>
        <v>8181135.54</v>
      </c>
      <c r="L74" s="16"/>
      <c r="M74" s="220"/>
      <c r="N74" s="221"/>
      <c r="O74" s="122">
        <f t="shared" si="46"/>
        <v>-4626564.46</v>
      </c>
      <c r="P74" s="123">
        <f t="shared" si="47"/>
        <v>-36.123304418435787</v>
      </c>
      <c r="Q74" s="114"/>
      <c r="S74">
        <f t="shared" si="48"/>
        <v>6403850</v>
      </c>
      <c r="T74" s="44">
        <f>E74+апр!I74</f>
        <v>0</v>
      </c>
      <c r="U74" s="30">
        <f>F74+апр!J74</f>
        <v>3853106.19</v>
      </c>
    </row>
    <row r="75" spans="1:21" ht="36" hidden="1" customHeight="1">
      <c r="A75" s="8"/>
      <c r="B75" s="12" t="s">
        <v>67</v>
      </c>
      <c r="C75" s="8" t="s">
        <v>4</v>
      </c>
      <c r="D75" s="10">
        <v>1338.4829999999999</v>
      </c>
      <c r="E75" s="8"/>
      <c r="F75" s="55">
        <v>27346.969000000001</v>
      </c>
      <c r="G75" s="10">
        <f t="shared" ref="G75:G144" si="51">F75-E75</f>
        <v>27346.969000000001</v>
      </c>
      <c r="H75" s="10">
        <f>D75+сентябрь!H75</f>
        <v>13384.83</v>
      </c>
      <c r="I75" s="8"/>
      <c r="J75" s="54">
        <f>F75+сентябрь!J75</f>
        <v>67227.205000000002</v>
      </c>
      <c r="K75" s="10">
        <f t="shared" ref="K75:K145" si="52">J75-I75</f>
        <v>67227.205000000002</v>
      </c>
      <c r="L75" s="16"/>
      <c r="M75" s="220"/>
      <c r="N75" s="221"/>
      <c r="O75" s="122">
        <f t="shared" si="46"/>
        <v>53842.375</v>
      </c>
      <c r="P75" s="123">
        <f t="shared" si="47"/>
        <v>402.26416771823023</v>
      </c>
      <c r="Q75" s="114"/>
      <c r="S75">
        <f t="shared" si="48"/>
        <v>6692.415</v>
      </c>
      <c r="T75" s="44">
        <f>E75+апр!I75</f>
        <v>0</v>
      </c>
      <c r="U75" s="30">
        <f>F75+апр!J75</f>
        <v>33974.143000000004</v>
      </c>
    </row>
    <row r="76" spans="1:21" ht="17.25" hidden="1" customHeight="1">
      <c r="A76" s="8"/>
      <c r="B76" s="12" t="s">
        <v>68</v>
      </c>
      <c r="C76" s="22" t="s">
        <v>66</v>
      </c>
      <c r="D76" s="14">
        <v>68465</v>
      </c>
      <c r="E76" s="22"/>
      <c r="F76" s="59"/>
      <c r="G76" s="14">
        <f t="shared" si="51"/>
        <v>0</v>
      </c>
      <c r="H76" s="10">
        <f>D76+сентябрь!H76</f>
        <v>684650</v>
      </c>
      <c r="I76" s="59"/>
      <c r="J76" s="54">
        <f>F76+сентябрь!J76</f>
        <v>654748.54</v>
      </c>
      <c r="K76" s="10">
        <f t="shared" si="52"/>
        <v>654748.54</v>
      </c>
      <c r="L76" s="16"/>
      <c r="M76" s="220"/>
      <c r="N76" s="221"/>
      <c r="O76" s="122">
        <f t="shared" si="46"/>
        <v>-29901.459999999963</v>
      </c>
      <c r="P76" s="123">
        <f t="shared" si="47"/>
        <v>-4.3674081647557097</v>
      </c>
      <c r="Q76" s="114"/>
      <c r="S76">
        <f t="shared" si="48"/>
        <v>342325</v>
      </c>
      <c r="T76" s="44">
        <f>E76+апр!I76</f>
        <v>0</v>
      </c>
      <c r="U76" s="30">
        <f>F76+апр!J76</f>
        <v>345435.19</v>
      </c>
    </row>
    <row r="77" spans="1:21" ht="17.25" hidden="1" customHeight="1">
      <c r="A77" s="8"/>
      <c r="B77" s="12" t="s">
        <v>15</v>
      </c>
      <c r="C77" s="13" t="s">
        <v>16</v>
      </c>
      <c r="D77" s="16">
        <f>D75/D76*1000</f>
        <v>19.54988680347623</v>
      </c>
      <c r="E77" s="16"/>
      <c r="F77" s="16" t="e">
        <f t="shared" ref="F77" si="53">F75/F76*1000</f>
        <v>#DIV/0!</v>
      </c>
      <c r="G77" s="10" t="e">
        <f t="shared" si="51"/>
        <v>#DIV/0!</v>
      </c>
      <c r="H77" s="16">
        <f>H75/H76*1000</f>
        <v>19.54988680347623</v>
      </c>
      <c r="I77" s="8"/>
      <c r="J77" s="13"/>
      <c r="K77" s="10">
        <f t="shared" si="52"/>
        <v>0</v>
      </c>
      <c r="L77" s="16"/>
      <c r="M77" s="220"/>
      <c r="N77" s="221"/>
      <c r="O77" s="122">
        <f t="shared" si="46"/>
        <v>-19.54988680347623</v>
      </c>
      <c r="P77" s="123">
        <f t="shared" si="47"/>
        <v>-100</v>
      </c>
      <c r="Q77" s="114"/>
      <c r="S77">
        <f t="shared" si="48"/>
        <v>97.749434017381148</v>
      </c>
      <c r="T77" s="44">
        <f>E77+апр!I77</f>
        <v>0</v>
      </c>
      <c r="U77" s="30" t="e">
        <f>F77+апр!J77</f>
        <v>#DIV/0!</v>
      </c>
    </row>
    <row r="78" spans="1:21" ht="55.5" hidden="1" customHeight="1">
      <c r="A78" s="8"/>
      <c r="B78" s="12" t="s">
        <v>69</v>
      </c>
      <c r="C78" s="8" t="s">
        <v>4</v>
      </c>
      <c r="D78" s="10">
        <v>1253.6469999999999</v>
      </c>
      <c r="E78" s="8"/>
      <c r="F78" s="54"/>
      <c r="G78" s="10">
        <f t="shared" si="51"/>
        <v>0</v>
      </c>
      <c r="H78" s="10">
        <f>D78+сентябрь!H78</f>
        <v>12536.470000000001</v>
      </c>
      <c r="I78" s="8"/>
      <c r="J78" s="54">
        <f>F78+сентябрь!J78</f>
        <v>12540.125</v>
      </c>
      <c r="K78" s="10">
        <f t="shared" si="52"/>
        <v>12540.125</v>
      </c>
      <c r="L78" s="16"/>
      <c r="M78" s="220"/>
      <c r="N78" s="221"/>
      <c r="O78" s="122">
        <f t="shared" si="46"/>
        <v>3.6549999999988358</v>
      </c>
      <c r="P78" s="123">
        <f t="shared" si="47"/>
        <v>2.9154937554182598E-2</v>
      </c>
      <c r="Q78" s="114"/>
      <c r="S78">
        <f t="shared" si="48"/>
        <v>6268.2349999999997</v>
      </c>
      <c r="T78" s="44">
        <f>E78+апр!I78</f>
        <v>0</v>
      </c>
      <c r="U78" s="30">
        <f>F78+апр!J78</f>
        <v>5054.1839999999993</v>
      </c>
    </row>
    <row r="79" spans="1:21" ht="17.25" hidden="1" customHeight="1">
      <c r="A79" s="8"/>
      <c r="B79" s="12" t="s">
        <v>68</v>
      </c>
      <c r="C79" s="22" t="s">
        <v>66</v>
      </c>
      <c r="D79" s="14">
        <v>63799</v>
      </c>
      <c r="E79" s="22"/>
      <c r="F79" s="59"/>
      <c r="G79" s="14">
        <f t="shared" si="51"/>
        <v>0</v>
      </c>
      <c r="H79" s="10">
        <f>D79+сентябрь!H79</f>
        <v>637990</v>
      </c>
      <c r="I79" s="59"/>
      <c r="J79" s="54">
        <f>F79+сентябрь!J79</f>
        <v>581324</v>
      </c>
      <c r="K79" s="10">
        <f t="shared" si="52"/>
        <v>581324</v>
      </c>
      <c r="L79" s="16"/>
      <c r="M79" s="220"/>
      <c r="N79" s="221"/>
      <c r="O79" s="122">
        <f t="shared" si="46"/>
        <v>-56666</v>
      </c>
      <c r="P79" s="123">
        <f t="shared" si="47"/>
        <v>-8.8819573974513712</v>
      </c>
      <c r="Q79" s="114"/>
      <c r="S79">
        <f t="shared" si="48"/>
        <v>318995</v>
      </c>
      <c r="T79" s="44">
        <f>E79+апр!I79</f>
        <v>0</v>
      </c>
      <c r="U79" s="30">
        <f>F79+апр!J79</f>
        <v>255996</v>
      </c>
    </row>
    <row r="80" spans="1:21" ht="17.25" hidden="1" customHeight="1">
      <c r="A80" s="8"/>
      <c r="B80" s="12" t="s">
        <v>15</v>
      </c>
      <c r="C80" s="13" t="s">
        <v>16</v>
      </c>
      <c r="D80" s="16">
        <f>D78/D79*1000</f>
        <v>19.649947491339987</v>
      </c>
      <c r="E80" s="16"/>
      <c r="F80" s="16" t="e">
        <f t="shared" ref="F80" si="54">F78/F79*1000</f>
        <v>#DIV/0!</v>
      </c>
      <c r="G80" s="10" t="e">
        <f t="shared" si="51"/>
        <v>#DIV/0!</v>
      </c>
      <c r="H80" s="16">
        <f>H78/H79*1000</f>
        <v>19.64994749133999</v>
      </c>
      <c r="I80" s="8"/>
      <c r="J80" s="13"/>
      <c r="K80" s="10">
        <f t="shared" si="52"/>
        <v>0</v>
      </c>
      <c r="L80" s="16"/>
      <c r="M80" s="220"/>
      <c r="N80" s="221"/>
      <c r="O80" s="122">
        <f t="shared" si="46"/>
        <v>-19.64994749133999</v>
      </c>
      <c r="P80" s="123">
        <f t="shared" si="47"/>
        <v>-100</v>
      </c>
      <c r="Q80" s="114"/>
      <c r="S80">
        <f t="shared" si="48"/>
        <v>98.249737456699933</v>
      </c>
      <c r="T80" s="44">
        <f>E80+апр!I80</f>
        <v>0</v>
      </c>
      <c r="U80" s="30" t="e">
        <f>F80+апр!J80</f>
        <v>#DIV/0!</v>
      </c>
    </row>
    <row r="81" spans="1:21" ht="36" hidden="1" customHeight="1">
      <c r="A81" s="8"/>
      <c r="B81" s="12" t="s">
        <v>70</v>
      </c>
      <c r="C81" s="8" t="s">
        <v>4</v>
      </c>
      <c r="D81" s="10">
        <v>3651.203</v>
      </c>
      <c r="E81" s="8"/>
      <c r="F81" s="55"/>
      <c r="G81" s="10">
        <f t="shared" si="51"/>
        <v>0</v>
      </c>
      <c r="H81" s="10">
        <f>D81+сентябрь!H81</f>
        <v>36512.030000000006</v>
      </c>
      <c r="I81" s="8"/>
      <c r="J81" s="54">
        <f>F81+сентябрь!J81</f>
        <v>25405.175999999999</v>
      </c>
      <c r="K81" s="10">
        <f t="shared" si="52"/>
        <v>25405.175999999999</v>
      </c>
      <c r="L81" s="16"/>
      <c r="M81" s="220"/>
      <c r="N81" s="221"/>
      <c r="O81" s="122">
        <f t="shared" si="46"/>
        <v>-11106.854000000007</v>
      </c>
      <c r="P81" s="123">
        <f t="shared" si="47"/>
        <v>-30.419710982928105</v>
      </c>
      <c r="Q81" s="114"/>
      <c r="S81">
        <f t="shared" si="48"/>
        <v>18256.014999999999</v>
      </c>
      <c r="T81" s="44">
        <f>E81+апр!I81</f>
        <v>0</v>
      </c>
      <c r="U81" s="30">
        <f>F81+апр!J81</f>
        <v>12694.096</v>
      </c>
    </row>
    <row r="82" spans="1:21" ht="17.25" hidden="1" customHeight="1">
      <c r="A82" s="8"/>
      <c r="B82" s="12" t="s">
        <v>68</v>
      </c>
      <c r="C82" s="22" t="s">
        <v>66</v>
      </c>
      <c r="D82" s="14">
        <v>185812</v>
      </c>
      <c r="E82" s="22"/>
      <c r="F82" s="59"/>
      <c r="G82" s="14">
        <v>5230.0569999999998</v>
      </c>
      <c r="H82" s="10">
        <f>D82+сентябрь!H82</f>
        <v>1858120</v>
      </c>
      <c r="I82" s="59"/>
      <c r="J82" s="54">
        <f>F82+сентябрь!J82</f>
        <v>1097895</v>
      </c>
      <c r="K82" s="10">
        <f t="shared" si="52"/>
        <v>1097895</v>
      </c>
      <c r="L82" s="16"/>
      <c r="M82" s="220"/>
      <c r="N82" s="221"/>
      <c r="O82" s="122">
        <f t="shared" si="46"/>
        <v>-760225</v>
      </c>
      <c r="P82" s="123">
        <f t="shared" si="47"/>
        <v>-40.913665425268555</v>
      </c>
      <c r="Q82" s="114"/>
      <c r="S82">
        <f t="shared" si="48"/>
        <v>929060</v>
      </c>
      <c r="T82" s="44">
        <f>E82+апр!I82</f>
        <v>0</v>
      </c>
      <c r="U82" s="30">
        <f>F82+апр!J82</f>
        <v>642739</v>
      </c>
    </row>
    <row r="83" spans="1:21" ht="17.25" hidden="1" customHeight="1">
      <c r="A83" s="8"/>
      <c r="B83" s="12" t="s">
        <v>15</v>
      </c>
      <c r="C83" s="13" t="s">
        <v>16</v>
      </c>
      <c r="D83" s="16">
        <f>D81/D82*1000</f>
        <v>19.64998493100553</v>
      </c>
      <c r="E83" s="16"/>
      <c r="F83" s="16" t="e">
        <f t="shared" ref="F83" si="55">F81/F82*1000</f>
        <v>#DIV/0!</v>
      </c>
      <c r="G83" s="10" t="e">
        <f t="shared" si="51"/>
        <v>#DIV/0!</v>
      </c>
      <c r="H83" s="16">
        <f>H81/H82*1000</f>
        <v>19.649984931005534</v>
      </c>
      <c r="I83" s="8"/>
      <c r="J83" s="13"/>
      <c r="K83" s="10">
        <f t="shared" si="52"/>
        <v>0</v>
      </c>
      <c r="L83" s="16"/>
      <c r="M83" s="220"/>
      <c r="N83" s="221"/>
      <c r="O83" s="122">
        <f t="shared" si="46"/>
        <v>-19.649984931005534</v>
      </c>
      <c r="P83" s="123">
        <f t="shared" si="47"/>
        <v>-100</v>
      </c>
      <c r="Q83" s="114"/>
      <c r="S83">
        <f t="shared" si="48"/>
        <v>98.249924655027655</v>
      </c>
      <c r="T83" s="44">
        <f>E83+апр!I83</f>
        <v>0</v>
      </c>
      <c r="U83" s="30" t="e">
        <f>F83+апр!J83</f>
        <v>#DIV/0!</v>
      </c>
    </row>
    <row r="84" spans="1:21" ht="17.25" hidden="1" customHeight="1">
      <c r="A84" s="8"/>
      <c r="B84" s="12" t="s">
        <v>71</v>
      </c>
      <c r="C84" s="8" t="s">
        <v>4</v>
      </c>
      <c r="D84" s="10">
        <v>20274.338</v>
      </c>
      <c r="E84" s="8"/>
      <c r="F84" s="55"/>
      <c r="G84" s="10">
        <f t="shared" si="51"/>
        <v>0</v>
      </c>
      <c r="H84" s="10">
        <f>D84+сентябрь!H84</f>
        <v>202743.37999999998</v>
      </c>
      <c r="I84" s="8"/>
      <c r="J84" s="54">
        <f>F84+сентябрь!J84</f>
        <v>147217.41400000002</v>
      </c>
      <c r="K84" s="10">
        <f t="shared" si="52"/>
        <v>147217.41400000002</v>
      </c>
      <c r="L84" s="16"/>
      <c r="M84" s="233" t="s">
        <v>297</v>
      </c>
      <c r="N84" s="234"/>
      <c r="O84" s="122">
        <f t="shared" si="46"/>
        <v>-55525.965999999957</v>
      </c>
      <c r="P84" s="123">
        <f t="shared" si="47"/>
        <v>-27.387313953234855</v>
      </c>
      <c r="Q84" s="115"/>
      <c r="S84">
        <f t="shared" si="48"/>
        <v>101371.69</v>
      </c>
      <c r="T84" s="44">
        <f>E84+апр!I84</f>
        <v>0</v>
      </c>
      <c r="U84" s="30">
        <f>F84+апр!J84</f>
        <v>54605.031000000003</v>
      </c>
    </row>
    <row r="85" spans="1:21" ht="26.25" hidden="1" customHeight="1">
      <c r="A85" s="8"/>
      <c r="B85" s="12" t="s">
        <v>68</v>
      </c>
      <c r="C85" s="22" t="s">
        <v>66</v>
      </c>
      <c r="D85" s="14">
        <v>962694</v>
      </c>
      <c r="E85" s="22"/>
      <c r="F85" s="59"/>
      <c r="G85" s="14">
        <f t="shared" si="51"/>
        <v>0</v>
      </c>
      <c r="H85" s="10">
        <f>D85+сентябрь!H85</f>
        <v>9626940</v>
      </c>
      <c r="I85" s="59"/>
      <c r="J85" s="54">
        <f>F85+сентябрь!J85</f>
        <v>5847168</v>
      </c>
      <c r="K85" s="10">
        <f t="shared" si="52"/>
        <v>5847168</v>
      </c>
      <c r="L85" s="16"/>
      <c r="M85" s="235"/>
      <c r="N85" s="236"/>
      <c r="O85" s="122">
        <f t="shared" si="46"/>
        <v>-3779772</v>
      </c>
      <c r="P85" s="123">
        <f t="shared" si="47"/>
        <v>-39.262444764379964</v>
      </c>
      <c r="Q85" s="115"/>
      <c r="S85">
        <f t="shared" si="48"/>
        <v>4813470</v>
      </c>
      <c r="T85" s="44">
        <f>E85+апр!I85</f>
        <v>0</v>
      </c>
      <c r="U85" s="30">
        <f>F85+апр!J85</f>
        <v>2608936</v>
      </c>
    </row>
    <row r="86" spans="1:21" ht="17.25" hidden="1" customHeight="1">
      <c r="A86" s="8"/>
      <c r="B86" s="12" t="s">
        <v>15</v>
      </c>
      <c r="C86" s="13" t="s">
        <v>16</v>
      </c>
      <c r="D86" s="16">
        <f>D84/D85*1000</f>
        <v>21.06000245145394</v>
      </c>
      <c r="E86" s="16"/>
      <c r="F86" s="16" t="e">
        <f t="shared" ref="F86" si="56">F84/F85*1000</f>
        <v>#DIV/0!</v>
      </c>
      <c r="G86" s="10" t="e">
        <f t="shared" si="51"/>
        <v>#DIV/0!</v>
      </c>
      <c r="H86" s="16">
        <f>H84/H85*1000</f>
        <v>21.060002451453936</v>
      </c>
      <c r="I86" s="8"/>
      <c r="J86" s="13"/>
      <c r="K86" s="10">
        <f t="shared" si="52"/>
        <v>0</v>
      </c>
      <c r="L86" s="16"/>
      <c r="M86" s="220"/>
      <c r="N86" s="221"/>
      <c r="O86" s="122">
        <f t="shared" si="46"/>
        <v>-21.060002451453936</v>
      </c>
      <c r="P86" s="123">
        <f t="shared" si="47"/>
        <v>-100</v>
      </c>
      <c r="Q86" s="114"/>
      <c r="S86">
        <f t="shared" si="48"/>
        <v>105.3000122572697</v>
      </c>
      <c r="T86" s="44">
        <f>E86+апр!I86</f>
        <v>0</v>
      </c>
      <c r="U86" s="30" t="e">
        <f>F86+апр!J86</f>
        <v>#DIV/0!</v>
      </c>
    </row>
    <row r="87" spans="1:21" ht="17.25" customHeight="1">
      <c r="A87" s="196" t="s">
        <v>72</v>
      </c>
      <c r="B87" s="6" t="s">
        <v>73</v>
      </c>
      <c r="C87" s="196" t="s">
        <v>4</v>
      </c>
      <c r="D87" s="7">
        <f>D88+D89+D90</f>
        <v>22015.745000000003</v>
      </c>
      <c r="E87" s="21">
        <f>E88+E89+E90+E91</f>
        <v>20888.748999999996</v>
      </c>
      <c r="F87" s="7">
        <f>F88+F89+F90+F91+F92</f>
        <v>18692.775999999998</v>
      </c>
      <c r="G87" s="16">
        <f t="shared" si="51"/>
        <v>-2195.9729999999981</v>
      </c>
      <c r="H87" s="7">
        <f>H88+H89+H90</f>
        <v>220157.44999999998</v>
      </c>
      <c r="I87" s="7">
        <f>I88+I89+I90+I91</f>
        <v>208887.48999999993</v>
      </c>
      <c r="J87" s="7">
        <f>J88+J89+J90+J91+J92</f>
        <v>211337.21699999998</v>
      </c>
      <c r="K87" s="10">
        <f t="shared" si="52"/>
        <v>2449.7270000000426</v>
      </c>
      <c r="L87" s="16">
        <f t="shared" ref="L87:L157" si="57">K87/I87*100</f>
        <v>1.172749502615041</v>
      </c>
      <c r="M87" s="220"/>
      <c r="N87" s="221"/>
      <c r="O87" s="122">
        <f t="shared" si="46"/>
        <v>-8820.2330000000075</v>
      </c>
      <c r="P87" s="123">
        <f t="shared" si="47"/>
        <v>-4.0063295609574006</v>
      </c>
      <c r="Q87" s="114"/>
      <c r="R87" s="30">
        <f>F88+март!J88+F92+F98+март!J92+март!J98</f>
        <v>75200.90400000001</v>
      </c>
      <c r="S87">
        <f t="shared" si="48"/>
        <v>110078.72500000001</v>
      </c>
      <c r="T87" s="44">
        <f>E87+апр!I87</f>
        <v>104443.74499999998</v>
      </c>
      <c r="U87" s="30">
        <f>F87+апр!J87</f>
        <v>99270.456999999995</v>
      </c>
    </row>
    <row r="88" spans="1:21" ht="17.25" customHeight="1">
      <c r="A88" s="8" t="s">
        <v>74</v>
      </c>
      <c r="B88" s="9" t="s">
        <v>75</v>
      </c>
      <c r="C88" s="8" t="s">
        <v>4</v>
      </c>
      <c r="D88" s="10">
        <v>20032.525000000001</v>
      </c>
      <c r="E88" s="8">
        <v>18751.082999999999</v>
      </c>
      <c r="F88" s="54">
        <f>17359.574-F98</f>
        <v>16756.881000000001</v>
      </c>
      <c r="G88" s="16">
        <f t="shared" si="51"/>
        <v>-1994.2019999999975</v>
      </c>
      <c r="H88" s="10">
        <f>D88+сентябрь!H88</f>
        <v>200325.24999999997</v>
      </c>
      <c r="I88" s="8">
        <f>E88+сентябрь!I88</f>
        <v>187510.82999999996</v>
      </c>
      <c r="J88" s="183">
        <f>17359.574+173475.451</f>
        <v>190835.02499999999</v>
      </c>
      <c r="K88" s="10">
        <f t="shared" si="52"/>
        <v>3324.1950000000361</v>
      </c>
      <c r="L88" s="16">
        <f>K88/I88*100</f>
        <v>1.7728016029794316</v>
      </c>
      <c r="M88" s="227"/>
      <c r="N88" s="228"/>
      <c r="O88" s="122">
        <f>J88-H88</f>
        <v>-9490.2249999999767</v>
      </c>
      <c r="P88" s="123">
        <f>O88/H88*100</f>
        <v>-4.7374082897687524</v>
      </c>
      <c r="Q88" s="116"/>
      <c r="R88" s="30">
        <f>J88+J92+J98</f>
        <v>198321.79799999998</v>
      </c>
      <c r="S88">
        <f t="shared" si="48"/>
        <v>100162.625</v>
      </c>
      <c r="T88" s="44">
        <f>E88+апр!I88</f>
        <v>93755.414999999994</v>
      </c>
      <c r="U88" s="30">
        <f>F88+апр!J88</f>
        <v>89331.753999999986</v>
      </c>
    </row>
    <row r="89" spans="1:21" ht="17.25" customHeight="1">
      <c r="A89" s="8" t="s">
        <v>76</v>
      </c>
      <c r="B89" s="9" t="s">
        <v>77</v>
      </c>
      <c r="C89" s="8" t="s">
        <v>4</v>
      </c>
      <c r="D89" s="10">
        <v>1101.788</v>
      </c>
      <c r="E89" s="8">
        <v>1012.583</v>
      </c>
      <c r="F89" s="54">
        <v>931</v>
      </c>
      <c r="G89" s="10">
        <f t="shared" si="51"/>
        <v>-81.58299999999997</v>
      </c>
      <c r="H89" s="10">
        <f>D89+сентябрь!H89</f>
        <v>11017.880000000003</v>
      </c>
      <c r="I89" s="8">
        <f>E89+сентябрь!I89</f>
        <v>10125.83</v>
      </c>
      <c r="J89" s="183">
        <f>931+9402.141</f>
        <v>10333.141</v>
      </c>
      <c r="K89" s="10">
        <f t="shared" si="52"/>
        <v>207.31099999999969</v>
      </c>
      <c r="L89" s="16">
        <f t="shared" si="57"/>
        <v>2.0473482173806956</v>
      </c>
      <c r="M89" s="227"/>
      <c r="N89" s="228"/>
      <c r="O89" s="122">
        <f t="shared" ref="O89:O150" si="58">J89-H89</f>
        <v>-684.73900000000322</v>
      </c>
      <c r="P89" s="123">
        <f t="shared" ref="P89:P150" si="59">O89/H89*100</f>
        <v>-6.2147981281335705</v>
      </c>
      <c r="Q89" s="116"/>
      <c r="S89">
        <f t="shared" si="48"/>
        <v>5508.9400000000005</v>
      </c>
      <c r="T89" s="44">
        <f>E89+апр!I89</f>
        <v>5062.915</v>
      </c>
      <c r="U89" s="30">
        <f>F89+апр!J89</f>
        <v>5012.1980000000003</v>
      </c>
    </row>
    <row r="90" spans="1:21" ht="17.25" customHeight="1">
      <c r="A90" s="8" t="s">
        <v>308</v>
      </c>
      <c r="B90" s="9" t="s">
        <v>307</v>
      </c>
      <c r="C90" s="8" t="s">
        <v>4</v>
      </c>
      <c r="D90" s="10">
        <v>881.43200000000002</v>
      </c>
      <c r="E90" s="8">
        <v>843.83299999999997</v>
      </c>
      <c r="F90" s="55">
        <v>514.24199999999996</v>
      </c>
      <c r="G90" s="10">
        <f t="shared" si="51"/>
        <v>-329.59100000000001</v>
      </c>
      <c r="H90" s="10">
        <f>D90+сентябрь!H90</f>
        <v>8814.32</v>
      </c>
      <c r="I90" s="8">
        <f>E90+сентябрь!I90</f>
        <v>8438.3299999999981</v>
      </c>
      <c r="J90" s="183">
        <f>5107.512+514.243</f>
        <v>5621.7550000000001</v>
      </c>
      <c r="K90" s="10">
        <f t="shared" si="52"/>
        <v>-2816.574999999998</v>
      </c>
      <c r="L90" s="16">
        <f t="shared" si="57"/>
        <v>-33.378346189352612</v>
      </c>
      <c r="M90" s="193"/>
      <c r="N90" s="194"/>
      <c r="O90" s="122">
        <f t="shared" si="58"/>
        <v>-3192.5649999999996</v>
      </c>
      <c r="P90" s="123">
        <f t="shared" si="59"/>
        <v>-36.220207571315768</v>
      </c>
      <c r="Q90" s="116"/>
      <c r="S90">
        <f t="shared" si="48"/>
        <v>4407.16</v>
      </c>
      <c r="T90" s="44">
        <f>E90+апр!I90</f>
        <v>4219.165</v>
      </c>
      <c r="U90" s="30">
        <f>F90+апр!J90</f>
        <v>2746.1940000000004</v>
      </c>
    </row>
    <row r="91" spans="1:21" ht="17.25" customHeight="1">
      <c r="A91" s="8" t="s">
        <v>309</v>
      </c>
      <c r="B91" s="9" t="s">
        <v>310</v>
      </c>
      <c r="C91" s="8" t="s">
        <v>4</v>
      </c>
      <c r="D91" s="10"/>
      <c r="E91" s="8">
        <v>281.25</v>
      </c>
      <c r="F91" s="55">
        <v>243.29599999999999</v>
      </c>
      <c r="G91" s="10">
        <f t="shared" si="51"/>
        <v>-37.954000000000008</v>
      </c>
      <c r="H91" s="10">
        <f>D91+сентябрь!H91</f>
        <v>0</v>
      </c>
      <c r="I91" s="8">
        <f>E91+сентябрь!I91</f>
        <v>2812.5</v>
      </c>
      <c r="J91" s="183">
        <f>243.296+2420.757</f>
        <v>2664.0529999999999</v>
      </c>
      <c r="K91" s="10">
        <f t="shared" si="52"/>
        <v>-148.44700000000012</v>
      </c>
      <c r="L91" s="16">
        <f t="shared" si="57"/>
        <v>-5.2781155555555594</v>
      </c>
      <c r="M91" s="193"/>
      <c r="N91" s="194"/>
      <c r="O91" s="122">
        <f t="shared" si="58"/>
        <v>2664.0529999999999</v>
      </c>
      <c r="P91" s="123" t="e">
        <f t="shared" si="59"/>
        <v>#DIV/0!</v>
      </c>
      <c r="Q91" s="116"/>
      <c r="S91">
        <f t="shared" si="48"/>
        <v>0</v>
      </c>
      <c r="T91" s="44">
        <f>E91+апр!I91</f>
        <v>1406.25</v>
      </c>
      <c r="U91" s="30">
        <f>F91+апр!J91</f>
        <v>1302.0420000000001</v>
      </c>
    </row>
    <row r="92" spans="1:21" ht="17.25" customHeight="1">
      <c r="A92" s="8"/>
      <c r="B92" s="9" t="s">
        <v>316</v>
      </c>
      <c r="C92" s="8" t="s">
        <v>4</v>
      </c>
      <c r="D92" s="10"/>
      <c r="E92" s="8"/>
      <c r="F92" s="54">
        <v>247.357</v>
      </c>
      <c r="G92" s="10"/>
      <c r="H92" s="10">
        <f>D92+сентябрь!H92</f>
        <v>0</v>
      </c>
      <c r="I92" s="8">
        <f>E92+сентябрь!I92</f>
        <v>0</v>
      </c>
      <c r="J92" s="183">
        <v>1883.2429999999999</v>
      </c>
      <c r="K92" s="10"/>
      <c r="L92" s="16"/>
      <c r="M92" s="193"/>
      <c r="N92" s="194"/>
      <c r="O92" s="122">
        <f t="shared" si="58"/>
        <v>1883.2429999999999</v>
      </c>
      <c r="P92" s="123" t="e">
        <f t="shared" si="59"/>
        <v>#DIV/0!</v>
      </c>
      <c r="Q92" s="116"/>
      <c r="S92">
        <f t="shared" si="48"/>
        <v>0</v>
      </c>
      <c r="T92" s="44">
        <f>E92+апр!I92</f>
        <v>0</v>
      </c>
      <c r="U92" s="30">
        <f>F92+апр!J92</f>
        <v>878.26899999999989</v>
      </c>
    </row>
    <row r="93" spans="1:21" ht="17.25" customHeight="1">
      <c r="A93" s="196" t="s">
        <v>78</v>
      </c>
      <c r="B93" s="6" t="s">
        <v>79</v>
      </c>
      <c r="C93" s="196" t="s">
        <v>4</v>
      </c>
      <c r="D93" s="7">
        <f>D94</f>
        <v>12258.85</v>
      </c>
      <c r="E93" s="21">
        <f>E94</f>
        <v>12219.75</v>
      </c>
      <c r="F93" s="7">
        <f>F94</f>
        <v>15381.07</v>
      </c>
      <c r="G93" s="10">
        <f t="shared" si="51"/>
        <v>3161.3199999999997</v>
      </c>
      <c r="H93" s="7">
        <f>H94</f>
        <v>122588.50000000003</v>
      </c>
      <c r="I93" s="21">
        <f>I94</f>
        <v>122197.5</v>
      </c>
      <c r="J93" s="7">
        <f>J94</f>
        <v>148886.81899999999</v>
      </c>
      <c r="K93" s="10">
        <f t="shared" si="52"/>
        <v>26689.318999999989</v>
      </c>
      <c r="L93" s="16">
        <f t="shared" si="57"/>
        <v>21.841133411076321</v>
      </c>
      <c r="M93" s="220"/>
      <c r="N93" s="221"/>
      <c r="O93" s="122">
        <f t="shared" si="58"/>
        <v>26298.318999999959</v>
      </c>
      <c r="P93" s="123">
        <f t="shared" si="59"/>
        <v>21.452517161071352</v>
      </c>
      <c r="Q93" s="114"/>
      <c r="S93">
        <f t="shared" si="48"/>
        <v>61294.25</v>
      </c>
      <c r="T93" s="44">
        <f>E93+апр!I93</f>
        <v>61098.75</v>
      </c>
      <c r="U93" s="30">
        <f>F93+апр!J93</f>
        <v>59754.757999999994</v>
      </c>
    </row>
    <row r="94" spans="1:21" ht="17.25" customHeight="1">
      <c r="A94" s="23" t="s">
        <v>80</v>
      </c>
      <c r="B94" s="9" t="s">
        <v>81</v>
      </c>
      <c r="C94" s="8" t="s">
        <v>4</v>
      </c>
      <c r="D94" s="10">
        <v>12258.85</v>
      </c>
      <c r="E94" s="8">
        <v>12219.75</v>
      </c>
      <c r="F94" s="55">
        <v>15381.07</v>
      </c>
      <c r="G94" s="10">
        <f t="shared" si="51"/>
        <v>3161.3199999999997</v>
      </c>
      <c r="H94" s="10">
        <f>D94+сентябрь!H94</f>
        <v>122588.50000000003</v>
      </c>
      <c r="I94" s="8">
        <f>E94+сентябрь!I94</f>
        <v>122197.5</v>
      </c>
      <c r="J94" s="183">
        <v>148886.81899999999</v>
      </c>
      <c r="K94" s="10">
        <f t="shared" si="52"/>
        <v>26689.318999999989</v>
      </c>
      <c r="L94" s="16">
        <f t="shared" si="57"/>
        <v>21.841133411076321</v>
      </c>
      <c r="M94" s="220"/>
      <c r="N94" s="221"/>
      <c r="O94" s="122">
        <f t="shared" si="58"/>
        <v>26298.318999999959</v>
      </c>
      <c r="P94" s="123">
        <f t="shared" si="59"/>
        <v>21.452517161071352</v>
      </c>
      <c r="Q94" s="114"/>
      <c r="S94">
        <f t="shared" si="48"/>
        <v>61294.25</v>
      </c>
      <c r="T94" s="44">
        <f>E94+апр!I94</f>
        <v>61098.75</v>
      </c>
      <c r="U94" s="30">
        <f>F94+апр!J94</f>
        <v>59754.757999999994</v>
      </c>
    </row>
    <row r="95" spans="1:21" ht="17.25" customHeight="1">
      <c r="A95" s="196" t="s">
        <v>82</v>
      </c>
      <c r="B95" s="6" t="s">
        <v>83</v>
      </c>
      <c r="C95" s="196" t="s">
        <v>4</v>
      </c>
      <c r="D95" s="7">
        <f t="shared" ref="D95:J95" si="60">D96</f>
        <v>588.22500000000002</v>
      </c>
      <c r="E95" s="7">
        <f t="shared" si="60"/>
        <v>291.66699999999997</v>
      </c>
      <c r="F95" s="7">
        <f>F96</f>
        <v>2078.8209999999999</v>
      </c>
      <c r="G95" s="10">
        <f t="shared" si="51"/>
        <v>1787.154</v>
      </c>
      <c r="H95" s="7">
        <f t="shared" si="60"/>
        <v>5882.2500000000009</v>
      </c>
      <c r="I95" s="7">
        <f t="shared" si="60"/>
        <v>2916.6699999999996</v>
      </c>
      <c r="J95" s="7">
        <f t="shared" si="60"/>
        <v>2409.788</v>
      </c>
      <c r="K95" s="10">
        <f t="shared" si="52"/>
        <v>-506.88199999999961</v>
      </c>
      <c r="L95" s="16">
        <f t="shared" si="57"/>
        <v>-17.378791567095341</v>
      </c>
      <c r="M95" s="220"/>
      <c r="N95" s="221"/>
      <c r="O95" s="122">
        <f t="shared" si="58"/>
        <v>-3472.4620000000009</v>
      </c>
      <c r="P95" s="123">
        <f t="shared" si="59"/>
        <v>-59.032887075523831</v>
      </c>
      <c r="Q95" s="114"/>
      <c r="S95">
        <f t="shared" si="48"/>
        <v>2941.125</v>
      </c>
      <c r="T95" s="44">
        <f>E95+апр!I95</f>
        <v>1458.3349999999998</v>
      </c>
      <c r="U95" s="30">
        <f>F95+апр!J95</f>
        <v>2079.5899999999997</v>
      </c>
    </row>
    <row r="96" spans="1:21" ht="54" customHeight="1">
      <c r="A96" s="8" t="s">
        <v>84</v>
      </c>
      <c r="B96" s="9" t="s">
        <v>85</v>
      </c>
      <c r="C96" s="8" t="s">
        <v>4</v>
      </c>
      <c r="D96" s="10">
        <v>588.22500000000002</v>
      </c>
      <c r="E96" s="8">
        <v>291.66699999999997</v>
      </c>
      <c r="F96" s="55">
        <v>2078.8209999999999</v>
      </c>
      <c r="G96" s="10">
        <f t="shared" si="51"/>
        <v>1787.154</v>
      </c>
      <c r="H96" s="10">
        <f>D96+сентябрь!H96</f>
        <v>5882.2500000000009</v>
      </c>
      <c r="I96" s="8">
        <f>E96+сентябрь!I96</f>
        <v>2916.6699999999996</v>
      </c>
      <c r="J96" s="183">
        <f>2267.664+142.124</f>
        <v>2409.788</v>
      </c>
      <c r="K96" s="10">
        <f t="shared" si="52"/>
        <v>-506.88199999999961</v>
      </c>
      <c r="L96" s="16">
        <f t="shared" si="57"/>
        <v>-17.378791567095341</v>
      </c>
      <c r="M96" s="227" t="s">
        <v>299</v>
      </c>
      <c r="N96" s="228"/>
      <c r="O96" s="122">
        <f t="shared" si="58"/>
        <v>-3472.4620000000009</v>
      </c>
      <c r="P96" s="123">
        <f t="shared" si="59"/>
        <v>-59.032887075523831</v>
      </c>
      <c r="Q96" s="116"/>
      <c r="S96">
        <f t="shared" si="48"/>
        <v>2941.125</v>
      </c>
      <c r="T96" s="44">
        <f>E96+апр!I96</f>
        <v>1458.3349999999998</v>
      </c>
      <c r="U96" s="30">
        <f>F96+апр!J96</f>
        <v>2079.5899999999997</v>
      </c>
    </row>
    <row r="97" spans="1:21" ht="17.25" customHeight="1">
      <c r="A97" s="196" t="s">
        <v>86</v>
      </c>
      <c r="B97" s="6" t="s">
        <v>87</v>
      </c>
      <c r="C97" s="196" t="s">
        <v>4</v>
      </c>
      <c r="D97" s="7">
        <f t="shared" ref="D97" si="61">D98+D99+D103+D104+D109+D110</f>
        <v>2575.1889999999999</v>
      </c>
      <c r="E97" s="7">
        <f>E98+E99+E103+E104+E109+E110</f>
        <v>2562.3330000000001</v>
      </c>
      <c r="F97" s="7">
        <f>F98+F99+F103+F104+F109+F110</f>
        <v>2635.2545</v>
      </c>
      <c r="G97" s="10">
        <f t="shared" si="51"/>
        <v>72.921499999999924</v>
      </c>
      <c r="H97" s="7">
        <f t="shared" ref="H97" si="62">H98+H99+H103+H104+H109+H110</f>
        <v>25751.890000000003</v>
      </c>
      <c r="I97" s="7">
        <f>I98+I99+I103+I104+I109+I110</f>
        <v>25621.996999999999</v>
      </c>
      <c r="J97" s="7">
        <f>J98+J99+J103+J104+J109+J110</f>
        <v>27203.068000000003</v>
      </c>
      <c r="K97" s="10">
        <f t="shared" si="52"/>
        <v>1581.0710000000036</v>
      </c>
      <c r="L97" s="16">
        <f t="shared" si="57"/>
        <v>6.1707563231702967</v>
      </c>
      <c r="M97" s="220"/>
      <c r="N97" s="221"/>
      <c r="O97" s="122">
        <f t="shared" si="58"/>
        <v>1451.1779999999999</v>
      </c>
      <c r="P97" s="123">
        <f t="shared" si="59"/>
        <v>5.6352291035725903</v>
      </c>
      <c r="Q97" s="114"/>
      <c r="S97">
        <f t="shared" si="48"/>
        <v>12875.945</v>
      </c>
      <c r="T97" s="44">
        <f>E97+апр!I97</f>
        <v>12811.665000000001</v>
      </c>
      <c r="U97" s="30">
        <f>F97+апр!J97</f>
        <v>12527.546999999999</v>
      </c>
    </row>
    <row r="98" spans="1:21" ht="17.25" customHeight="1">
      <c r="A98" s="8" t="s">
        <v>88</v>
      </c>
      <c r="B98" s="9" t="s">
        <v>89</v>
      </c>
      <c r="C98" s="8" t="s">
        <v>4</v>
      </c>
      <c r="D98" s="10">
        <v>626.41700000000003</v>
      </c>
      <c r="E98" s="8">
        <v>543.08299999999997</v>
      </c>
      <c r="F98" s="54">
        <v>602.69299999999998</v>
      </c>
      <c r="G98" s="10">
        <f t="shared" si="51"/>
        <v>59.610000000000014</v>
      </c>
      <c r="H98" s="10">
        <f>D98+сентябрь!H98</f>
        <v>6264.170000000001</v>
      </c>
      <c r="I98" s="8">
        <f>E98+сентябрь!I98</f>
        <v>5430.829999999999</v>
      </c>
      <c r="J98" s="183">
        <f>F98+сентябрь!J98</f>
        <v>5603.5300000000007</v>
      </c>
      <c r="K98" s="10">
        <f t="shared" si="52"/>
        <v>172.70000000000164</v>
      </c>
      <c r="L98" s="16">
        <f t="shared" si="57"/>
        <v>3.179992745123704</v>
      </c>
      <c r="M98" s="227" t="s">
        <v>298</v>
      </c>
      <c r="N98" s="228"/>
      <c r="O98" s="122">
        <f t="shared" si="58"/>
        <v>-660.64000000000033</v>
      </c>
      <c r="P98" s="123">
        <f t="shared" si="59"/>
        <v>-10.546329362070319</v>
      </c>
      <c r="Q98" s="116"/>
      <c r="S98">
        <f t="shared" si="48"/>
        <v>3132.085</v>
      </c>
      <c r="T98" s="44">
        <f>E98+апр!I98</f>
        <v>2715.415</v>
      </c>
      <c r="U98" s="30">
        <f>F98+апр!J98</f>
        <v>2893.0950000000003</v>
      </c>
    </row>
    <row r="99" spans="1:21" ht="53.25" customHeight="1">
      <c r="A99" s="8" t="s">
        <v>90</v>
      </c>
      <c r="B99" s="20" t="s">
        <v>242</v>
      </c>
      <c r="C99" s="8" t="s">
        <v>4</v>
      </c>
      <c r="D99" s="10">
        <f t="shared" ref="D99" si="63">D100+D101+D102</f>
        <v>107.703</v>
      </c>
      <c r="E99" s="8">
        <v>107.667</v>
      </c>
      <c r="F99" s="10">
        <f>F100+F101+F102</f>
        <v>213.44</v>
      </c>
      <c r="G99" s="10">
        <f t="shared" si="51"/>
        <v>105.773</v>
      </c>
      <c r="H99" s="10">
        <f t="shared" ref="H99" si="64">H100+H101+H102</f>
        <v>1077.0300000000002</v>
      </c>
      <c r="I99" s="8">
        <f>E99+сентябрь!I99</f>
        <v>1076.67</v>
      </c>
      <c r="J99" s="10">
        <f t="shared" ref="J99" si="65">J100+J101+J102</f>
        <v>803.42900000000009</v>
      </c>
      <c r="K99" s="10">
        <f t="shared" si="52"/>
        <v>-273.24099999999999</v>
      </c>
      <c r="L99" s="16">
        <f t="shared" si="57"/>
        <v>-25.378342481911819</v>
      </c>
      <c r="M99" s="220"/>
      <c r="N99" s="221"/>
      <c r="O99" s="122">
        <f t="shared" si="58"/>
        <v>-273.60100000000011</v>
      </c>
      <c r="P99" s="123">
        <f t="shared" si="59"/>
        <v>-25.403284959564736</v>
      </c>
      <c r="Q99" s="114"/>
      <c r="S99">
        <f t="shared" si="48"/>
        <v>538.51499999999999</v>
      </c>
      <c r="T99" s="44">
        <f>E99+апр!I99</f>
        <v>538.33500000000004</v>
      </c>
      <c r="U99" s="30">
        <f>F99+апр!J99</f>
        <v>213.44</v>
      </c>
    </row>
    <row r="100" spans="1:21" ht="17.25" customHeight="1">
      <c r="A100" s="8" t="s">
        <v>91</v>
      </c>
      <c r="B100" s="20" t="s">
        <v>92</v>
      </c>
      <c r="C100" s="8" t="s">
        <v>4</v>
      </c>
      <c r="D100" s="10">
        <v>45.448999999999998</v>
      </c>
      <c r="E100" s="8"/>
      <c r="F100" s="55">
        <v>3.44</v>
      </c>
      <c r="G100" s="10">
        <f t="shared" si="51"/>
        <v>3.44</v>
      </c>
      <c r="H100" s="10">
        <f>D100+сентябрь!H100</f>
        <v>454.49000000000007</v>
      </c>
      <c r="I100" s="8"/>
      <c r="J100" s="183">
        <f>F100+сентябрь!J100</f>
        <v>3.44</v>
      </c>
      <c r="K100" s="10">
        <f t="shared" si="52"/>
        <v>3.44</v>
      </c>
      <c r="L100" s="16"/>
      <c r="M100" s="220"/>
      <c r="N100" s="221"/>
      <c r="O100" s="122">
        <f t="shared" si="58"/>
        <v>-451.05000000000007</v>
      </c>
      <c r="P100" s="123">
        <f t="shared" si="59"/>
        <v>-99.243107659134409</v>
      </c>
      <c r="Q100" s="114"/>
      <c r="S100">
        <f t="shared" si="48"/>
        <v>227.245</v>
      </c>
      <c r="T100" s="44">
        <f>E100+апр!I100</f>
        <v>0</v>
      </c>
      <c r="U100" s="30">
        <f>F100+апр!J100</f>
        <v>3.44</v>
      </c>
    </row>
    <row r="101" spans="1:21" ht="33.75" customHeight="1">
      <c r="A101" s="8" t="s">
        <v>93</v>
      </c>
      <c r="B101" s="20" t="s">
        <v>94</v>
      </c>
      <c r="C101" s="8" t="s">
        <v>4</v>
      </c>
      <c r="D101" s="10">
        <v>62.253999999999998</v>
      </c>
      <c r="E101" s="8"/>
      <c r="F101" s="55">
        <v>210</v>
      </c>
      <c r="G101" s="10">
        <f t="shared" si="51"/>
        <v>210</v>
      </c>
      <c r="H101" s="10">
        <f>D101+сентябрь!H101</f>
        <v>622.54000000000008</v>
      </c>
      <c r="I101" s="8"/>
      <c r="J101" s="183">
        <f>379.989+420</f>
        <v>799.98900000000003</v>
      </c>
      <c r="K101" s="10">
        <f t="shared" si="52"/>
        <v>799.98900000000003</v>
      </c>
      <c r="L101" s="16"/>
      <c r="M101" s="220"/>
      <c r="N101" s="221"/>
      <c r="O101" s="122">
        <f t="shared" si="58"/>
        <v>177.44899999999996</v>
      </c>
      <c r="P101" s="123">
        <f t="shared" si="59"/>
        <v>28.504031869438094</v>
      </c>
      <c r="Q101" s="114"/>
      <c r="S101">
        <f t="shared" si="48"/>
        <v>311.27</v>
      </c>
      <c r="T101" s="44">
        <f>E101+апр!I101</f>
        <v>0</v>
      </c>
      <c r="U101" s="30">
        <f>F101+апр!J101</f>
        <v>210</v>
      </c>
    </row>
    <row r="102" spans="1:21" ht="33.75" customHeight="1">
      <c r="A102" s="8" t="s">
        <v>95</v>
      </c>
      <c r="B102" s="20" t="s">
        <v>96</v>
      </c>
      <c r="C102" s="8" t="s">
        <v>4</v>
      </c>
      <c r="D102" s="10"/>
      <c r="E102" s="8"/>
      <c r="F102" s="55"/>
      <c r="G102" s="10">
        <f t="shared" si="51"/>
        <v>0</v>
      </c>
      <c r="H102" s="10">
        <f>D102+сентябрь!H102</f>
        <v>0</v>
      </c>
      <c r="I102" s="8"/>
      <c r="J102" s="54">
        <f>F102+сентябрь!J102</f>
        <v>0</v>
      </c>
      <c r="K102" s="10">
        <f t="shared" si="52"/>
        <v>0</v>
      </c>
      <c r="L102" s="16"/>
      <c r="M102" s="220"/>
      <c r="N102" s="221"/>
      <c r="O102" s="122">
        <f t="shared" si="58"/>
        <v>0</v>
      </c>
      <c r="P102" s="123" t="e">
        <f t="shared" si="59"/>
        <v>#DIV/0!</v>
      </c>
      <c r="Q102" s="114"/>
      <c r="S102">
        <f t="shared" si="48"/>
        <v>0</v>
      </c>
      <c r="T102" s="44">
        <f>E102+апр!I102</f>
        <v>0</v>
      </c>
      <c r="U102" s="30">
        <f>F102+апр!J102</f>
        <v>0</v>
      </c>
    </row>
    <row r="103" spans="1:21" ht="17.25" customHeight="1">
      <c r="A103" s="8" t="s">
        <v>97</v>
      </c>
      <c r="B103" s="20" t="s">
        <v>98</v>
      </c>
      <c r="C103" s="8" t="s">
        <v>4</v>
      </c>
      <c r="D103" s="10">
        <v>1.3089999999999999</v>
      </c>
      <c r="E103" s="8">
        <v>1.333</v>
      </c>
      <c r="F103" s="55"/>
      <c r="G103" s="10">
        <f t="shared" si="51"/>
        <v>-1.333</v>
      </c>
      <c r="H103" s="10">
        <f>D103+сентябрь!H103</f>
        <v>13.089999999999998</v>
      </c>
      <c r="I103" s="8">
        <f>E103+сентябрь!I103</f>
        <v>11.997</v>
      </c>
      <c r="J103" s="54">
        <f>F103+сентябрь!J103</f>
        <v>0</v>
      </c>
      <c r="K103" s="10">
        <f t="shared" si="52"/>
        <v>-11.997</v>
      </c>
      <c r="L103" s="16">
        <f t="shared" si="57"/>
        <v>-100</v>
      </c>
      <c r="M103" s="220"/>
      <c r="N103" s="221"/>
      <c r="O103" s="122">
        <f t="shared" si="58"/>
        <v>-13.089999999999998</v>
      </c>
      <c r="P103" s="123">
        <f t="shared" si="59"/>
        <v>-100</v>
      </c>
      <c r="Q103" s="114"/>
      <c r="S103">
        <f t="shared" si="48"/>
        <v>6.5449999999999999</v>
      </c>
      <c r="T103" s="44">
        <f>E103+апр!I103</f>
        <v>6.665</v>
      </c>
      <c r="U103" s="30">
        <f>F103+апр!J103</f>
        <v>0</v>
      </c>
    </row>
    <row r="104" spans="1:21" ht="36" customHeight="1">
      <c r="A104" s="18" t="s">
        <v>105</v>
      </c>
      <c r="B104" s="20" t="s">
        <v>99</v>
      </c>
      <c r="C104" s="8" t="s">
        <v>4</v>
      </c>
      <c r="D104" s="10">
        <f t="shared" ref="D104:F104" si="66">D105+D106+D107+D108</f>
        <v>186.095</v>
      </c>
      <c r="E104" s="10">
        <f t="shared" si="66"/>
        <v>152.833</v>
      </c>
      <c r="F104" s="10">
        <f t="shared" si="66"/>
        <v>9.2170000000000005</v>
      </c>
      <c r="G104" s="10">
        <f t="shared" si="51"/>
        <v>-143.61599999999999</v>
      </c>
      <c r="H104" s="10">
        <f t="shared" ref="H104:J104" si="67">H105+H106+H107+H108</f>
        <v>1860.9500000000005</v>
      </c>
      <c r="I104" s="8">
        <f>E104+сентябрь!I104</f>
        <v>1528.3300000000002</v>
      </c>
      <c r="J104" s="10">
        <f t="shared" si="67"/>
        <v>2558.9769999999999</v>
      </c>
      <c r="K104" s="10">
        <f t="shared" si="52"/>
        <v>1030.6469999999997</v>
      </c>
      <c r="L104" s="16">
        <f t="shared" si="57"/>
        <v>67.43615580404753</v>
      </c>
      <c r="M104" s="220"/>
      <c r="N104" s="221"/>
      <c r="O104" s="122">
        <f t="shared" si="58"/>
        <v>698.02699999999936</v>
      </c>
      <c r="P104" s="123">
        <f t="shared" si="59"/>
        <v>37.509175421155817</v>
      </c>
      <c r="Q104" s="114"/>
      <c r="S104">
        <f t="shared" si="48"/>
        <v>930.47500000000002</v>
      </c>
      <c r="T104" s="44">
        <f>E104+апр!I104</f>
        <v>764.16499999999996</v>
      </c>
      <c r="U104" s="30">
        <f>F104+апр!J104</f>
        <v>808.20100000000002</v>
      </c>
    </row>
    <row r="105" spans="1:21" ht="17.25" customHeight="1">
      <c r="A105" s="24" t="s">
        <v>243</v>
      </c>
      <c r="B105" s="20" t="s">
        <v>100</v>
      </c>
      <c r="C105" s="8" t="s">
        <v>4</v>
      </c>
      <c r="D105" s="10">
        <v>43.570999999999998</v>
      </c>
      <c r="E105" s="8">
        <v>43.582999999999998</v>
      </c>
      <c r="F105" s="8"/>
      <c r="G105" s="10">
        <f t="shared" si="51"/>
        <v>-43.582999999999998</v>
      </c>
      <c r="H105" s="10">
        <f>D105+сентябрь!H105</f>
        <v>435.71000000000004</v>
      </c>
      <c r="I105" s="8">
        <f>E105+сентябрь!I105</f>
        <v>435.82999999999993</v>
      </c>
      <c r="J105" s="183">
        <v>986.06899999999996</v>
      </c>
      <c r="K105" s="10">
        <f t="shared" si="52"/>
        <v>550.23900000000003</v>
      </c>
      <c r="L105" s="16">
        <f t="shared" si="57"/>
        <v>126.25083174632314</v>
      </c>
      <c r="M105" s="220"/>
      <c r="N105" s="221"/>
      <c r="O105" s="122">
        <f t="shared" si="58"/>
        <v>550.35899999999992</v>
      </c>
      <c r="P105" s="123">
        <f t="shared" si="59"/>
        <v>126.31314406371207</v>
      </c>
      <c r="Q105" s="114">
        <f>98.54+237.46+650.069</f>
        <v>986.06899999999996</v>
      </c>
      <c r="S105">
        <f t="shared" si="48"/>
        <v>217.85499999999999</v>
      </c>
      <c r="T105" s="44">
        <f>E105+апр!I105</f>
        <v>217.91499999999999</v>
      </c>
      <c r="U105" s="30">
        <f>F105+апр!J105</f>
        <v>221.631</v>
      </c>
    </row>
    <row r="106" spans="1:21" ht="28.5" customHeight="1">
      <c r="A106" s="8" t="s">
        <v>244</v>
      </c>
      <c r="B106" s="20" t="s">
        <v>101</v>
      </c>
      <c r="C106" s="8" t="s">
        <v>4</v>
      </c>
      <c r="D106" s="10">
        <v>116.209</v>
      </c>
      <c r="E106" s="8">
        <v>82.917000000000002</v>
      </c>
      <c r="F106" s="55">
        <v>8.0419999999999998</v>
      </c>
      <c r="G106" s="10">
        <f t="shared" si="51"/>
        <v>-74.875</v>
      </c>
      <c r="H106" s="10">
        <f>D106+сентябрь!H106</f>
        <v>1162.0900000000004</v>
      </c>
      <c r="I106" s="8">
        <f>E106+сентябрь!I106</f>
        <v>829.17000000000019</v>
      </c>
      <c r="J106" s="183">
        <v>986.28200000000004</v>
      </c>
      <c r="K106" s="10">
        <f t="shared" si="52"/>
        <v>157.11199999999985</v>
      </c>
      <c r="L106" s="16">
        <f t="shared" si="57"/>
        <v>18.94810473123724</v>
      </c>
      <c r="M106" s="222" t="s">
        <v>287</v>
      </c>
      <c r="N106" s="223"/>
      <c r="O106" s="122">
        <f t="shared" si="58"/>
        <v>-175.80800000000033</v>
      </c>
      <c r="P106" s="123">
        <f t="shared" si="59"/>
        <v>-15.128604497069958</v>
      </c>
      <c r="Q106" s="115">
        <f>100.833+885.449</f>
        <v>986.28199999999993</v>
      </c>
      <c r="S106">
        <f t="shared" si="48"/>
        <v>581.04500000000007</v>
      </c>
      <c r="T106" s="44">
        <f>E106+апр!I106</f>
        <v>414.58500000000004</v>
      </c>
      <c r="U106" s="30">
        <f>F106+апр!J106</f>
        <v>461.642</v>
      </c>
    </row>
    <row r="107" spans="1:21" ht="37.5" customHeight="1">
      <c r="A107" s="8" t="s">
        <v>245</v>
      </c>
      <c r="B107" s="20" t="s">
        <v>102</v>
      </c>
      <c r="C107" s="8" t="s">
        <v>4</v>
      </c>
      <c r="D107" s="10">
        <v>26.315000000000001</v>
      </c>
      <c r="E107" s="8">
        <v>26.332999999999998</v>
      </c>
      <c r="F107" s="54">
        <v>1.175</v>
      </c>
      <c r="G107" s="10">
        <f t="shared" si="51"/>
        <v>-25.157999999999998</v>
      </c>
      <c r="H107" s="10">
        <f>D107+сентябрь!H107</f>
        <v>263.15000000000003</v>
      </c>
      <c r="I107" s="8">
        <f>E107+сентябрь!I107</f>
        <v>263.33</v>
      </c>
      <c r="J107" s="183">
        <f>F107+сентябрь!J107</f>
        <v>522.92599999999993</v>
      </c>
      <c r="K107" s="10">
        <f t="shared" si="52"/>
        <v>259.59599999999995</v>
      </c>
      <c r="L107" s="16">
        <f t="shared" si="57"/>
        <v>98.582007367181845</v>
      </c>
      <c r="M107" s="220"/>
      <c r="N107" s="221"/>
      <c r="O107" s="122">
        <f t="shared" si="58"/>
        <v>259.7759999999999</v>
      </c>
      <c r="P107" s="123">
        <f t="shared" si="59"/>
        <v>98.717841535246009</v>
      </c>
      <c r="Q107" s="114">
        <f>1.175+106.88+33.63+4+7+8.629+29.998+40.6+29.894</f>
        <v>261.80599999999998</v>
      </c>
      <c r="S107">
        <f t="shared" si="48"/>
        <v>131.57500000000002</v>
      </c>
      <c r="T107" s="44">
        <f>E107+апр!I107</f>
        <v>131.66499999999999</v>
      </c>
      <c r="U107" s="30">
        <f>F107+апр!J107</f>
        <v>124.92800000000001</v>
      </c>
    </row>
    <row r="108" spans="1:21" ht="35.25" customHeight="1">
      <c r="A108" s="8" t="s">
        <v>103</v>
      </c>
      <c r="B108" s="20" t="s">
        <v>104</v>
      </c>
      <c r="C108" s="8" t="s">
        <v>4</v>
      </c>
      <c r="D108" s="10">
        <v>0</v>
      </c>
      <c r="E108" s="8"/>
      <c r="F108" s="8"/>
      <c r="G108" s="10">
        <f t="shared" si="51"/>
        <v>0</v>
      </c>
      <c r="H108" s="10">
        <f>D108+сентябрь!H108</f>
        <v>0</v>
      </c>
      <c r="I108" s="8">
        <f>E108+сентябрь!I108</f>
        <v>0</v>
      </c>
      <c r="J108" s="183">
        <f>F108+сентябрь!J108</f>
        <v>63.7</v>
      </c>
      <c r="K108" s="10">
        <f t="shared" si="52"/>
        <v>63.7</v>
      </c>
      <c r="L108" s="16" t="e">
        <f t="shared" si="57"/>
        <v>#DIV/0!</v>
      </c>
      <c r="M108" s="220"/>
      <c r="N108" s="221"/>
      <c r="O108" s="122">
        <f t="shared" si="58"/>
        <v>63.7</v>
      </c>
      <c r="P108" s="123" t="e">
        <f t="shared" si="59"/>
        <v>#DIV/0!</v>
      </c>
      <c r="Q108" s="114"/>
      <c r="S108">
        <f t="shared" si="48"/>
        <v>0</v>
      </c>
      <c r="T108" s="44">
        <f>E108+апр!I108</f>
        <v>0</v>
      </c>
      <c r="U108" s="30">
        <f>F108+апр!J108</f>
        <v>0</v>
      </c>
    </row>
    <row r="109" spans="1:21" ht="17.25" customHeight="1">
      <c r="A109" s="18" t="s">
        <v>246</v>
      </c>
      <c r="B109" s="20" t="s">
        <v>106</v>
      </c>
      <c r="C109" s="8" t="s">
        <v>4</v>
      </c>
      <c r="D109" s="10">
        <v>91.483999999999995</v>
      </c>
      <c r="E109" s="8">
        <v>58.167000000000002</v>
      </c>
      <c r="F109" s="55">
        <f>15.507+20.638+0.256+3.914</f>
        <v>40.315000000000005</v>
      </c>
      <c r="G109" s="10">
        <f t="shared" si="51"/>
        <v>-17.851999999999997</v>
      </c>
      <c r="H109" s="10">
        <f>D109+сентябрь!H109</f>
        <v>914.84000000000015</v>
      </c>
      <c r="I109" s="8">
        <f>E109+сентябрь!I109</f>
        <v>581.67000000000019</v>
      </c>
      <c r="J109" s="183">
        <f>45.621+63.881+0.861+12.59+106.448+137.018+1.942+29.731+0.3</f>
        <v>398.392</v>
      </c>
      <c r="K109" s="10">
        <f t="shared" si="52"/>
        <v>-183.27800000000019</v>
      </c>
      <c r="L109" s="16">
        <f t="shared" si="57"/>
        <v>-31.50893118091016</v>
      </c>
      <c r="M109" s="220"/>
      <c r="N109" s="221"/>
      <c r="O109" s="122">
        <f t="shared" si="58"/>
        <v>-516.44800000000009</v>
      </c>
      <c r="P109" s="123">
        <f t="shared" si="59"/>
        <v>-56.45227580779153</v>
      </c>
      <c r="Q109" s="114"/>
      <c r="S109">
        <f t="shared" si="48"/>
        <v>457.41999999999996</v>
      </c>
      <c r="T109" s="44">
        <f>E109+апр!I109</f>
        <v>290.83500000000004</v>
      </c>
      <c r="U109" s="30">
        <f>F109+апр!J109</f>
        <v>187.15199999999999</v>
      </c>
    </row>
    <row r="110" spans="1:21" ht="17.25" customHeight="1">
      <c r="A110" s="17" t="s">
        <v>247</v>
      </c>
      <c r="B110" s="6" t="s">
        <v>107</v>
      </c>
      <c r="C110" s="8" t="s">
        <v>4</v>
      </c>
      <c r="D110" s="10">
        <f>D111+D115+D119+D123+D124+D125+D126+D127+D128+D129+D130+D131+D132+D133+D134+D135</f>
        <v>1562.1809999999998</v>
      </c>
      <c r="E110" s="10">
        <f>E111+E115+E119+E123+E124+E125+E126+E127+E128+E129+E130+E131+E132+E133+E134+E135+E136+E137</f>
        <v>1699.25</v>
      </c>
      <c r="F110" s="10">
        <f>F111+F115+F119+F123+F124+F125+F126+F127+F128+F129+F130+F131+F132+F133+F134+F135+F136+F137+F138+F139+F140+F141+F142</f>
        <v>1769.5895</v>
      </c>
      <c r="G110" s="10">
        <f t="shared" si="51"/>
        <v>70.339500000000044</v>
      </c>
      <c r="H110" s="10">
        <f>H111+H115+H119+H123+H124+H125+H126+H127+H128+H129+H130+H131+H132+H133+H134+H135</f>
        <v>15621.810000000001</v>
      </c>
      <c r="I110" s="10">
        <f>I111+I115+I119+I123+I124+I125+I126+I127+I128+I129+I130+I131+I132+I133+I134+I135+I136+I137</f>
        <v>16992.5</v>
      </c>
      <c r="J110" s="10">
        <f>J111+J115+J119+J123+J124+J125+J126+J127+J128+J129+J130+J131+J132+J133+J134+J135+J136+J137</f>
        <v>17838.740000000002</v>
      </c>
      <c r="K110" s="10">
        <f t="shared" si="52"/>
        <v>846.2400000000016</v>
      </c>
      <c r="L110" s="16">
        <f t="shared" si="57"/>
        <v>4.9800794468147807</v>
      </c>
      <c r="M110" s="226"/>
      <c r="N110" s="221"/>
      <c r="O110" s="122">
        <f t="shared" si="58"/>
        <v>2216.9300000000003</v>
      </c>
      <c r="P110" s="123">
        <f t="shared" si="59"/>
        <v>14.191249285454118</v>
      </c>
      <c r="Q110" s="114"/>
      <c r="S110">
        <f t="shared" si="48"/>
        <v>7810.9049999999988</v>
      </c>
      <c r="T110" s="44">
        <f>E110+апр!I110</f>
        <v>8496.25</v>
      </c>
      <c r="U110" s="30">
        <f>F110+апр!J110</f>
        <v>8425.6589999999997</v>
      </c>
    </row>
    <row r="111" spans="1:21" ht="18" customHeight="1">
      <c r="A111" s="18" t="s">
        <v>248</v>
      </c>
      <c r="B111" s="9" t="s">
        <v>108</v>
      </c>
      <c r="C111" s="8" t="s">
        <v>4</v>
      </c>
      <c r="D111" s="10">
        <v>431.38099999999997</v>
      </c>
      <c r="E111" s="8">
        <v>431.41699999999997</v>
      </c>
      <c r="F111" s="10">
        <f>F112+F113+F114</f>
        <v>651.58000000000004</v>
      </c>
      <c r="G111" s="10">
        <f t="shared" si="51"/>
        <v>220.16300000000007</v>
      </c>
      <c r="H111" s="10">
        <f>D111+сентябрь!H111</f>
        <v>4313.8099999999995</v>
      </c>
      <c r="I111" s="8">
        <f>E111+сентябрь!I111</f>
        <v>4314.17</v>
      </c>
      <c r="J111" s="10">
        <f>J112+J113+J114</f>
        <v>3971.5509999999999</v>
      </c>
      <c r="K111" s="10">
        <f t="shared" si="52"/>
        <v>-342.61900000000014</v>
      </c>
      <c r="L111" s="16">
        <f t="shared" si="57"/>
        <v>-7.9417130062097723</v>
      </c>
      <c r="M111" s="231"/>
      <c r="N111" s="232"/>
      <c r="O111" s="122">
        <f t="shared" si="58"/>
        <v>-342.25899999999956</v>
      </c>
      <c r="P111" s="123">
        <f t="shared" si="59"/>
        <v>-7.9340304742211547</v>
      </c>
      <c r="Q111" s="117"/>
      <c r="S111">
        <f t="shared" si="48"/>
        <v>2156.9049999999997</v>
      </c>
      <c r="T111" s="44">
        <f>E111+апр!I111</f>
        <v>2157.085</v>
      </c>
      <c r="U111" s="30">
        <f>F111+апр!J111</f>
        <v>1840.2109999999998</v>
      </c>
    </row>
    <row r="112" spans="1:21" ht="17.25" customHeight="1">
      <c r="A112" s="18"/>
      <c r="B112" s="9" t="s">
        <v>221</v>
      </c>
      <c r="C112" s="8" t="s">
        <v>4</v>
      </c>
      <c r="D112" s="10"/>
      <c r="E112" s="8"/>
      <c r="F112" s="54">
        <v>567.58000000000004</v>
      </c>
      <c r="G112" s="10">
        <f t="shared" si="51"/>
        <v>567.58000000000004</v>
      </c>
      <c r="H112" s="10">
        <f>D112+сентябрь!H112</f>
        <v>0</v>
      </c>
      <c r="I112" s="8"/>
      <c r="J112" s="183">
        <v>3525.73</v>
      </c>
      <c r="K112" s="10">
        <f t="shared" si="52"/>
        <v>3525.73</v>
      </c>
      <c r="L112" s="16"/>
      <c r="M112" s="220"/>
      <c r="N112" s="221"/>
      <c r="O112" s="122">
        <f t="shared" si="58"/>
        <v>3525.73</v>
      </c>
      <c r="P112" s="123" t="e">
        <f t="shared" si="59"/>
        <v>#DIV/0!</v>
      </c>
      <c r="Q112" s="114">
        <f>860.99+2664.74</f>
        <v>3525.7299999999996</v>
      </c>
      <c r="S112">
        <f t="shared" si="48"/>
        <v>0</v>
      </c>
      <c r="T112" s="44">
        <f>E112+апр!I112</f>
        <v>0</v>
      </c>
      <c r="U112" s="30">
        <f>F112+апр!J112</f>
        <v>1534.3899999999999</v>
      </c>
    </row>
    <row r="113" spans="1:21" ht="36" customHeight="1">
      <c r="A113" s="18"/>
      <c r="B113" s="9" t="s">
        <v>222</v>
      </c>
      <c r="C113" s="8" t="s">
        <v>4</v>
      </c>
      <c r="D113" s="10"/>
      <c r="E113" s="8"/>
      <c r="F113" s="54">
        <v>84</v>
      </c>
      <c r="G113" s="10">
        <f t="shared" si="51"/>
        <v>84</v>
      </c>
      <c r="H113" s="10">
        <f>D113+сентябрь!H113</f>
        <v>0</v>
      </c>
      <c r="I113" s="8"/>
      <c r="J113" s="183">
        <v>445.82100000000003</v>
      </c>
      <c r="K113" s="10">
        <f t="shared" si="52"/>
        <v>445.82100000000003</v>
      </c>
      <c r="L113" s="16"/>
      <c r="M113" s="220"/>
      <c r="N113" s="221"/>
      <c r="O113" s="122">
        <f t="shared" si="58"/>
        <v>445.82100000000003</v>
      </c>
      <c r="P113" s="123" t="e">
        <f t="shared" si="59"/>
        <v>#DIV/0!</v>
      </c>
      <c r="Q113" s="114">
        <f>108+337.821</f>
        <v>445.82100000000003</v>
      </c>
      <c r="S113">
        <f t="shared" si="48"/>
        <v>0</v>
      </c>
      <c r="T113" s="44">
        <f>E113+апр!I113</f>
        <v>0</v>
      </c>
      <c r="U113" s="30">
        <f>F113+апр!J113</f>
        <v>305.82100000000003</v>
      </c>
    </row>
    <row r="114" spans="1:21" ht="17.25" customHeight="1">
      <c r="A114" s="18"/>
      <c r="B114" s="9" t="s">
        <v>223</v>
      </c>
      <c r="C114" s="8" t="s">
        <v>4</v>
      </c>
      <c r="D114" s="10"/>
      <c r="E114" s="8"/>
      <c r="F114" s="8"/>
      <c r="G114" s="10">
        <f t="shared" si="51"/>
        <v>0</v>
      </c>
      <c r="H114" s="10">
        <f>D114+сентябрь!H114</f>
        <v>0</v>
      </c>
      <c r="I114" s="8"/>
      <c r="J114" s="54">
        <f>F114+сентябрь!J114</f>
        <v>0</v>
      </c>
      <c r="K114" s="10">
        <f t="shared" si="52"/>
        <v>0</v>
      </c>
      <c r="L114" s="16"/>
      <c r="M114" s="220"/>
      <c r="N114" s="221"/>
      <c r="O114" s="122">
        <f t="shared" si="58"/>
        <v>0</v>
      </c>
      <c r="P114" s="123" t="e">
        <f t="shared" si="59"/>
        <v>#DIV/0!</v>
      </c>
      <c r="Q114" s="114"/>
      <c r="S114">
        <f t="shared" si="48"/>
        <v>0</v>
      </c>
      <c r="T114" s="44">
        <f>E114+апр!I114</f>
        <v>0</v>
      </c>
      <c r="U114" s="30">
        <f>F114+апр!J114</f>
        <v>0</v>
      </c>
    </row>
    <row r="115" spans="1:21" ht="17.25" customHeight="1">
      <c r="A115" s="18" t="s">
        <v>249</v>
      </c>
      <c r="B115" s="9" t="s">
        <v>109</v>
      </c>
      <c r="C115" s="8" t="s">
        <v>4</v>
      </c>
      <c r="D115" s="10">
        <f t="shared" ref="D115" si="68">D116+D117+D118</f>
        <v>121.34400000000001</v>
      </c>
      <c r="E115" s="10">
        <v>121.333</v>
      </c>
      <c r="F115" s="10"/>
      <c r="G115" s="10">
        <f t="shared" si="51"/>
        <v>-121.333</v>
      </c>
      <c r="H115" s="10">
        <f t="shared" ref="H115" si="69">H116+H117+H118</f>
        <v>1213.4399999999998</v>
      </c>
      <c r="I115" s="8">
        <f>E115+сентябрь!I115</f>
        <v>1213.33</v>
      </c>
      <c r="J115" s="10">
        <f t="shared" ref="J115" si="70">J116+J117+J118</f>
        <v>368</v>
      </c>
      <c r="K115" s="10">
        <f t="shared" si="52"/>
        <v>-845.32999999999993</v>
      </c>
      <c r="L115" s="16">
        <f t="shared" si="57"/>
        <v>-69.670246346830623</v>
      </c>
      <c r="M115" s="220"/>
      <c r="N115" s="221"/>
      <c r="O115" s="122">
        <f t="shared" si="58"/>
        <v>-845.43999999999983</v>
      </c>
      <c r="P115" s="123">
        <f t="shared" si="59"/>
        <v>-69.672995780590725</v>
      </c>
      <c r="Q115" s="114"/>
      <c r="S115">
        <f t="shared" si="48"/>
        <v>606.72</v>
      </c>
      <c r="T115" s="44">
        <f>E115+апр!I115</f>
        <v>606.66499999999996</v>
      </c>
      <c r="U115" s="30">
        <f>F115+апр!J115</f>
        <v>0</v>
      </c>
    </row>
    <row r="116" spans="1:21" ht="36" customHeight="1">
      <c r="A116" s="8" t="s">
        <v>250</v>
      </c>
      <c r="B116" s="9" t="s">
        <v>240</v>
      </c>
      <c r="C116" s="8" t="s">
        <v>4</v>
      </c>
      <c r="D116" s="10">
        <v>86.322000000000003</v>
      </c>
      <c r="E116" s="8"/>
      <c r="F116" s="8"/>
      <c r="G116" s="10">
        <f t="shared" si="51"/>
        <v>0</v>
      </c>
      <c r="H116" s="10">
        <f>D116+сентябрь!H116</f>
        <v>863.22</v>
      </c>
      <c r="I116" s="8"/>
      <c r="J116" s="54">
        <f>F116+сентябрь!J116</f>
        <v>0</v>
      </c>
      <c r="K116" s="10">
        <f t="shared" si="52"/>
        <v>0</v>
      </c>
      <c r="L116" s="16"/>
      <c r="M116" s="220"/>
      <c r="N116" s="221"/>
      <c r="O116" s="122">
        <f t="shared" si="58"/>
        <v>-863.22</v>
      </c>
      <c r="P116" s="123">
        <f t="shared" si="59"/>
        <v>-100</v>
      </c>
      <c r="Q116" s="114"/>
      <c r="S116">
        <f t="shared" si="48"/>
        <v>431.61</v>
      </c>
      <c r="T116" s="44">
        <f>E116+апр!I116</f>
        <v>0</v>
      </c>
      <c r="U116" s="30">
        <f>F116+апр!J116</f>
        <v>0</v>
      </c>
    </row>
    <row r="117" spans="1:21" ht="42.75" customHeight="1">
      <c r="A117" s="8" t="s">
        <v>251</v>
      </c>
      <c r="B117" s="9" t="s">
        <v>241</v>
      </c>
      <c r="C117" s="8" t="s">
        <v>4</v>
      </c>
      <c r="D117" s="10">
        <v>31.76</v>
      </c>
      <c r="E117" s="8"/>
      <c r="F117" s="8"/>
      <c r="G117" s="10">
        <f t="shared" si="51"/>
        <v>0</v>
      </c>
      <c r="H117" s="10">
        <f>D117+сентябрь!H117</f>
        <v>317.59999999999997</v>
      </c>
      <c r="I117" s="8"/>
      <c r="J117" s="183">
        <v>368</v>
      </c>
      <c r="K117" s="10">
        <f t="shared" si="52"/>
        <v>368</v>
      </c>
      <c r="L117" s="16"/>
      <c r="M117" s="220"/>
      <c r="N117" s="221"/>
      <c r="O117" s="122">
        <f t="shared" si="58"/>
        <v>50.400000000000034</v>
      </c>
      <c r="P117" s="123">
        <f t="shared" si="59"/>
        <v>15.869017632241825</v>
      </c>
      <c r="Q117" s="114"/>
      <c r="S117">
        <f t="shared" si="48"/>
        <v>158.80000000000001</v>
      </c>
      <c r="T117" s="44">
        <f>E117+апр!I117</f>
        <v>0</v>
      </c>
      <c r="U117" s="30">
        <f>F117+апр!J117</f>
        <v>0</v>
      </c>
    </row>
    <row r="118" spans="1:21" ht="17.25" customHeight="1">
      <c r="A118" s="8" t="s">
        <v>252</v>
      </c>
      <c r="B118" s="9" t="s">
        <v>110</v>
      </c>
      <c r="C118" s="8" t="s">
        <v>4</v>
      </c>
      <c r="D118" s="10">
        <v>3.262</v>
      </c>
      <c r="E118" s="8"/>
      <c r="F118" s="8"/>
      <c r="G118" s="10">
        <f t="shared" si="51"/>
        <v>0</v>
      </c>
      <c r="H118" s="10">
        <f>D118+сентябрь!H118</f>
        <v>32.619999999999997</v>
      </c>
      <c r="I118" s="8"/>
      <c r="J118" s="54">
        <f>F118+сентябрь!J118</f>
        <v>0</v>
      </c>
      <c r="K118" s="10">
        <f t="shared" si="52"/>
        <v>0</v>
      </c>
      <c r="L118" s="16"/>
      <c r="M118" s="220"/>
      <c r="N118" s="221"/>
      <c r="O118" s="122">
        <f t="shared" si="58"/>
        <v>-32.619999999999997</v>
      </c>
      <c r="P118" s="123">
        <f t="shared" si="59"/>
        <v>-100</v>
      </c>
      <c r="Q118" s="114"/>
      <c r="S118">
        <f t="shared" si="48"/>
        <v>16.309999999999999</v>
      </c>
      <c r="T118" s="44">
        <f>E118+апр!I118</f>
        <v>0</v>
      </c>
      <c r="U118" s="30">
        <f>F118+апр!J118</f>
        <v>0</v>
      </c>
    </row>
    <row r="119" spans="1:21" ht="34.5" customHeight="1">
      <c r="A119" s="18" t="s">
        <v>253</v>
      </c>
      <c r="B119" s="9" t="s">
        <v>111</v>
      </c>
      <c r="C119" s="8" t="s">
        <v>4</v>
      </c>
      <c r="D119" s="10">
        <f>D120</f>
        <v>380.84899999999999</v>
      </c>
      <c r="E119" s="10">
        <v>356.5</v>
      </c>
      <c r="F119" s="10">
        <f>F120</f>
        <v>557.75250000000005</v>
      </c>
      <c r="G119" s="10">
        <f t="shared" si="51"/>
        <v>201.25250000000005</v>
      </c>
      <c r="H119" s="10">
        <f>H120</f>
        <v>3808.4900000000007</v>
      </c>
      <c r="I119" s="8">
        <f>E119+сентябрь!I119</f>
        <v>3565</v>
      </c>
      <c r="J119" s="10">
        <f>J120</f>
        <v>4041.5540000000001</v>
      </c>
      <c r="K119" s="10">
        <f t="shared" si="52"/>
        <v>476.55400000000009</v>
      </c>
      <c r="L119" s="16">
        <f t="shared" si="57"/>
        <v>13.367573632538571</v>
      </c>
      <c r="M119" s="220"/>
      <c r="N119" s="221"/>
      <c r="O119" s="122">
        <f t="shared" si="58"/>
        <v>233.0639999999994</v>
      </c>
      <c r="P119" s="123">
        <f t="shared" si="59"/>
        <v>6.119590703927261</v>
      </c>
      <c r="Q119" s="114"/>
      <c r="S119">
        <f t="shared" si="48"/>
        <v>1904.2449999999999</v>
      </c>
      <c r="T119" s="44">
        <f>E119+апр!I119</f>
        <v>1782.5</v>
      </c>
      <c r="U119" s="30">
        <f>F119+апр!J119</f>
        <v>1884.5940000000001</v>
      </c>
    </row>
    <row r="120" spans="1:21" ht="17.25" customHeight="1">
      <c r="A120" s="8"/>
      <c r="B120" s="25" t="s">
        <v>112</v>
      </c>
      <c r="C120" s="8" t="s">
        <v>113</v>
      </c>
      <c r="D120" s="10">
        <v>380.84899999999999</v>
      </c>
      <c r="E120" s="10">
        <f>E122*E121</f>
        <v>356.5</v>
      </c>
      <c r="F120" s="54">
        <f>F122*F121</f>
        <v>557.75250000000005</v>
      </c>
      <c r="G120" s="10">
        <f t="shared" si="51"/>
        <v>201.25250000000005</v>
      </c>
      <c r="H120" s="10">
        <f>D120+сентябрь!H120</f>
        <v>3808.4900000000007</v>
      </c>
      <c r="I120" s="8">
        <f>E120+сентябрь!I120</f>
        <v>3565</v>
      </c>
      <c r="J120" s="183">
        <f>F120+сентябрь!J120</f>
        <v>4041.5540000000001</v>
      </c>
      <c r="K120" s="10">
        <f t="shared" si="52"/>
        <v>476.55400000000009</v>
      </c>
      <c r="L120" s="16">
        <f t="shared" si="57"/>
        <v>13.367573632538571</v>
      </c>
      <c r="M120" s="220"/>
      <c r="N120" s="221"/>
      <c r="O120" s="122">
        <f t="shared" si="58"/>
        <v>233.0639999999994</v>
      </c>
      <c r="P120" s="123">
        <f t="shared" si="59"/>
        <v>6.119590703927261</v>
      </c>
      <c r="Q120" s="114"/>
      <c r="S120">
        <f t="shared" si="48"/>
        <v>1904.2449999999999</v>
      </c>
      <c r="T120" s="44">
        <f>E120+апр!I120</f>
        <v>1782.5</v>
      </c>
      <c r="U120" s="30">
        <f>F120+апр!J120</f>
        <v>1884.5940000000001</v>
      </c>
    </row>
    <row r="121" spans="1:21" ht="17.25" customHeight="1">
      <c r="A121" s="8"/>
      <c r="B121" s="12" t="s">
        <v>13</v>
      </c>
      <c r="C121" s="13" t="s">
        <v>114</v>
      </c>
      <c r="D121" s="10">
        <v>761.69899999999996</v>
      </c>
      <c r="E121" s="16">
        <f>E119/E122</f>
        <v>713</v>
      </c>
      <c r="F121" s="10">
        <f>F217</f>
        <v>1115.5050000000001</v>
      </c>
      <c r="G121" s="10">
        <f t="shared" si="51"/>
        <v>402.50500000000011</v>
      </c>
      <c r="H121" s="10">
        <f>D121+сентябрь!H121</f>
        <v>7616.989999999998</v>
      </c>
      <c r="I121" s="8">
        <f>E121+сентябрь!I121</f>
        <v>7130</v>
      </c>
      <c r="J121" s="54">
        <f>F121+сентябрь!J121</f>
        <v>8083.107</v>
      </c>
      <c r="K121" s="10">
        <f t="shared" si="52"/>
        <v>953.10699999999997</v>
      </c>
      <c r="L121" s="16">
        <f t="shared" si="57"/>
        <v>13.367559607293128</v>
      </c>
      <c r="M121" s="220"/>
      <c r="N121" s="221"/>
      <c r="O121" s="122">
        <f t="shared" si="58"/>
        <v>466.11700000000201</v>
      </c>
      <c r="P121" s="123">
        <f t="shared" si="59"/>
        <v>6.119438255793983</v>
      </c>
      <c r="Q121" s="114"/>
      <c r="S121">
        <f t="shared" si="48"/>
        <v>3808.4949999999999</v>
      </c>
      <c r="T121" s="44">
        <f>E121+апр!I121</f>
        <v>3565</v>
      </c>
      <c r="U121" s="30">
        <f>F121+апр!J121</f>
        <v>3769.1870000000004</v>
      </c>
    </row>
    <row r="122" spans="1:21" ht="17.25" customHeight="1">
      <c r="A122" s="8"/>
      <c r="B122" s="12" t="s">
        <v>15</v>
      </c>
      <c r="C122" s="13" t="s">
        <v>16</v>
      </c>
      <c r="D122" s="11">
        <v>0.5</v>
      </c>
      <c r="E122" s="11">
        <v>0.5</v>
      </c>
      <c r="F122" s="11">
        <v>0.5</v>
      </c>
      <c r="G122" s="10">
        <f t="shared" si="51"/>
        <v>0</v>
      </c>
      <c r="H122" s="10">
        <f>D122+сентябрь!H122</f>
        <v>3</v>
      </c>
      <c r="I122" s="11">
        <v>0.5</v>
      </c>
      <c r="J122" s="11">
        <v>0.5</v>
      </c>
      <c r="K122" s="10">
        <f t="shared" si="52"/>
        <v>0</v>
      </c>
      <c r="L122" s="16">
        <f t="shared" si="57"/>
        <v>0</v>
      </c>
      <c r="M122" s="220"/>
      <c r="N122" s="221"/>
      <c r="O122" s="122">
        <f t="shared" si="58"/>
        <v>-2.5</v>
      </c>
      <c r="P122" s="123">
        <f t="shared" si="59"/>
        <v>-83.333333333333343</v>
      </c>
      <c r="Q122" s="114"/>
      <c r="S122">
        <f t="shared" si="48"/>
        <v>2.5</v>
      </c>
      <c r="T122" s="44">
        <f>E122+апр!I122</f>
        <v>1</v>
      </c>
      <c r="U122" s="30">
        <f>F122+апр!J122</f>
        <v>1</v>
      </c>
    </row>
    <row r="123" spans="1:21" ht="17.25" customHeight="1">
      <c r="A123" s="18" t="s">
        <v>254</v>
      </c>
      <c r="B123" s="9" t="s">
        <v>115</v>
      </c>
      <c r="C123" s="8" t="s">
        <v>4</v>
      </c>
      <c r="D123" s="10">
        <v>1.1120000000000001</v>
      </c>
      <c r="E123" s="8">
        <v>1.083</v>
      </c>
      <c r="F123" s="8"/>
      <c r="G123" s="10">
        <f t="shared" si="51"/>
        <v>-1.083</v>
      </c>
      <c r="H123" s="10">
        <f>D123+сентябрь!H123</f>
        <v>11.120000000000001</v>
      </c>
      <c r="I123" s="8">
        <f>E123+сентябрь!I123</f>
        <v>10.83</v>
      </c>
      <c r="J123" s="54">
        <f>F123+сентябрь!J123</f>
        <v>0</v>
      </c>
      <c r="K123" s="10">
        <f t="shared" si="52"/>
        <v>-10.83</v>
      </c>
      <c r="L123" s="16">
        <f t="shared" si="57"/>
        <v>-100</v>
      </c>
      <c r="M123" s="220"/>
      <c r="N123" s="221"/>
      <c r="O123" s="122">
        <f t="shared" si="58"/>
        <v>-11.120000000000001</v>
      </c>
      <c r="P123" s="123">
        <f t="shared" si="59"/>
        <v>-100</v>
      </c>
      <c r="Q123" s="114"/>
      <c r="S123">
        <f t="shared" si="48"/>
        <v>5.5600000000000005</v>
      </c>
      <c r="T123" s="44">
        <f>E123+апр!I123</f>
        <v>5.415</v>
      </c>
      <c r="U123" s="30">
        <f>F123+апр!J123</f>
        <v>0</v>
      </c>
    </row>
    <row r="124" spans="1:21" ht="36" customHeight="1">
      <c r="A124" s="18" t="s">
        <v>255</v>
      </c>
      <c r="B124" s="9" t="s">
        <v>116</v>
      </c>
      <c r="C124" s="8" t="s">
        <v>4</v>
      </c>
      <c r="D124" s="10">
        <v>53.17</v>
      </c>
      <c r="E124" s="8">
        <v>52.167000000000002</v>
      </c>
      <c r="F124" s="54">
        <v>45</v>
      </c>
      <c r="G124" s="10">
        <f t="shared" si="51"/>
        <v>-7.1670000000000016</v>
      </c>
      <c r="H124" s="10">
        <f>D124+сентябрь!H124</f>
        <v>531.70000000000005</v>
      </c>
      <c r="I124" s="8">
        <f>E124+сентябрь!I124</f>
        <v>521.67000000000019</v>
      </c>
      <c r="J124" s="183">
        <f>F124+сентябрь!J124</f>
        <v>450</v>
      </c>
      <c r="K124" s="10">
        <f t="shared" si="52"/>
        <v>-71.670000000000186</v>
      </c>
      <c r="L124" s="16">
        <f t="shared" si="57"/>
        <v>-13.738570360572808</v>
      </c>
      <c r="M124" s="220"/>
      <c r="N124" s="221"/>
      <c r="O124" s="122">
        <f t="shared" si="58"/>
        <v>-81.700000000000045</v>
      </c>
      <c r="P124" s="123">
        <f t="shared" si="59"/>
        <v>-15.365807786345693</v>
      </c>
      <c r="Q124" s="114">
        <f>135+315</f>
        <v>450</v>
      </c>
      <c r="S124">
        <f t="shared" si="48"/>
        <v>265.85000000000002</v>
      </c>
      <c r="T124" s="44">
        <f>E124+апр!I124</f>
        <v>260.83500000000004</v>
      </c>
      <c r="U124" s="30">
        <f>F124+апр!J124</f>
        <v>225</v>
      </c>
    </row>
    <row r="125" spans="1:21" ht="41.25" customHeight="1">
      <c r="A125" s="18" t="s">
        <v>256</v>
      </c>
      <c r="B125" s="9" t="s">
        <v>117</v>
      </c>
      <c r="C125" s="8" t="s">
        <v>4</v>
      </c>
      <c r="D125" s="10">
        <v>411.35</v>
      </c>
      <c r="E125" s="8">
        <v>411.33300000000003</v>
      </c>
      <c r="F125" s="55">
        <f>224.357+158.631</f>
        <v>382.988</v>
      </c>
      <c r="G125" s="10">
        <f t="shared" si="51"/>
        <v>-28.345000000000027</v>
      </c>
      <c r="H125" s="10">
        <f>D125+сентябрь!H125</f>
        <v>4113.5</v>
      </c>
      <c r="I125" s="8">
        <f>E125+сентябрь!I125</f>
        <v>4113.33</v>
      </c>
      <c r="J125" s="183">
        <f>F125+сентябрь!J125</f>
        <v>4896.6620000000003</v>
      </c>
      <c r="K125" s="10">
        <f t="shared" si="52"/>
        <v>783.33200000000033</v>
      </c>
      <c r="L125" s="16">
        <f t="shared" si="57"/>
        <v>19.043743147279706</v>
      </c>
      <c r="M125" s="222" t="s">
        <v>294</v>
      </c>
      <c r="N125" s="223"/>
      <c r="O125" s="122">
        <f t="shared" si="58"/>
        <v>783.16200000000026</v>
      </c>
      <c r="P125" s="123">
        <f t="shared" si="59"/>
        <v>19.038823386410606</v>
      </c>
      <c r="Q125" s="115">
        <f>556.862+787.587+1473.109</f>
        <v>2817.558</v>
      </c>
      <c r="S125">
        <f t="shared" si="48"/>
        <v>2056.75</v>
      </c>
      <c r="T125" s="44">
        <f>E125+апр!I125</f>
        <v>2056.665</v>
      </c>
      <c r="U125" s="30">
        <f>F125+апр!J125</f>
        <v>2610.364</v>
      </c>
    </row>
    <row r="126" spans="1:21" ht="55.5" customHeight="1">
      <c r="A126" s="18" t="s">
        <v>257</v>
      </c>
      <c r="B126" s="9" t="s">
        <v>118</v>
      </c>
      <c r="C126" s="8" t="s">
        <v>4</v>
      </c>
      <c r="D126" s="10">
        <v>48.704000000000001</v>
      </c>
      <c r="E126" s="8">
        <v>48.667000000000002</v>
      </c>
      <c r="F126" s="54">
        <v>53.1</v>
      </c>
      <c r="G126" s="10">
        <f t="shared" si="51"/>
        <v>4.4329999999999998</v>
      </c>
      <c r="H126" s="10">
        <f>D126+сентябрь!H126</f>
        <v>487.04</v>
      </c>
      <c r="I126" s="8">
        <f>E126+сентябрь!I126</f>
        <v>486.67000000000007</v>
      </c>
      <c r="J126" s="183">
        <f>159.3+318.54</f>
        <v>477.84000000000003</v>
      </c>
      <c r="K126" s="10">
        <f t="shared" si="52"/>
        <v>-8.8300000000000409</v>
      </c>
      <c r="L126" s="16">
        <f t="shared" si="57"/>
        <v>-1.814371134444293</v>
      </c>
      <c r="M126" s="220"/>
      <c r="N126" s="221"/>
      <c r="O126" s="122">
        <f t="shared" si="58"/>
        <v>-9.1999999999999886</v>
      </c>
      <c r="P126" s="123">
        <f t="shared" si="59"/>
        <v>-1.888961892247041</v>
      </c>
      <c r="Q126" s="114"/>
      <c r="S126">
        <f t="shared" si="48"/>
        <v>243.52</v>
      </c>
      <c r="T126" s="44">
        <f>E126+апр!I126</f>
        <v>243.33500000000001</v>
      </c>
      <c r="U126" s="30">
        <f>F126+апр!J126</f>
        <v>265.44</v>
      </c>
    </row>
    <row r="127" spans="1:21" ht="17.25" customHeight="1">
      <c r="A127" s="18" t="s">
        <v>258</v>
      </c>
      <c r="B127" s="9" t="s">
        <v>119</v>
      </c>
      <c r="C127" s="8" t="s">
        <v>4</v>
      </c>
      <c r="D127" s="10">
        <v>38.012999999999998</v>
      </c>
      <c r="E127" s="8">
        <v>38</v>
      </c>
      <c r="F127" s="54"/>
      <c r="G127" s="10">
        <f t="shared" si="51"/>
        <v>-38</v>
      </c>
      <c r="H127" s="10">
        <f>D127+сентябрь!H127</f>
        <v>380.12999999999994</v>
      </c>
      <c r="I127" s="8">
        <f>E127+сентябрь!I127</f>
        <v>380</v>
      </c>
      <c r="J127" s="183">
        <f>F127+сентябрь!J127</f>
        <v>210</v>
      </c>
      <c r="K127" s="10">
        <f t="shared" si="52"/>
        <v>-170</v>
      </c>
      <c r="L127" s="16">
        <f t="shared" si="57"/>
        <v>-44.736842105263158</v>
      </c>
      <c r="M127" s="220"/>
      <c r="N127" s="221"/>
      <c r="O127" s="122">
        <f t="shared" si="58"/>
        <v>-170.12999999999994</v>
      </c>
      <c r="P127" s="123">
        <f t="shared" si="59"/>
        <v>-44.755741456870005</v>
      </c>
      <c r="Q127" s="114"/>
      <c r="S127">
        <f t="shared" si="48"/>
        <v>190.065</v>
      </c>
      <c r="T127" s="44">
        <f>E127+апр!I127</f>
        <v>190</v>
      </c>
      <c r="U127" s="30">
        <f>F127+апр!J127</f>
        <v>105</v>
      </c>
    </row>
    <row r="128" spans="1:21" ht="54" customHeight="1">
      <c r="A128" s="18" t="s">
        <v>259</v>
      </c>
      <c r="B128" s="9" t="s">
        <v>120</v>
      </c>
      <c r="C128" s="8" t="s">
        <v>4</v>
      </c>
      <c r="D128" s="10"/>
      <c r="E128" s="8"/>
      <c r="F128" s="8"/>
      <c r="G128" s="10">
        <f t="shared" si="51"/>
        <v>0</v>
      </c>
      <c r="H128" s="10">
        <f>D128+сентябрь!H128</f>
        <v>0</v>
      </c>
      <c r="I128" s="8">
        <f>E128+сентябрь!I128</f>
        <v>0</v>
      </c>
      <c r="J128" s="183">
        <f>F128+сентябрь!J128</f>
        <v>640.45500000000004</v>
      </c>
      <c r="K128" s="10">
        <f t="shared" si="52"/>
        <v>640.45500000000004</v>
      </c>
      <c r="L128" s="16" t="e">
        <f t="shared" si="57"/>
        <v>#DIV/0!</v>
      </c>
      <c r="M128" s="220"/>
      <c r="N128" s="221"/>
      <c r="O128" s="122">
        <f t="shared" si="58"/>
        <v>640.45500000000004</v>
      </c>
      <c r="P128" s="123" t="e">
        <f t="shared" si="59"/>
        <v>#DIV/0!</v>
      </c>
      <c r="Q128" s="114"/>
      <c r="S128">
        <f t="shared" si="48"/>
        <v>0</v>
      </c>
      <c r="T128" s="44">
        <f>E128+апр!I128</f>
        <v>0</v>
      </c>
      <c r="U128" s="30">
        <f>F128+апр!J128</f>
        <v>640.45500000000004</v>
      </c>
    </row>
    <row r="129" spans="1:21" ht="34.5" hidden="1" customHeight="1">
      <c r="A129" s="18" t="s">
        <v>121</v>
      </c>
      <c r="B129" s="9" t="s">
        <v>218</v>
      </c>
      <c r="C129" s="8" t="s">
        <v>4</v>
      </c>
      <c r="D129" s="10">
        <v>0</v>
      </c>
      <c r="E129" s="8"/>
      <c r="F129" s="8"/>
      <c r="G129" s="10">
        <f t="shared" si="51"/>
        <v>0</v>
      </c>
      <c r="H129" s="10">
        <f>D129+апр!H129</f>
        <v>0</v>
      </c>
      <c r="I129" s="8">
        <f>E129+апр!I129</f>
        <v>0</v>
      </c>
      <c r="J129" s="10">
        <f>F129+апр!J129</f>
        <v>0</v>
      </c>
      <c r="K129" s="10">
        <f t="shared" si="52"/>
        <v>0</v>
      </c>
      <c r="L129" s="16" t="e">
        <f t="shared" si="57"/>
        <v>#DIV/0!</v>
      </c>
      <c r="M129" s="220"/>
      <c r="N129" s="221"/>
      <c r="O129" s="122">
        <f t="shared" si="58"/>
        <v>0</v>
      </c>
      <c r="P129" s="123" t="e">
        <f t="shared" si="59"/>
        <v>#DIV/0!</v>
      </c>
      <c r="Q129" s="114"/>
      <c r="S129">
        <f t="shared" si="48"/>
        <v>0</v>
      </c>
      <c r="T129" s="44">
        <f>E129+апр!I129</f>
        <v>0</v>
      </c>
      <c r="U129" s="30">
        <f>F129+апр!J129</f>
        <v>0</v>
      </c>
    </row>
    <row r="130" spans="1:21" ht="33" customHeight="1">
      <c r="A130" s="18" t="s">
        <v>260</v>
      </c>
      <c r="B130" s="9" t="s">
        <v>263</v>
      </c>
      <c r="C130" s="8" t="s">
        <v>4</v>
      </c>
      <c r="D130" s="10"/>
      <c r="E130" s="8"/>
      <c r="F130" s="55"/>
      <c r="G130" s="10">
        <f t="shared" si="51"/>
        <v>0</v>
      </c>
      <c r="H130" s="10">
        <f>D130+сентябрь!H130</f>
        <v>0</v>
      </c>
      <c r="I130" s="8">
        <f>E130+сентябрь!I130</f>
        <v>0</v>
      </c>
      <c r="J130" s="183">
        <f>18+180+300+40</f>
        <v>538</v>
      </c>
      <c r="K130" s="10">
        <f t="shared" si="52"/>
        <v>538</v>
      </c>
      <c r="L130" s="16" t="e">
        <f t="shared" si="57"/>
        <v>#DIV/0!</v>
      </c>
      <c r="M130" s="222" t="s">
        <v>288</v>
      </c>
      <c r="N130" s="223"/>
      <c r="O130" s="122">
        <f t="shared" si="58"/>
        <v>538</v>
      </c>
      <c r="P130" s="123" t="e">
        <f t="shared" si="59"/>
        <v>#DIV/0!</v>
      </c>
      <c r="Q130" s="115"/>
      <c r="S130">
        <f t="shared" si="48"/>
        <v>0</v>
      </c>
      <c r="T130" s="44">
        <f>E130+апр!I130</f>
        <v>0</v>
      </c>
      <c r="U130" s="30">
        <f>F130+апр!J130</f>
        <v>0</v>
      </c>
    </row>
    <row r="131" spans="1:21" ht="17.25" customHeight="1">
      <c r="A131" s="18" t="s">
        <v>261</v>
      </c>
      <c r="B131" s="9" t="s">
        <v>122</v>
      </c>
      <c r="C131" s="8" t="s">
        <v>4</v>
      </c>
      <c r="D131" s="10">
        <v>69.783000000000001</v>
      </c>
      <c r="E131" s="8">
        <v>69.75</v>
      </c>
      <c r="F131" s="54"/>
      <c r="G131" s="10">
        <f t="shared" si="51"/>
        <v>-69.75</v>
      </c>
      <c r="H131" s="10">
        <f>D131+сентябрь!H131</f>
        <v>697.83</v>
      </c>
      <c r="I131" s="8">
        <f>E131+сентябрь!I131</f>
        <v>697.5</v>
      </c>
      <c r="J131" s="183">
        <f>F131+сентябрь!J131</f>
        <v>626.25</v>
      </c>
      <c r="K131" s="10">
        <f t="shared" si="52"/>
        <v>-71.25</v>
      </c>
      <c r="L131" s="16">
        <f t="shared" si="57"/>
        <v>-10.21505376344086</v>
      </c>
      <c r="M131" s="220"/>
      <c r="N131" s="221"/>
      <c r="O131" s="122">
        <f t="shared" si="58"/>
        <v>-71.580000000000041</v>
      </c>
      <c r="P131" s="123">
        <f t="shared" si="59"/>
        <v>-10.257512574695848</v>
      </c>
      <c r="Q131" s="114">
        <f>417.5+208.75</f>
        <v>626.25</v>
      </c>
      <c r="S131">
        <f t="shared" si="48"/>
        <v>348.91500000000002</v>
      </c>
      <c r="T131" s="44">
        <f>E131+апр!I131</f>
        <v>348.75</v>
      </c>
      <c r="U131" s="30">
        <f>F131+апр!J131</f>
        <v>208.75</v>
      </c>
    </row>
    <row r="132" spans="1:21" ht="54.75" customHeight="1">
      <c r="A132" s="18" t="s">
        <v>262</v>
      </c>
      <c r="B132" s="9" t="s">
        <v>123</v>
      </c>
      <c r="C132" s="8" t="s">
        <v>4</v>
      </c>
      <c r="D132" s="10"/>
      <c r="E132" s="8"/>
      <c r="F132" s="8"/>
      <c r="G132" s="10">
        <f t="shared" si="51"/>
        <v>0</v>
      </c>
      <c r="H132" s="10">
        <f>D132+сентябрь!H132</f>
        <v>0</v>
      </c>
      <c r="I132" s="8">
        <f>E132+сентябрь!I132</f>
        <v>0</v>
      </c>
      <c r="J132" s="54">
        <f>F132+сентябрь!J132</f>
        <v>0</v>
      </c>
      <c r="K132" s="10">
        <f t="shared" si="52"/>
        <v>0</v>
      </c>
      <c r="L132" s="16"/>
      <c r="M132" s="220"/>
      <c r="N132" s="221"/>
      <c r="O132" s="122">
        <f t="shared" si="58"/>
        <v>0</v>
      </c>
      <c r="P132" s="123" t="e">
        <f t="shared" si="59"/>
        <v>#DIV/0!</v>
      </c>
      <c r="Q132" s="114"/>
      <c r="S132">
        <f t="shared" si="48"/>
        <v>0</v>
      </c>
      <c r="T132" s="44">
        <f>E132+апр!I132</f>
        <v>0</v>
      </c>
      <c r="U132" s="30">
        <f>F132+апр!J132</f>
        <v>0</v>
      </c>
    </row>
    <row r="133" spans="1:21" ht="54" customHeight="1">
      <c r="A133" s="18" t="s">
        <v>264</v>
      </c>
      <c r="B133" s="9" t="s">
        <v>124</v>
      </c>
      <c r="C133" s="8" t="s">
        <v>4</v>
      </c>
      <c r="D133" s="10"/>
      <c r="E133" s="8"/>
      <c r="F133" s="8"/>
      <c r="G133" s="10">
        <f t="shared" si="51"/>
        <v>0</v>
      </c>
      <c r="H133" s="10">
        <f>D133+сентябрь!H133</f>
        <v>0</v>
      </c>
      <c r="I133" s="8">
        <f>E133+сентябрь!I133</f>
        <v>0</v>
      </c>
      <c r="J133" s="54">
        <f>F133+сентябрь!J133</f>
        <v>0</v>
      </c>
      <c r="K133" s="10">
        <f t="shared" si="52"/>
        <v>0</v>
      </c>
      <c r="L133" s="16"/>
      <c r="M133" s="220"/>
      <c r="N133" s="221"/>
      <c r="O133" s="122">
        <f t="shared" si="58"/>
        <v>0</v>
      </c>
      <c r="P133" s="123" t="e">
        <f t="shared" si="59"/>
        <v>#DIV/0!</v>
      </c>
      <c r="Q133" s="114"/>
      <c r="S133">
        <f t="shared" si="48"/>
        <v>0</v>
      </c>
      <c r="T133" s="44">
        <f>E133+апр!I133</f>
        <v>0</v>
      </c>
      <c r="U133" s="30">
        <f>F133+апр!J133</f>
        <v>0</v>
      </c>
    </row>
    <row r="134" spans="1:21" ht="17.25" customHeight="1">
      <c r="A134" s="18" t="s">
        <v>265</v>
      </c>
      <c r="B134" s="26" t="s">
        <v>125</v>
      </c>
      <c r="C134" s="8" t="s">
        <v>4</v>
      </c>
      <c r="D134" s="10">
        <v>6.4749999999999996</v>
      </c>
      <c r="E134" s="8">
        <v>6.5</v>
      </c>
      <c r="F134" s="55"/>
      <c r="G134" s="10">
        <f t="shared" si="51"/>
        <v>-6.5</v>
      </c>
      <c r="H134" s="10">
        <f>D134+сентябрь!H134</f>
        <v>64.75</v>
      </c>
      <c r="I134" s="8">
        <f>E134+сентябрь!I134</f>
        <v>65</v>
      </c>
      <c r="J134" s="183">
        <f>F134+сентябрь!J134</f>
        <v>76.731999999999999</v>
      </c>
      <c r="K134" s="10">
        <f t="shared" si="52"/>
        <v>11.731999999999999</v>
      </c>
      <c r="L134" s="16">
        <f t="shared" si="57"/>
        <v>18.049230769230768</v>
      </c>
      <c r="M134" s="220"/>
      <c r="N134" s="221"/>
      <c r="O134" s="122">
        <f t="shared" si="58"/>
        <v>11.981999999999999</v>
      </c>
      <c r="P134" s="123">
        <f t="shared" si="59"/>
        <v>18.505019305019303</v>
      </c>
      <c r="Q134" s="114"/>
      <c r="S134">
        <f t="shared" si="48"/>
        <v>32.375</v>
      </c>
      <c r="T134" s="44">
        <f>E134+апр!I134</f>
        <v>32.5</v>
      </c>
      <c r="U134" s="30">
        <f>F134+апр!J134</f>
        <v>0</v>
      </c>
    </row>
    <row r="135" spans="1:21" ht="17.25" customHeight="1">
      <c r="A135" s="18" t="s">
        <v>266</v>
      </c>
      <c r="B135" s="26" t="s">
        <v>232</v>
      </c>
      <c r="C135" s="8" t="s">
        <v>4</v>
      </c>
      <c r="D135" s="10"/>
      <c r="E135" s="8"/>
      <c r="F135" s="8"/>
      <c r="G135" s="10">
        <f t="shared" si="51"/>
        <v>0</v>
      </c>
      <c r="H135" s="10">
        <f>D135+сентябрь!H135</f>
        <v>0</v>
      </c>
      <c r="I135" s="8">
        <f>E135+сентябрь!I135</f>
        <v>0</v>
      </c>
      <c r="J135" s="54">
        <f>F135+сентябрь!J135</f>
        <v>0</v>
      </c>
      <c r="K135" s="10">
        <f t="shared" si="52"/>
        <v>0</v>
      </c>
      <c r="L135" s="16"/>
      <c r="M135" s="220"/>
      <c r="N135" s="221"/>
      <c r="O135" s="122">
        <f t="shared" si="58"/>
        <v>0</v>
      </c>
      <c r="P135" s="123" t="e">
        <f t="shared" si="59"/>
        <v>#DIV/0!</v>
      </c>
      <c r="Q135" s="114"/>
      <c r="S135">
        <f t="shared" si="48"/>
        <v>0</v>
      </c>
      <c r="T135" s="44">
        <f>E135+апр!I135</f>
        <v>0</v>
      </c>
      <c r="U135" s="30">
        <f>F135+апр!J135</f>
        <v>0</v>
      </c>
    </row>
    <row r="136" spans="1:21" ht="55.5" customHeight="1">
      <c r="A136" s="18"/>
      <c r="B136" s="26" t="s">
        <v>311</v>
      </c>
      <c r="C136" s="8" t="s">
        <v>4</v>
      </c>
      <c r="D136" s="10"/>
      <c r="E136" s="8">
        <v>79.167000000000002</v>
      </c>
      <c r="F136" s="54">
        <v>79.168999999999997</v>
      </c>
      <c r="G136" s="10">
        <f t="shared" si="51"/>
        <v>1.9999999999953388E-3</v>
      </c>
      <c r="H136" s="10">
        <f>D136+сентябрь!H136</f>
        <v>0</v>
      </c>
      <c r="I136" s="8">
        <f>E136+сентябрь!I136</f>
        <v>791.67000000000019</v>
      </c>
      <c r="J136" s="183">
        <v>791.69600000000003</v>
      </c>
      <c r="K136" s="10">
        <f t="shared" si="52"/>
        <v>2.5999999999839929E-2</v>
      </c>
      <c r="L136" s="16">
        <f t="shared" si="57"/>
        <v>3.2841966980989455E-3</v>
      </c>
      <c r="M136" s="188"/>
      <c r="N136" s="189"/>
      <c r="O136" s="122">
        <f t="shared" si="58"/>
        <v>791.69600000000003</v>
      </c>
      <c r="P136" s="123" t="e">
        <f t="shared" si="59"/>
        <v>#DIV/0!</v>
      </c>
      <c r="Q136" s="114"/>
      <c r="S136">
        <f t="shared" si="48"/>
        <v>0</v>
      </c>
      <c r="T136" s="44">
        <f>E136+апр!I136</f>
        <v>395.83500000000004</v>
      </c>
      <c r="U136" s="30">
        <f>F136+апр!J136</f>
        <v>395.84500000000003</v>
      </c>
    </row>
    <row r="137" spans="1:21" ht="55.5" customHeight="1">
      <c r="A137" s="18"/>
      <c r="B137" s="26" t="s">
        <v>312</v>
      </c>
      <c r="C137" s="8" t="s">
        <v>4</v>
      </c>
      <c r="D137" s="10"/>
      <c r="E137" s="8">
        <v>83.332999999999998</v>
      </c>
      <c r="F137" s="54"/>
      <c r="G137" s="10">
        <f t="shared" si="51"/>
        <v>-83.332999999999998</v>
      </c>
      <c r="H137" s="10">
        <f>D137+сентябрь!H137</f>
        <v>0</v>
      </c>
      <c r="I137" s="8">
        <f>E137+сентябрь!I137</f>
        <v>833.32999999999981</v>
      </c>
      <c r="J137" s="183">
        <f>F137+сентябрь!J137</f>
        <v>750</v>
      </c>
      <c r="K137" s="10">
        <f t="shared" si="52"/>
        <v>-83.329999999999814</v>
      </c>
      <c r="L137" s="16">
        <f t="shared" si="57"/>
        <v>-9.9996399985599744</v>
      </c>
      <c r="M137" s="188"/>
      <c r="N137" s="189"/>
      <c r="O137" s="122">
        <f t="shared" si="58"/>
        <v>750</v>
      </c>
      <c r="P137" s="123" t="e">
        <f t="shared" si="59"/>
        <v>#DIV/0!</v>
      </c>
      <c r="Q137" s="114">
        <f>500+250</f>
        <v>750</v>
      </c>
      <c r="R137" s="30">
        <f>F144-R144</f>
        <v>-696.57499999999982</v>
      </c>
      <c r="S137">
        <f t="shared" ref="S137:S206" si="71">D137*5</f>
        <v>0</v>
      </c>
      <c r="T137" s="44">
        <f>E137+апр!I137</f>
        <v>416.66499999999996</v>
      </c>
      <c r="U137" s="30">
        <f>F137+апр!J137</f>
        <v>250</v>
      </c>
    </row>
    <row r="138" spans="1:21" ht="55.5" customHeight="1">
      <c r="A138" s="18"/>
      <c r="B138" s="26" t="s">
        <v>327</v>
      </c>
      <c r="C138" s="8" t="s">
        <v>4</v>
      </c>
      <c r="D138" s="10"/>
      <c r="E138" s="8"/>
      <c r="F138" s="54"/>
      <c r="G138" s="10"/>
      <c r="H138" s="10">
        <f>D138+сентябрь!H138</f>
        <v>0</v>
      </c>
      <c r="I138" s="8"/>
      <c r="J138" s="183">
        <v>357.63</v>
      </c>
      <c r="K138" s="10"/>
      <c r="L138" s="16"/>
      <c r="M138" s="188"/>
      <c r="N138" s="189"/>
      <c r="O138" s="122">
        <f t="shared" si="58"/>
        <v>357.63</v>
      </c>
      <c r="P138" s="123" t="e">
        <f t="shared" si="59"/>
        <v>#DIV/0!</v>
      </c>
      <c r="Q138" s="114"/>
      <c r="R138" s="30"/>
      <c r="T138" s="44"/>
      <c r="U138" s="30"/>
    </row>
    <row r="139" spans="1:21" ht="55.5" customHeight="1">
      <c r="A139" s="18"/>
      <c r="B139" s="26" t="s">
        <v>328</v>
      </c>
      <c r="C139" s="8" t="s">
        <v>4</v>
      </c>
      <c r="D139" s="10"/>
      <c r="E139" s="8"/>
      <c r="F139" s="54"/>
      <c r="G139" s="10"/>
      <c r="H139" s="10">
        <f>D139+сентябрь!H139</f>
        <v>0</v>
      </c>
      <c r="I139" s="8"/>
      <c r="J139" s="183">
        <f>F139+сентябрь!J139</f>
        <v>27.808</v>
      </c>
      <c r="K139" s="10"/>
      <c r="L139" s="16"/>
      <c r="M139" s="188"/>
      <c r="N139" s="189"/>
      <c r="O139" s="122">
        <f t="shared" si="58"/>
        <v>27.808</v>
      </c>
      <c r="P139" s="123" t="e">
        <f t="shared" si="59"/>
        <v>#DIV/0!</v>
      </c>
      <c r="Q139" s="114"/>
      <c r="R139" s="30"/>
      <c r="T139" s="44"/>
      <c r="U139" s="30"/>
    </row>
    <row r="140" spans="1:21" ht="55.5" customHeight="1">
      <c r="A140" s="18"/>
      <c r="B140" s="26" t="s">
        <v>336</v>
      </c>
      <c r="C140" s="8" t="s">
        <v>4</v>
      </c>
      <c r="D140" s="10"/>
      <c r="E140" s="8"/>
      <c r="F140" s="54"/>
      <c r="G140" s="10"/>
      <c r="H140" s="10">
        <f>D140+сентябрь!H140</f>
        <v>0</v>
      </c>
      <c r="I140" s="8"/>
      <c r="J140" s="183">
        <v>8.4369999999999994</v>
      </c>
      <c r="K140" s="10">
        <f t="shared" ref="K140:K143" si="72">J140-I140</f>
        <v>8.4369999999999994</v>
      </c>
      <c r="L140" s="16" t="e">
        <f t="shared" ref="L140:L143" si="73">K140/I140*100</f>
        <v>#DIV/0!</v>
      </c>
      <c r="M140" s="188"/>
      <c r="N140" s="189"/>
      <c r="O140" s="122">
        <f t="shared" si="58"/>
        <v>8.4369999999999994</v>
      </c>
      <c r="P140" s="123" t="e">
        <f t="shared" si="59"/>
        <v>#DIV/0!</v>
      </c>
      <c r="Q140" s="114"/>
      <c r="R140" s="30"/>
      <c r="T140" s="44"/>
      <c r="U140" s="30"/>
    </row>
    <row r="141" spans="1:21" ht="83.25" customHeight="1">
      <c r="A141" s="18"/>
      <c r="B141" s="26" t="s">
        <v>337</v>
      </c>
      <c r="C141" s="8" t="s">
        <v>4</v>
      </c>
      <c r="D141" s="10"/>
      <c r="E141" s="8"/>
      <c r="F141" s="54"/>
      <c r="G141" s="10"/>
      <c r="H141" s="10">
        <f>D141+сентябрь!H141</f>
        <v>0</v>
      </c>
      <c r="I141" s="8"/>
      <c r="J141" s="183">
        <v>110</v>
      </c>
      <c r="K141" s="10">
        <f t="shared" si="72"/>
        <v>110</v>
      </c>
      <c r="L141" s="16" t="e">
        <f t="shared" si="73"/>
        <v>#DIV/0!</v>
      </c>
      <c r="M141" s="188"/>
      <c r="N141" s="189"/>
      <c r="O141" s="122">
        <f t="shared" si="58"/>
        <v>110</v>
      </c>
      <c r="P141" s="123" t="e">
        <f t="shared" si="59"/>
        <v>#DIV/0!</v>
      </c>
      <c r="Q141" s="114"/>
      <c r="R141" s="30"/>
      <c r="T141" s="44"/>
      <c r="U141" s="30"/>
    </row>
    <row r="142" spans="1:21" ht="90.75" customHeight="1">
      <c r="A142" s="18"/>
      <c r="B142" s="26" t="s">
        <v>338</v>
      </c>
      <c r="C142" s="8" t="s">
        <v>4</v>
      </c>
      <c r="D142" s="10"/>
      <c r="E142" s="8"/>
      <c r="F142" s="54"/>
      <c r="G142" s="10"/>
      <c r="H142" s="10">
        <f>D142+сентябрь!H142</f>
        <v>0</v>
      </c>
      <c r="I142" s="8"/>
      <c r="J142" s="183">
        <v>310</v>
      </c>
      <c r="K142" s="10">
        <f t="shared" si="72"/>
        <v>310</v>
      </c>
      <c r="L142" s="16" t="e">
        <f t="shared" si="73"/>
        <v>#DIV/0!</v>
      </c>
      <c r="M142" s="188"/>
      <c r="N142" s="189"/>
      <c r="O142" s="122">
        <f t="shared" si="58"/>
        <v>310</v>
      </c>
      <c r="P142" s="123" t="e">
        <f t="shared" si="59"/>
        <v>#DIV/0!</v>
      </c>
      <c r="Q142" s="114"/>
      <c r="R142" s="30"/>
      <c r="T142" s="44"/>
      <c r="U142" s="30"/>
    </row>
    <row r="143" spans="1:21" ht="33.75" customHeight="1">
      <c r="A143" s="18"/>
      <c r="B143" s="26" t="s">
        <v>340</v>
      </c>
      <c r="C143" s="8" t="s">
        <v>4</v>
      </c>
      <c r="D143" s="10"/>
      <c r="E143" s="8"/>
      <c r="F143" s="54"/>
      <c r="G143" s="10"/>
      <c r="H143" s="10"/>
      <c r="I143" s="8"/>
      <c r="J143" s="54">
        <f>F143+сентябрь!J143</f>
        <v>0</v>
      </c>
      <c r="K143" s="10">
        <f t="shared" si="72"/>
        <v>0</v>
      </c>
      <c r="L143" s="16" t="e">
        <f t="shared" si="73"/>
        <v>#DIV/0!</v>
      </c>
      <c r="M143" s="188"/>
      <c r="N143" s="189"/>
      <c r="O143" s="122">
        <f t="shared" si="58"/>
        <v>0</v>
      </c>
      <c r="P143" s="123" t="e">
        <f t="shared" si="59"/>
        <v>#DIV/0!</v>
      </c>
      <c r="Q143" s="114"/>
      <c r="R143" s="30"/>
      <c r="T143" s="44"/>
      <c r="U143" s="30"/>
    </row>
    <row r="144" spans="1:21" ht="17.25" customHeight="1">
      <c r="A144" s="196" t="s">
        <v>126</v>
      </c>
      <c r="B144" s="6" t="s">
        <v>127</v>
      </c>
      <c r="C144" s="8" t="s">
        <v>4</v>
      </c>
      <c r="D144" s="7">
        <f t="shared" ref="D144:J144" si="74">D145</f>
        <v>3385.116</v>
      </c>
      <c r="E144" s="7">
        <f t="shared" si="74"/>
        <v>2989.2490000000003</v>
      </c>
      <c r="F144" s="7">
        <f t="shared" si="74"/>
        <v>1727.808</v>
      </c>
      <c r="G144" s="10">
        <f t="shared" si="51"/>
        <v>-1261.4410000000003</v>
      </c>
      <c r="H144" s="7">
        <f t="shared" si="74"/>
        <v>41979.893173229204</v>
      </c>
      <c r="I144" s="7">
        <f t="shared" si="74"/>
        <v>28441.053780617684</v>
      </c>
      <c r="J144" s="7">
        <f t="shared" si="74"/>
        <v>29609.835999999999</v>
      </c>
      <c r="K144" s="10">
        <f t="shared" si="52"/>
        <v>1168.7822193823158</v>
      </c>
      <c r="L144" s="16">
        <f t="shared" si="57"/>
        <v>4.1094898536383706</v>
      </c>
      <c r="M144" s="220"/>
      <c r="N144" s="221"/>
      <c r="O144" s="122">
        <f t="shared" si="58"/>
        <v>-12370.057173229205</v>
      </c>
      <c r="P144" s="123">
        <f t="shared" si="59"/>
        <v>-29.466623752910486</v>
      </c>
      <c r="Q144" s="114"/>
      <c r="R144">
        <v>2424.3829999999998</v>
      </c>
      <c r="S144">
        <f t="shared" si="71"/>
        <v>16925.580000000002</v>
      </c>
      <c r="T144" s="44">
        <f>E144+апр!I138</f>
        <v>14946.245000000001</v>
      </c>
      <c r="U144" s="30">
        <f>F144+апр!J138</f>
        <v>10901.004000000001</v>
      </c>
    </row>
    <row r="145" spans="1:21" ht="17.25" customHeight="1">
      <c r="A145" s="196">
        <v>6</v>
      </c>
      <c r="B145" s="6" t="s">
        <v>128</v>
      </c>
      <c r="C145" s="196" t="s">
        <v>4</v>
      </c>
      <c r="D145" s="7">
        <f>D146+D151+D152+D153+D154+D155+D156+D157+D160+D162+D178+D182+D183+D185+D190+D189+D194</f>
        <v>3385.116</v>
      </c>
      <c r="E145" s="7">
        <f t="shared" ref="E145:F145" si="75">E146+E151+E152+E153+E154+E155+E156+E157+E160+E162+E178+E182+E183+E185+E190+E189+E194</f>
        <v>2989.2490000000003</v>
      </c>
      <c r="F145" s="7">
        <f t="shared" si="75"/>
        <v>1727.808</v>
      </c>
      <c r="G145" s="10">
        <f>F145-E145</f>
        <v>-1261.4410000000003</v>
      </c>
      <c r="H145" s="7">
        <f>H146+H151+H152+H153+H154+H155+H156+H157+H160+H162+H178+H182+H183+H185+H190+H189+H194</f>
        <v>41979.893173229204</v>
      </c>
      <c r="I145" s="7">
        <f t="shared" ref="I145:J145" si="76">I146+I151+I152+I153+I154+I155+I156+I157+I160+I162+I178+I182+I183+I185+I190+I189+I194</f>
        <v>28441.053780617684</v>
      </c>
      <c r="J145" s="89">
        <f t="shared" si="76"/>
        <v>29609.835999999999</v>
      </c>
      <c r="K145" s="10">
        <f t="shared" si="52"/>
        <v>1168.7822193823158</v>
      </c>
      <c r="L145" s="16">
        <f t="shared" si="57"/>
        <v>4.1094898536383706</v>
      </c>
      <c r="M145" s="220"/>
      <c r="N145" s="221"/>
      <c r="O145" s="122">
        <f t="shared" si="58"/>
        <v>-12370.057173229205</v>
      </c>
      <c r="P145" s="123">
        <f t="shared" si="59"/>
        <v>-29.466623752910486</v>
      </c>
      <c r="Q145" s="114"/>
      <c r="S145">
        <f t="shared" si="71"/>
        <v>16925.580000000002</v>
      </c>
      <c r="T145" s="44">
        <f>E145+апр!I139</f>
        <v>14946.245000000001</v>
      </c>
      <c r="U145" s="30">
        <f>F145+апр!J139</f>
        <v>10901.004000000001</v>
      </c>
    </row>
    <row r="146" spans="1:21" ht="17.25" customHeight="1">
      <c r="A146" s="196" t="s">
        <v>129</v>
      </c>
      <c r="B146" s="6" t="s">
        <v>130</v>
      </c>
      <c r="C146" s="196" t="s">
        <v>4</v>
      </c>
      <c r="D146" s="7">
        <f t="shared" ref="D146:F146" si="77">D147+D148</f>
        <v>97.608999999999995</v>
      </c>
      <c r="E146" s="7">
        <f t="shared" si="77"/>
        <v>97.582999999999998</v>
      </c>
      <c r="F146" s="7">
        <f t="shared" si="77"/>
        <v>106.392</v>
      </c>
      <c r="G146" s="10">
        <f t="shared" ref="G146:G210" si="78">F146-E146</f>
        <v>8.8089999999999975</v>
      </c>
      <c r="H146" s="7">
        <f t="shared" ref="H146:J146" si="79">H147+H148</f>
        <v>720.35650656254347</v>
      </c>
      <c r="I146" s="7">
        <f t="shared" si="79"/>
        <v>719.96878061767836</v>
      </c>
      <c r="J146" s="7">
        <f t="shared" si="79"/>
        <v>874.04700000000003</v>
      </c>
      <c r="K146" s="10">
        <f t="shared" ref="K146:K210" si="80">J146-I146</f>
        <v>154.07821938232166</v>
      </c>
      <c r="L146" s="16">
        <f t="shared" si="57"/>
        <v>21.400680630920455</v>
      </c>
      <c r="M146" s="220"/>
      <c r="N146" s="221"/>
      <c r="O146" s="122">
        <f t="shared" si="58"/>
        <v>153.69049343745655</v>
      </c>
      <c r="P146" s="123">
        <f t="shared" si="59"/>
        <v>21.335337716438421</v>
      </c>
      <c r="Q146" s="114"/>
      <c r="S146">
        <f t="shared" si="71"/>
        <v>488.04499999999996</v>
      </c>
      <c r="T146" s="44">
        <f>E146+апр!I140</f>
        <v>487.91499999999996</v>
      </c>
      <c r="U146" s="30">
        <f>F146+апр!J140</f>
        <v>399.39000000000004</v>
      </c>
    </row>
    <row r="147" spans="1:21" ht="37.5">
      <c r="A147" s="8" t="s">
        <v>131</v>
      </c>
      <c r="B147" s="9" t="s">
        <v>132</v>
      </c>
      <c r="C147" s="8" t="s">
        <v>4</v>
      </c>
      <c r="D147" s="10">
        <v>42.552999999999997</v>
      </c>
      <c r="E147" s="10">
        <v>42.5</v>
      </c>
      <c r="F147" s="10">
        <v>42.49</v>
      </c>
      <c r="G147" s="10">
        <f t="shared" si="78"/>
        <v>-9.9999999999980105E-3</v>
      </c>
      <c r="H147" s="10">
        <f>D147+сентябрь!H147</f>
        <v>425.53</v>
      </c>
      <c r="I147" s="8">
        <f>E147+сентябрь!I147</f>
        <v>425</v>
      </c>
      <c r="J147" s="183">
        <f>F147+сентябрь!J147</f>
        <v>409.44400000000007</v>
      </c>
      <c r="K147" s="10">
        <f t="shared" si="80"/>
        <v>-15.555999999999926</v>
      </c>
      <c r="L147" s="16">
        <f t="shared" si="57"/>
        <v>-3.6602352941176295</v>
      </c>
      <c r="M147" s="220"/>
      <c r="N147" s="221"/>
      <c r="O147" s="122">
        <f t="shared" si="58"/>
        <v>-16.085999999999899</v>
      </c>
      <c r="P147" s="123">
        <f t="shared" si="59"/>
        <v>-3.7802270110215259</v>
      </c>
      <c r="Q147" s="114">
        <f>127.47+142.295+139.679</f>
        <v>409.44399999999996</v>
      </c>
      <c r="S147">
        <f t="shared" si="71"/>
        <v>212.76499999999999</v>
      </c>
      <c r="T147" s="44">
        <f>E147+апр!I141</f>
        <v>212.5</v>
      </c>
      <c r="U147" s="30">
        <f>F147+апр!J141</f>
        <v>199.53500000000003</v>
      </c>
    </row>
    <row r="148" spans="1:21" ht="17.25" customHeight="1">
      <c r="A148" s="8" t="s">
        <v>133</v>
      </c>
      <c r="B148" s="9" t="s">
        <v>63</v>
      </c>
      <c r="C148" s="8" t="s">
        <v>4</v>
      </c>
      <c r="D148" s="10">
        <v>55.055999999999997</v>
      </c>
      <c r="E148" s="8">
        <v>55.082999999999998</v>
      </c>
      <c r="F148" s="8">
        <v>63.902000000000001</v>
      </c>
      <c r="G148" s="10">
        <f t="shared" si="78"/>
        <v>8.8190000000000026</v>
      </c>
      <c r="H148" s="10">
        <f>D148+сентябрь!H148</f>
        <v>294.82650656254356</v>
      </c>
      <c r="I148" s="8">
        <f>E148+сентябрь!I148</f>
        <v>294.96878061767836</v>
      </c>
      <c r="J148" s="183">
        <v>464.60300000000001</v>
      </c>
      <c r="K148" s="10">
        <f t="shared" si="80"/>
        <v>169.63421938232165</v>
      </c>
      <c r="L148" s="16">
        <f t="shared" si="57"/>
        <v>57.50921132300838</v>
      </c>
      <c r="M148" s="220"/>
      <c r="N148" s="221"/>
      <c r="O148" s="122">
        <f t="shared" si="58"/>
        <v>169.77649343745645</v>
      </c>
      <c r="P148" s="123">
        <f t="shared" si="59"/>
        <v>57.585220344304631</v>
      </c>
      <c r="Q148" s="114">
        <f>126.666+337.937</f>
        <v>464.60300000000001</v>
      </c>
      <c r="S148">
        <f t="shared" si="71"/>
        <v>275.27999999999997</v>
      </c>
      <c r="T148" s="44">
        <f>E148+апр!I142</f>
        <v>275.41499999999996</v>
      </c>
      <c r="U148" s="30">
        <f>F148+апр!J142</f>
        <v>199.85500000000002</v>
      </c>
    </row>
    <row r="149" spans="1:21" s="144" customFormat="1" ht="17.25" customHeight="1">
      <c r="A149" s="55"/>
      <c r="B149" s="136" t="s">
        <v>68</v>
      </c>
      <c r="C149" s="137" t="s">
        <v>66</v>
      </c>
      <c r="D149" s="138">
        <v>2816.6669999999999</v>
      </c>
      <c r="E149" s="139">
        <v>2817</v>
      </c>
      <c r="F149" s="139"/>
      <c r="G149" s="54">
        <f t="shared" si="78"/>
        <v>-2817</v>
      </c>
      <c r="H149" s="10">
        <f>D149+сентябрь!H149</f>
        <v>20838.457999999999</v>
      </c>
      <c r="I149" s="8">
        <f>E149+сентябрь!I149</f>
        <v>21167.084999999999</v>
      </c>
      <c r="J149" s="183">
        <v>23770</v>
      </c>
      <c r="K149" s="54">
        <f t="shared" si="80"/>
        <v>2602.9150000000009</v>
      </c>
      <c r="L149" s="140"/>
      <c r="M149" s="259"/>
      <c r="N149" s="260"/>
      <c r="O149" s="141">
        <f t="shared" si="58"/>
        <v>2931.5420000000013</v>
      </c>
      <c r="P149" s="142">
        <f t="shared" si="59"/>
        <v>14.067941111573617</v>
      </c>
      <c r="Q149" s="143"/>
      <c r="S149" s="144">
        <f t="shared" si="71"/>
        <v>14083.334999999999</v>
      </c>
      <c r="T149" s="145">
        <f>E149+апр!I143</f>
        <v>2817</v>
      </c>
      <c r="U149" s="146">
        <f>F149+апр!J143</f>
        <v>552</v>
      </c>
    </row>
    <row r="150" spans="1:21" ht="17.25" customHeight="1">
      <c r="A150" s="8"/>
      <c r="B150" s="12" t="s">
        <v>15</v>
      </c>
      <c r="C150" s="13" t="s">
        <v>16</v>
      </c>
      <c r="D150" s="16">
        <f t="shared" ref="D150:F150" si="81">D148/D149*1000</f>
        <v>19.546506562543602</v>
      </c>
      <c r="E150" s="16">
        <f t="shared" si="81"/>
        <v>19.553780617678381</v>
      </c>
      <c r="F150" s="16" t="e">
        <f t="shared" si="81"/>
        <v>#DIV/0!</v>
      </c>
      <c r="G150" s="10" t="e">
        <f t="shared" si="78"/>
        <v>#DIV/0!</v>
      </c>
      <c r="H150" s="16">
        <f t="shared" ref="H150:I150" si="82">H148/H149*1000</f>
        <v>14.14819208611998</v>
      </c>
      <c r="I150" s="16">
        <f t="shared" si="82"/>
        <v>13.935257529210016</v>
      </c>
      <c r="J150" s="16">
        <f>J148/J149*1000</f>
        <v>19.545771981489271</v>
      </c>
      <c r="K150" s="10">
        <f t="shared" si="80"/>
        <v>5.6105144522792543</v>
      </c>
      <c r="L150" s="16"/>
      <c r="M150" s="220"/>
      <c r="N150" s="221"/>
      <c r="O150" s="122">
        <f t="shared" si="58"/>
        <v>5.3975798953692902</v>
      </c>
      <c r="P150" s="123">
        <f t="shared" si="59"/>
        <v>38.150315337212312</v>
      </c>
      <c r="Q150" s="114"/>
      <c r="S150">
        <f t="shared" si="71"/>
        <v>97.732532812718006</v>
      </c>
      <c r="T150" s="44">
        <f>E150+апр!I144</f>
        <v>19.553780617678381</v>
      </c>
      <c r="U150" s="30" t="e">
        <f>F150+апр!J144</f>
        <v>#DIV/0!</v>
      </c>
    </row>
    <row r="151" spans="1:21" ht="32.25" customHeight="1">
      <c r="A151" s="8" t="s">
        <v>134</v>
      </c>
      <c r="B151" s="9" t="s">
        <v>135</v>
      </c>
      <c r="C151" s="8" t="s">
        <v>4</v>
      </c>
      <c r="D151" s="10">
        <v>1914.3579999999999</v>
      </c>
      <c r="E151" s="8">
        <v>1416.4169999999999</v>
      </c>
      <c r="F151" s="54">
        <f>1032.587-F155</f>
        <v>960.43700000000001</v>
      </c>
      <c r="G151" s="10">
        <f t="shared" si="78"/>
        <v>-455.9799999999999</v>
      </c>
      <c r="H151" s="10">
        <f>D151+сентябрь!H151</f>
        <v>19143.579999999998</v>
      </c>
      <c r="I151" s="8">
        <f>E151+сентябрь!I151</f>
        <v>14164.169999999996</v>
      </c>
      <c r="J151" s="183">
        <v>14111.103999999999</v>
      </c>
      <c r="K151" s="10">
        <f t="shared" si="80"/>
        <v>-53.065999999997075</v>
      </c>
      <c r="L151" s="16">
        <f>K151/I151*100</f>
        <v>-0.37464955588641685</v>
      </c>
      <c r="M151" s="227"/>
      <c r="N151" s="228"/>
      <c r="O151" s="122">
        <f>J151-H151</f>
        <v>-5032.4759999999987</v>
      </c>
      <c r="P151" s="123">
        <f>O151/H151*100</f>
        <v>-26.288061062768818</v>
      </c>
      <c r="Q151" s="116">
        <f>6365.162+4070.316+3675.626</f>
        <v>14111.103999999999</v>
      </c>
      <c r="S151">
        <f t="shared" si="71"/>
        <v>9571.7899999999991</v>
      </c>
      <c r="T151" s="44">
        <f>E151+апр!I145</f>
        <v>7082.0849999999991</v>
      </c>
      <c r="U151" s="30">
        <f>F151+апр!J145</f>
        <v>6378.4859999999999</v>
      </c>
    </row>
    <row r="152" spans="1:21" ht="17.25" customHeight="1">
      <c r="A152" s="8" t="s">
        <v>136</v>
      </c>
      <c r="B152" s="9" t="s">
        <v>77</v>
      </c>
      <c r="C152" s="8" t="s">
        <v>4</v>
      </c>
      <c r="D152" s="10">
        <v>105.29</v>
      </c>
      <c r="E152" s="10">
        <v>76.5</v>
      </c>
      <c r="F152" s="55">
        <v>56.03</v>
      </c>
      <c r="G152" s="10">
        <f t="shared" si="78"/>
        <v>-20.47</v>
      </c>
      <c r="H152" s="10">
        <f>D152+сентябрь!H152</f>
        <v>526.45000000000005</v>
      </c>
      <c r="I152" s="8">
        <f>E152+сентябрь!I152</f>
        <v>765</v>
      </c>
      <c r="J152" s="183">
        <f>227.467+370.24+218.088</f>
        <v>815.79499999999996</v>
      </c>
      <c r="K152" s="10">
        <f t="shared" si="80"/>
        <v>50.794999999999959</v>
      </c>
      <c r="L152" s="16">
        <f t="shared" si="57"/>
        <v>6.6398692810457458</v>
      </c>
      <c r="M152" s="227"/>
      <c r="N152" s="228"/>
      <c r="O152" s="122">
        <f t="shared" ref="O152:O216" si="83">J152-H152</f>
        <v>289.34499999999991</v>
      </c>
      <c r="P152" s="123">
        <f t="shared" ref="P152:P216" si="84">O152/H152*100</f>
        <v>54.961534808623782</v>
      </c>
      <c r="Q152" s="116"/>
      <c r="S152">
        <f t="shared" si="71"/>
        <v>526.45000000000005</v>
      </c>
      <c r="T152" s="44">
        <f>E152+апр!I146</f>
        <v>382.5</v>
      </c>
      <c r="U152" s="30">
        <f>F152+апр!J146</f>
        <v>378.44899999999996</v>
      </c>
    </row>
    <row r="153" spans="1:21" ht="17.25" customHeight="1">
      <c r="A153" s="8"/>
      <c r="B153" s="9" t="s">
        <v>307</v>
      </c>
      <c r="C153" s="8" t="s">
        <v>4</v>
      </c>
      <c r="D153" s="10">
        <v>84.231999999999999</v>
      </c>
      <c r="E153" s="10">
        <v>63.75</v>
      </c>
      <c r="F153" s="55">
        <v>32.682000000000002</v>
      </c>
      <c r="G153" s="10">
        <f t="shared" si="78"/>
        <v>-31.067999999999998</v>
      </c>
      <c r="H153" s="10">
        <f>D153+сентябрь!H153</f>
        <v>421.15999999999997</v>
      </c>
      <c r="I153" s="8">
        <f>E153+сентябрь!I153</f>
        <v>637.5</v>
      </c>
      <c r="J153" s="183">
        <f>101.699+166.272+121.78</f>
        <v>389.75099999999998</v>
      </c>
      <c r="K153" s="10">
        <f t="shared" si="80"/>
        <v>-247.74900000000002</v>
      </c>
      <c r="L153" s="16">
        <f t="shared" si="57"/>
        <v>-38.862588235294119</v>
      </c>
      <c r="M153" s="193"/>
      <c r="N153" s="194"/>
      <c r="O153" s="122">
        <f t="shared" si="83"/>
        <v>-31.408999999999992</v>
      </c>
      <c r="P153" s="123">
        <f t="shared" si="84"/>
        <v>-7.457735777376767</v>
      </c>
      <c r="Q153" s="116"/>
      <c r="S153">
        <f t="shared" si="71"/>
        <v>421.15999999999997</v>
      </c>
      <c r="T153" s="44">
        <f>E153+апр!I147</f>
        <v>318.75</v>
      </c>
      <c r="U153" s="30">
        <f>F153+апр!J147</f>
        <v>184.17599999999999</v>
      </c>
    </row>
    <row r="154" spans="1:21" ht="17.25" customHeight="1">
      <c r="A154" s="8"/>
      <c r="B154" s="9" t="s">
        <v>310</v>
      </c>
      <c r="C154" s="8" t="s">
        <v>4</v>
      </c>
      <c r="D154" s="10"/>
      <c r="E154" s="10">
        <v>21.25</v>
      </c>
      <c r="F154" s="55">
        <v>15.488</v>
      </c>
      <c r="G154" s="10">
        <f t="shared" si="78"/>
        <v>-5.7620000000000005</v>
      </c>
      <c r="H154" s="10">
        <f>D154+сентябрь!H154</f>
        <v>387.9</v>
      </c>
      <c r="I154" s="8">
        <f>E154+сентябрь!I154</f>
        <v>191.25</v>
      </c>
      <c r="J154" s="183">
        <f>59.393+77.288+48.119</f>
        <v>184.79999999999998</v>
      </c>
      <c r="K154" s="10">
        <f t="shared" si="80"/>
        <v>-6.4500000000000171</v>
      </c>
      <c r="L154" s="16">
        <f t="shared" si="57"/>
        <v>-3.372549019607852</v>
      </c>
      <c r="M154" s="193"/>
      <c r="N154" s="194"/>
      <c r="O154" s="122">
        <f t="shared" si="83"/>
        <v>-203.1</v>
      </c>
      <c r="P154" s="123">
        <f t="shared" si="84"/>
        <v>-52.358855375096681</v>
      </c>
      <c r="Q154" s="116"/>
      <c r="S154">
        <f t="shared" si="71"/>
        <v>0</v>
      </c>
      <c r="T154" s="44">
        <f>E154+апр!I148</f>
        <v>106.25</v>
      </c>
      <c r="U154" s="30">
        <f>F154+апр!J148</f>
        <v>84.820999999999998</v>
      </c>
    </row>
    <row r="155" spans="1:21" ht="17.25" customHeight="1">
      <c r="A155" s="8"/>
      <c r="B155" s="9" t="s">
        <v>315</v>
      </c>
      <c r="C155" s="8" t="s">
        <v>4</v>
      </c>
      <c r="D155" s="10"/>
      <c r="E155" s="10"/>
      <c r="F155" s="54">
        <f>36.075+36.075</f>
        <v>72.150000000000006</v>
      </c>
      <c r="G155" s="10">
        <f t="shared" si="78"/>
        <v>72.150000000000006</v>
      </c>
      <c r="H155" s="10">
        <f>D155+сентябрь!H155</f>
        <v>1195.7449999999999</v>
      </c>
      <c r="I155" s="8">
        <f>E155+сентябрь!I155</f>
        <v>0</v>
      </c>
      <c r="J155" s="183">
        <f>F155+сентябрь!J155</f>
        <v>283.29000000000008</v>
      </c>
      <c r="K155" s="10"/>
      <c r="L155" s="16"/>
      <c r="M155" s="193"/>
      <c r="N155" s="194"/>
      <c r="O155" s="122">
        <f t="shared" si="83"/>
        <v>-912.45499999999981</v>
      </c>
      <c r="P155" s="123">
        <f t="shared" si="84"/>
        <v>-76.308493867839715</v>
      </c>
      <c r="Q155" s="116"/>
      <c r="S155">
        <f t="shared" si="71"/>
        <v>0</v>
      </c>
      <c r="T155" s="44">
        <f>E155+апр!I149</f>
        <v>0</v>
      </c>
      <c r="U155" s="30">
        <f>F155+апр!J149</f>
        <v>283.29000000000008</v>
      </c>
    </row>
    <row r="156" spans="1:21" ht="17.25" customHeight="1">
      <c r="A156" s="8" t="s">
        <v>137</v>
      </c>
      <c r="B156" s="9" t="s">
        <v>138</v>
      </c>
      <c r="C156" s="8" t="s">
        <v>4</v>
      </c>
      <c r="D156" s="10">
        <v>77.58</v>
      </c>
      <c r="E156" s="8">
        <v>77.582999999999998</v>
      </c>
      <c r="F156" s="55"/>
      <c r="G156" s="10">
        <f t="shared" si="78"/>
        <v>-77.582999999999998</v>
      </c>
      <c r="H156" s="10">
        <f>D156+сентябрь!H156</f>
        <v>431.68999999999994</v>
      </c>
      <c r="I156" s="8">
        <f>E156+сентябрь!I156</f>
        <v>775.82999999999981</v>
      </c>
      <c r="J156" s="183">
        <f>858.463+88.575</f>
        <v>947.03800000000001</v>
      </c>
      <c r="K156" s="10">
        <f t="shared" si="80"/>
        <v>171.2080000000002</v>
      </c>
      <c r="L156" s="16">
        <f t="shared" si="57"/>
        <v>22.067721021357801</v>
      </c>
      <c r="M156" s="227" t="s">
        <v>301</v>
      </c>
      <c r="N156" s="228"/>
      <c r="O156" s="122">
        <f t="shared" si="83"/>
        <v>515.34800000000007</v>
      </c>
      <c r="P156" s="123">
        <f t="shared" si="84"/>
        <v>119.37918413676485</v>
      </c>
      <c r="Q156" s="116"/>
      <c r="S156">
        <f t="shared" si="71"/>
        <v>387.9</v>
      </c>
      <c r="T156" s="44">
        <f>E156+апр!I150</f>
        <v>387.91499999999996</v>
      </c>
      <c r="U156" s="30">
        <f>F156+апр!J150</f>
        <v>562.10500000000002</v>
      </c>
    </row>
    <row r="157" spans="1:21" ht="17.25" customHeight="1">
      <c r="A157" s="196" t="s">
        <v>139</v>
      </c>
      <c r="B157" s="6" t="s">
        <v>140</v>
      </c>
      <c r="C157" s="196" t="s">
        <v>4</v>
      </c>
      <c r="D157" s="7">
        <f t="shared" ref="D157:F157" si="85">D158+D159</f>
        <v>239.149</v>
      </c>
      <c r="E157" s="196">
        <v>47.832999999999998</v>
      </c>
      <c r="F157" s="7">
        <f t="shared" si="85"/>
        <v>61.274999999999999</v>
      </c>
      <c r="G157" s="10">
        <f t="shared" si="78"/>
        <v>13.442</v>
      </c>
      <c r="H157" s="7">
        <f t="shared" ref="H157" si="86">H158+H159</f>
        <v>1334.3049999999998</v>
      </c>
      <c r="I157" s="8">
        <f>E157+сентябрь!I157</f>
        <v>478.32999999999993</v>
      </c>
      <c r="J157" s="7">
        <f t="shared" ref="J157" si="87">J158+J159</f>
        <v>624.64300000000003</v>
      </c>
      <c r="K157" s="10">
        <f t="shared" si="80"/>
        <v>146.3130000000001</v>
      </c>
      <c r="L157" s="16">
        <f t="shared" si="57"/>
        <v>30.588296782556</v>
      </c>
      <c r="M157" s="220"/>
      <c r="N157" s="221"/>
      <c r="O157" s="122">
        <f t="shared" si="83"/>
        <v>-709.66199999999981</v>
      </c>
      <c r="P157" s="123">
        <f t="shared" si="84"/>
        <v>-53.185890782092535</v>
      </c>
      <c r="Q157" s="114"/>
      <c r="S157">
        <f t="shared" si="71"/>
        <v>1195.7449999999999</v>
      </c>
      <c r="T157" s="44">
        <f>E157+апр!I151</f>
        <v>239.16499999999999</v>
      </c>
      <c r="U157" s="30">
        <f>F157+апр!J151</f>
        <v>239.20600000000002</v>
      </c>
    </row>
    <row r="158" spans="1:21" ht="17.25" customHeight="1">
      <c r="A158" s="8" t="s">
        <v>141</v>
      </c>
      <c r="B158" s="9" t="s">
        <v>81</v>
      </c>
      <c r="C158" s="8" t="s">
        <v>4</v>
      </c>
      <c r="D158" s="10">
        <v>8.7579999999999991</v>
      </c>
      <c r="E158" s="8"/>
      <c r="F158" s="55">
        <v>49.3</v>
      </c>
      <c r="G158" s="10">
        <f t="shared" si="78"/>
        <v>49.3</v>
      </c>
      <c r="H158" s="10">
        <f>D158+сентябрь!H158</f>
        <v>113.06999999999998</v>
      </c>
      <c r="I158" s="8"/>
      <c r="J158" s="183">
        <v>504.88900000000001</v>
      </c>
      <c r="K158" s="10">
        <f t="shared" si="80"/>
        <v>504.88900000000001</v>
      </c>
      <c r="L158" s="16"/>
      <c r="M158" s="220"/>
      <c r="N158" s="221"/>
      <c r="O158" s="122">
        <f t="shared" si="83"/>
        <v>391.81900000000002</v>
      </c>
      <c r="P158" s="123">
        <f t="shared" si="84"/>
        <v>346.52781462810657</v>
      </c>
      <c r="Q158" s="114">
        <f>151.331+353.558</f>
        <v>504.88900000000001</v>
      </c>
      <c r="S158">
        <f t="shared" si="71"/>
        <v>43.789999999999992</v>
      </c>
      <c r="T158" s="44">
        <f>E158+апр!I152</f>
        <v>0</v>
      </c>
      <c r="U158" s="30">
        <f>F158+апр!J152</f>
        <v>179.32999999999998</v>
      </c>
    </row>
    <row r="159" spans="1:21" ht="17.25" customHeight="1">
      <c r="A159" s="8" t="s">
        <v>142</v>
      </c>
      <c r="B159" s="9" t="s">
        <v>143</v>
      </c>
      <c r="C159" s="8"/>
      <c r="D159" s="10">
        <v>230.39099999999999</v>
      </c>
      <c r="E159" s="8"/>
      <c r="F159" s="55">
        <v>11.975</v>
      </c>
      <c r="G159" s="10">
        <f t="shared" si="78"/>
        <v>11.975</v>
      </c>
      <c r="H159" s="10">
        <f>D159+сентябрь!H159</f>
        <v>1221.2349999999999</v>
      </c>
      <c r="I159" s="8"/>
      <c r="J159" s="183">
        <v>119.754</v>
      </c>
      <c r="K159" s="10">
        <f t="shared" si="80"/>
        <v>119.754</v>
      </c>
      <c r="L159" s="16"/>
      <c r="M159" s="220"/>
      <c r="N159" s="221"/>
      <c r="O159" s="122">
        <f t="shared" si="83"/>
        <v>-1101.481</v>
      </c>
      <c r="P159" s="123">
        <f t="shared" si="84"/>
        <v>-90.194024901022331</v>
      </c>
      <c r="Q159" s="114">
        <f>83.828+35.926</f>
        <v>119.754</v>
      </c>
      <c r="S159">
        <f t="shared" si="71"/>
        <v>1151.9549999999999</v>
      </c>
      <c r="T159" s="44">
        <f>E159+апр!I153</f>
        <v>0</v>
      </c>
      <c r="U159" s="30">
        <f>F159+апр!J153</f>
        <v>59.876000000000005</v>
      </c>
    </row>
    <row r="160" spans="1:21" ht="75.75" customHeight="1">
      <c r="A160" s="196" t="s">
        <v>144</v>
      </c>
      <c r="B160" s="6" t="s">
        <v>145</v>
      </c>
      <c r="C160" s="196" t="s">
        <v>4</v>
      </c>
      <c r="D160" s="7">
        <f t="shared" ref="D160:J160" si="88">D161</f>
        <v>13.856</v>
      </c>
      <c r="E160" s="7">
        <f t="shared" si="88"/>
        <v>13.833</v>
      </c>
      <c r="F160" s="7">
        <f t="shared" si="88"/>
        <v>20.335999999999999</v>
      </c>
      <c r="G160" s="10">
        <f t="shared" si="78"/>
        <v>6.5029999999999983</v>
      </c>
      <c r="H160" s="7">
        <f t="shared" si="88"/>
        <v>314.41999999999996</v>
      </c>
      <c r="I160" s="7">
        <f t="shared" si="88"/>
        <v>138.33000000000001</v>
      </c>
      <c r="J160" s="7">
        <f t="shared" si="88"/>
        <v>332.59999999999997</v>
      </c>
      <c r="K160" s="10">
        <f t="shared" si="80"/>
        <v>194.26999999999995</v>
      </c>
      <c r="L160" s="16">
        <f t="shared" ref="L160:L209" si="89">K160/I160*100</f>
        <v>140.43952866334124</v>
      </c>
      <c r="M160" s="220"/>
      <c r="N160" s="221"/>
      <c r="O160" s="122">
        <f t="shared" si="83"/>
        <v>18.180000000000007</v>
      </c>
      <c r="P160" s="123">
        <f t="shared" si="84"/>
        <v>5.7820749316201292</v>
      </c>
      <c r="Q160" s="114"/>
      <c r="S160">
        <f t="shared" si="71"/>
        <v>69.28</v>
      </c>
      <c r="T160" s="44">
        <f>E160+апр!I154</f>
        <v>69.165000000000006</v>
      </c>
      <c r="U160" s="30">
        <f>F160+апр!J154</f>
        <v>156.08800000000002</v>
      </c>
    </row>
    <row r="161" spans="1:21" ht="17.25" customHeight="1">
      <c r="A161" s="8" t="s">
        <v>146</v>
      </c>
      <c r="B161" s="9" t="s">
        <v>147</v>
      </c>
      <c r="C161" s="8" t="s">
        <v>4</v>
      </c>
      <c r="D161" s="10">
        <v>13.856</v>
      </c>
      <c r="E161" s="8">
        <v>13.833</v>
      </c>
      <c r="F161" s="55">
        <f>14.875+5.461</f>
        <v>20.335999999999999</v>
      </c>
      <c r="G161" s="10">
        <f t="shared" si="78"/>
        <v>6.5029999999999983</v>
      </c>
      <c r="H161" s="10">
        <f>D161+сентябрь!H161</f>
        <v>314.41999999999996</v>
      </c>
      <c r="I161" s="8">
        <f>E161+сентябрь!I161</f>
        <v>138.33000000000001</v>
      </c>
      <c r="J161" s="183">
        <f>315.063+17.537</f>
        <v>332.59999999999997</v>
      </c>
      <c r="K161" s="10">
        <f t="shared" si="80"/>
        <v>194.26999999999995</v>
      </c>
      <c r="L161" s="16">
        <f t="shared" si="89"/>
        <v>140.43952866334124</v>
      </c>
      <c r="M161" s="220"/>
      <c r="N161" s="221"/>
      <c r="O161" s="122">
        <f t="shared" si="83"/>
        <v>18.180000000000007</v>
      </c>
      <c r="P161" s="123">
        <f t="shared" si="84"/>
        <v>5.7820749316201292</v>
      </c>
      <c r="Q161" s="114">
        <f>14.875+16.64+15.725+41.096+191.653+35.074</f>
        <v>315.06299999999999</v>
      </c>
      <c r="S161">
        <f t="shared" si="71"/>
        <v>69.28</v>
      </c>
      <c r="T161" s="44">
        <f>E161+апр!I155</f>
        <v>69.165000000000006</v>
      </c>
      <c r="U161" s="30">
        <f>F161+апр!J155</f>
        <v>156.08800000000002</v>
      </c>
    </row>
    <row r="162" spans="1:21" ht="18" customHeight="1">
      <c r="A162" s="196" t="s">
        <v>148</v>
      </c>
      <c r="B162" s="6" t="s">
        <v>149</v>
      </c>
      <c r="C162" s="196" t="s">
        <v>4</v>
      </c>
      <c r="D162" s="27">
        <f t="shared" ref="D162" si="90">D163+D166+D169+D172+D175</f>
        <v>71.188999999999993</v>
      </c>
      <c r="E162" s="196">
        <v>72.417000000000002</v>
      </c>
      <c r="F162" s="27">
        <f>F163+F166+F169+F172+F175</f>
        <v>51.975999999999999</v>
      </c>
      <c r="G162" s="10">
        <f t="shared" si="78"/>
        <v>-20.441000000000003</v>
      </c>
      <c r="H162" s="27">
        <f>H163+H166+H169+H172+H175</f>
        <v>3131.876666666667</v>
      </c>
      <c r="I162" s="8">
        <f>E162+сентябрь!I162</f>
        <v>724.17000000000019</v>
      </c>
      <c r="J162" s="27">
        <f>J163+J166+J169+J172+J175</f>
        <v>660.08600000000001</v>
      </c>
      <c r="K162" s="10">
        <f t="shared" si="80"/>
        <v>-64.084000000000174</v>
      </c>
      <c r="L162" s="16">
        <f t="shared" si="89"/>
        <v>-8.8493033403758989</v>
      </c>
      <c r="M162" s="220"/>
      <c r="N162" s="221"/>
      <c r="O162" s="122">
        <f t="shared" si="83"/>
        <v>-2471.7906666666668</v>
      </c>
      <c r="P162" s="123">
        <f t="shared" si="84"/>
        <v>-78.923627260758451</v>
      </c>
      <c r="Q162" s="114"/>
      <c r="S162">
        <f t="shared" si="71"/>
        <v>355.94499999999994</v>
      </c>
      <c r="T162" s="44">
        <f>E162+апр!I156</f>
        <v>362.08500000000004</v>
      </c>
      <c r="U162" s="30">
        <f>F162+апр!J156</f>
        <v>577.89400000000001</v>
      </c>
    </row>
    <row r="163" spans="1:21" ht="17.25" customHeight="1">
      <c r="A163" s="8" t="s">
        <v>150</v>
      </c>
      <c r="B163" s="9" t="s">
        <v>151</v>
      </c>
      <c r="C163" s="8" t="s">
        <v>4</v>
      </c>
      <c r="D163" s="10">
        <v>49.027999999999999</v>
      </c>
      <c r="E163" s="8"/>
      <c r="F163" s="8">
        <v>38.445999999999998</v>
      </c>
      <c r="G163" s="10">
        <f t="shared" si="78"/>
        <v>38.445999999999998</v>
      </c>
      <c r="H163" s="10">
        <f>D163+сентябрь!H163</f>
        <v>490.28000000000009</v>
      </c>
      <c r="I163" s="8"/>
      <c r="J163" s="183">
        <f>сентябрь!J163+октябрь!F163</f>
        <v>522.42200000000003</v>
      </c>
      <c r="K163" s="10">
        <f t="shared" si="80"/>
        <v>522.42200000000003</v>
      </c>
      <c r="L163" s="16"/>
      <c r="M163" s="220"/>
      <c r="N163" s="221"/>
      <c r="O163" s="122">
        <f t="shared" si="83"/>
        <v>32.141999999999939</v>
      </c>
      <c r="P163" s="123">
        <f t="shared" si="84"/>
        <v>6.5558456392265514</v>
      </c>
      <c r="Q163" s="114"/>
      <c r="S163">
        <f t="shared" si="71"/>
        <v>245.14</v>
      </c>
      <c r="T163" s="44">
        <f>E163+апр!I157</f>
        <v>0</v>
      </c>
      <c r="U163" s="30">
        <f>F163+апр!J157</f>
        <v>522.42200000000003</v>
      </c>
    </row>
    <row r="164" spans="1:21" ht="17.25" customHeight="1">
      <c r="A164" s="8"/>
      <c r="B164" s="28" t="s">
        <v>13</v>
      </c>
      <c r="C164" s="8" t="s">
        <v>152</v>
      </c>
      <c r="D164" s="10">
        <v>13.144</v>
      </c>
      <c r="E164" s="8"/>
      <c r="F164" s="8"/>
      <c r="G164" s="10">
        <f t="shared" si="78"/>
        <v>0</v>
      </c>
      <c r="H164" s="10">
        <f>D164+сентябрь!H164</f>
        <v>70.334999999999994</v>
      </c>
      <c r="I164" s="8"/>
      <c r="J164" s="10">
        <f>F164+сентябрь!J164</f>
        <v>81.87</v>
      </c>
      <c r="K164" s="10">
        <f t="shared" si="80"/>
        <v>81.87</v>
      </c>
      <c r="L164" s="16"/>
      <c r="M164" s="227" t="s">
        <v>302</v>
      </c>
      <c r="N164" s="228"/>
      <c r="O164" s="122">
        <f t="shared" si="83"/>
        <v>11.535000000000011</v>
      </c>
      <c r="P164" s="123">
        <f t="shared" si="84"/>
        <v>16.400085306035418</v>
      </c>
      <c r="Q164" s="116"/>
      <c r="S164">
        <f t="shared" si="71"/>
        <v>65.72</v>
      </c>
      <c r="T164" s="44">
        <f>E164+апр!I158</f>
        <v>0</v>
      </c>
      <c r="U164" s="30">
        <f>F164+апр!J158</f>
        <v>81.87</v>
      </c>
    </row>
    <row r="165" spans="1:21" ht="17.25" customHeight="1">
      <c r="A165" s="8"/>
      <c r="B165" s="28" t="s">
        <v>15</v>
      </c>
      <c r="C165" s="8" t="s">
        <v>16</v>
      </c>
      <c r="D165" s="16">
        <f>D163/D164*1000</f>
        <v>3730.0669506999393</v>
      </c>
      <c r="E165" s="16"/>
      <c r="F165" s="16" t="e">
        <f>F163/F164*1000</f>
        <v>#DIV/0!</v>
      </c>
      <c r="G165" s="10" t="e">
        <f t="shared" si="78"/>
        <v>#DIV/0!</v>
      </c>
      <c r="H165" s="16">
        <f>H163/H164*1000</f>
        <v>6970.640506149145</v>
      </c>
      <c r="I165" s="8"/>
      <c r="J165" s="16">
        <f>J163/J164*1000</f>
        <v>6381.1164040552094</v>
      </c>
      <c r="K165" s="10">
        <f t="shared" si="80"/>
        <v>6381.1164040552094</v>
      </c>
      <c r="L165" s="16"/>
      <c r="M165" s="220"/>
      <c r="N165" s="221"/>
      <c r="O165" s="122">
        <f t="shared" si="83"/>
        <v>-589.52410209393565</v>
      </c>
      <c r="P165" s="123">
        <f t="shared" si="84"/>
        <v>-8.4572443748015331</v>
      </c>
      <c r="Q165" s="114"/>
      <c r="S165">
        <f t="shared" si="71"/>
        <v>18650.334753499697</v>
      </c>
      <c r="T165" s="44">
        <f>E165+апр!I159</f>
        <v>0</v>
      </c>
      <c r="U165" s="30" t="e">
        <f>F165+апр!J159</f>
        <v>#DIV/0!</v>
      </c>
    </row>
    <row r="166" spans="1:21" ht="17.25" customHeight="1">
      <c r="A166" s="8" t="s">
        <v>153</v>
      </c>
      <c r="B166" s="9" t="s">
        <v>154</v>
      </c>
      <c r="C166" s="8" t="s">
        <v>4</v>
      </c>
      <c r="D166" s="10">
        <v>0.92300000000000004</v>
      </c>
      <c r="E166" s="8"/>
      <c r="F166" s="8"/>
      <c r="G166" s="10">
        <f t="shared" si="78"/>
        <v>0</v>
      </c>
      <c r="H166" s="10">
        <f>D166+сентябрь!H166</f>
        <v>1235.2816666666668</v>
      </c>
      <c r="I166" s="8"/>
      <c r="J166" s="54">
        <f>F166+сентябрь!J166</f>
        <v>0</v>
      </c>
      <c r="K166" s="10">
        <f t="shared" si="80"/>
        <v>0</v>
      </c>
      <c r="L166" s="16"/>
      <c r="M166" s="220"/>
      <c r="N166" s="221"/>
      <c r="O166" s="122">
        <f t="shared" si="83"/>
        <v>-1235.2816666666668</v>
      </c>
      <c r="P166" s="123">
        <f t="shared" si="84"/>
        <v>-100</v>
      </c>
      <c r="Q166" s="114"/>
      <c r="S166">
        <f t="shared" si="71"/>
        <v>4.6150000000000002</v>
      </c>
      <c r="T166" s="44">
        <f>E166+апр!I160</f>
        <v>0</v>
      </c>
      <c r="U166" s="30">
        <f>F166+апр!J160</f>
        <v>0</v>
      </c>
    </row>
    <row r="167" spans="1:21" ht="17.25" customHeight="1">
      <c r="A167" s="8"/>
      <c r="B167" s="28" t="s">
        <v>13</v>
      </c>
      <c r="C167" s="8" t="s">
        <v>155</v>
      </c>
      <c r="D167" s="10">
        <v>0.75</v>
      </c>
      <c r="E167" s="8"/>
      <c r="F167" s="8"/>
      <c r="G167" s="10">
        <f t="shared" si="78"/>
        <v>0</v>
      </c>
      <c r="H167" s="10">
        <f>D167+сентябрь!H167</f>
        <v>14.65</v>
      </c>
      <c r="I167" s="8"/>
      <c r="J167" s="54">
        <f>F167+сентябрь!J167</f>
        <v>0</v>
      </c>
      <c r="K167" s="10">
        <f t="shared" si="80"/>
        <v>0</v>
      </c>
      <c r="L167" s="16"/>
      <c r="M167" s="220"/>
      <c r="N167" s="221"/>
      <c r="O167" s="122">
        <f t="shared" si="83"/>
        <v>-14.65</v>
      </c>
      <c r="P167" s="123">
        <f t="shared" si="84"/>
        <v>-100</v>
      </c>
      <c r="Q167" s="114"/>
      <c r="S167">
        <f t="shared" si="71"/>
        <v>3.75</v>
      </c>
      <c r="T167" s="44">
        <f>E167+апр!I161</f>
        <v>0</v>
      </c>
      <c r="U167" s="30">
        <f>F167+апр!J161</f>
        <v>0</v>
      </c>
    </row>
    <row r="168" spans="1:21" ht="17.25" customHeight="1">
      <c r="A168" s="8"/>
      <c r="B168" s="28" t="s">
        <v>15</v>
      </c>
      <c r="C168" s="8" t="s">
        <v>16</v>
      </c>
      <c r="D168" s="16">
        <f>D166/D167*1000</f>
        <v>1230.6666666666667</v>
      </c>
      <c r="E168" s="8"/>
      <c r="F168" s="8"/>
      <c r="G168" s="10">
        <f t="shared" si="78"/>
        <v>0</v>
      </c>
      <c r="H168" s="16">
        <f>H166/H167*1000</f>
        <v>84319.567690557451</v>
      </c>
      <c r="I168" s="8"/>
      <c r="J168" s="8"/>
      <c r="K168" s="10">
        <f t="shared" si="80"/>
        <v>0</v>
      </c>
      <c r="L168" s="16"/>
      <c r="M168" s="220"/>
      <c r="N168" s="221"/>
      <c r="O168" s="122">
        <f t="shared" si="83"/>
        <v>-84319.567690557451</v>
      </c>
      <c r="P168" s="123">
        <f t="shared" si="84"/>
        <v>-100</v>
      </c>
      <c r="Q168" s="114"/>
      <c r="S168">
        <f t="shared" si="71"/>
        <v>6153.3333333333339</v>
      </c>
      <c r="T168" s="44">
        <f>E168+апр!I162</f>
        <v>0</v>
      </c>
      <c r="U168" s="30">
        <f>F168+апр!J162</f>
        <v>0</v>
      </c>
    </row>
    <row r="169" spans="1:21" ht="17.25" customHeight="1">
      <c r="A169" s="8" t="s">
        <v>156</v>
      </c>
      <c r="B169" s="9" t="s">
        <v>157</v>
      </c>
      <c r="C169" s="8" t="s">
        <v>4</v>
      </c>
      <c r="D169" s="10">
        <v>2.1800000000000002</v>
      </c>
      <c r="E169" s="8"/>
      <c r="F169" s="55">
        <v>1.575</v>
      </c>
      <c r="G169" s="10">
        <f t="shared" si="78"/>
        <v>1.575</v>
      </c>
      <c r="H169" s="10">
        <f>D169+сентябрь!H169</f>
        <v>119.90000000000003</v>
      </c>
      <c r="I169" s="8"/>
      <c r="J169" s="183">
        <f>4.855+19.627</f>
        <v>24.481999999999999</v>
      </c>
      <c r="K169" s="10">
        <f t="shared" si="80"/>
        <v>24.481999999999999</v>
      </c>
      <c r="L169" s="16"/>
      <c r="M169" s="220"/>
      <c r="N169" s="221"/>
      <c r="O169" s="122">
        <f t="shared" si="83"/>
        <v>-95.418000000000035</v>
      </c>
      <c r="P169" s="123">
        <f t="shared" si="84"/>
        <v>-79.581317764803998</v>
      </c>
      <c r="Q169" s="114"/>
      <c r="S169">
        <f t="shared" si="71"/>
        <v>10.9</v>
      </c>
      <c r="T169" s="44">
        <f>E169+апр!I163</f>
        <v>0</v>
      </c>
      <c r="U169" s="30">
        <f>F169+апр!J163</f>
        <v>14.377999999999998</v>
      </c>
    </row>
    <row r="170" spans="1:21" ht="17.25" customHeight="1">
      <c r="A170" s="8"/>
      <c r="B170" s="28" t="s">
        <v>13</v>
      </c>
      <c r="C170" s="8" t="s">
        <v>155</v>
      </c>
      <c r="D170" s="14">
        <v>20</v>
      </c>
      <c r="E170" s="8"/>
      <c r="F170" s="8"/>
      <c r="G170" s="10">
        <f t="shared" si="78"/>
        <v>0</v>
      </c>
      <c r="H170" s="10">
        <f>D170+сентябрь!H170</f>
        <v>195.29</v>
      </c>
      <c r="I170" s="8"/>
      <c r="J170" s="54">
        <f>F170+сентябрь!J170</f>
        <v>99</v>
      </c>
      <c r="K170" s="10">
        <f t="shared" si="80"/>
        <v>99</v>
      </c>
      <c r="L170" s="16"/>
      <c r="M170" s="220"/>
      <c r="N170" s="221"/>
      <c r="O170" s="122">
        <f t="shared" si="83"/>
        <v>-96.289999999999992</v>
      </c>
      <c r="P170" s="123">
        <f t="shared" si="84"/>
        <v>-49.306160069640022</v>
      </c>
      <c r="Q170" s="114"/>
      <c r="S170">
        <f t="shared" si="71"/>
        <v>100</v>
      </c>
      <c r="T170" s="44">
        <f>E170+апр!I164</f>
        <v>0</v>
      </c>
      <c r="U170" s="30">
        <f>F170+апр!J164</f>
        <v>99</v>
      </c>
    </row>
    <row r="171" spans="1:21" ht="17.25" customHeight="1">
      <c r="A171" s="8"/>
      <c r="B171" s="28" t="s">
        <v>15</v>
      </c>
      <c r="C171" s="8" t="s">
        <v>16</v>
      </c>
      <c r="D171" s="16">
        <f>D169/D170*1000</f>
        <v>109.00000000000001</v>
      </c>
      <c r="E171" s="16"/>
      <c r="F171" s="16" t="e">
        <f t="shared" ref="F171" si="91">F169/F170*1000</f>
        <v>#DIV/0!</v>
      </c>
      <c r="G171" s="10" t="e">
        <f t="shared" si="78"/>
        <v>#DIV/0!</v>
      </c>
      <c r="H171" s="16">
        <f>H169/H170*1000</f>
        <v>613.95872804547105</v>
      </c>
      <c r="I171" s="8"/>
      <c r="J171" s="16">
        <f t="shared" ref="J171" si="92">J169/J170*1000</f>
        <v>247.29292929292927</v>
      </c>
      <c r="K171" s="10">
        <f t="shared" si="80"/>
        <v>247.29292929292927</v>
      </c>
      <c r="L171" s="16"/>
      <c r="M171" s="220"/>
      <c r="N171" s="221"/>
      <c r="O171" s="122">
        <f t="shared" si="83"/>
        <v>-366.66579875254178</v>
      </c>
      <c r="P171" s="123">
        <f t="shared" si="84"/>
        <v>-59.721571174632068</v>
      </c>
      <c r="Q171" s="114"/>
      <c r="S171">
        <f t="shared" si="71"/>
        <v>545.00000000000011</v>
      </c>
      <c r="T171" s="44">
        <f>E171+апр!I165</f>
        <v>0</v>
      </c>
      <c r="U171" s="30" t="e">
        <f>F171+апр!J165</f>
        <v>#DIV/0!</v>
      </c>
    </row>
    <row r="172" spans="1:21" ht="17.25" customHeight="1">
      <c r="A172" s="8" t="s">
        <v>158</v>
      </c>
      <c r="B172" s="9" t="s">
        <v>159</v>
      </c>
      <c r="C172" s="8" t="s">
        <v>4</v>
      </c>
      <c r="D172" s="10">
        <v>19.058</v>
      </c>
      <c r="E172" s="8"/>
      <c r="F172" s="54">
        <v>11.1</v>
      </c>
      <c r="G172" s="10">
        <f t="shared" si="78"/>
        <v>11.1</v>
      </c>
      <c r="H172" s="10">
        <f>D172+сентябрь!H172</f>
        <v>1286.415</v>
      </c>
      <c r="I172" s="8"/>
      <c r="J172" s="183">
        <f>66.6+33.3</f>
        <v>99.899999999999991</v>
      </c>
      <c r="K172" s="10">
        <f t="shared" si="80"/>
        <v>99.899999999999991</v>
      </c>
      <c r="L172" s="16"/>
      <c r="M172" s="220"/>
      <c r="N172" s="221"/>
      <c r="O172" s="122">
        <f t="shared" si="83"/>
        <v>-1186.5149999999999</v>
      </c>
      <c r="P172" s="123">
        <f t="shared" si="84"/>
        <v>-92.234232343372852</v>
      </c>
      <c r="Q172" s="114"/>
      <c r="S172">
        <f t="shared" si="71"/>
        <v>95.289999999999992</v>
      </c>
      <c r="T172" s="44">
        <f>E172+апр!I166</f>
        <v>0</v>
      </c>
      <c r="U172" s="30">
        <f>F172+апр!J166</f>
        <v>33.299999999999997</v>
      </c>
    </row>
    <row r="173" spans="1:21" ht="17.25" customHeight="1">
      <c r="A173" s="8"/>
      <c r="B173" s="28" t="s">
        <v>13</v>
      </c>
      <c r="C173" s="8" t="s">
        <v>155</v>
      </c>
      <c r="D173" s="14">
        <v>16</v>
      </c>
      <c r="E173" s="8"/>
      <c r="F173" s="8"/>
      <c r="G173" s="10">
        <f t="shared" si="78"/>
        <v>0</v>
      </c>
      <c r="H173" s="10">
        <f>D173+сентябрь!H173</f>
        <v>80</v>
      </c>
      <c r="I173" s="8"/>
      <c r="J173" s="54">
        <f>F173+сентябрь!J173</f>
        <v>6</v>
      </c>
      <c r="K173" s="10">
        <f t="shared" si="80"/>
        <v>6</v>
      </c>
      <c r="L173" s="16"/>
      <c r="M173" s="220"/>
      <c r="N173" s="221"/>
      <c r="O173" s="122">
        <f t="shared" si="83"/>
        <v>-74</v>
      </c>
      <c r="P173" s="123">
        <f t="shared" si="84"/>
        <v>-92.5</v>
      </c>
      <c r="Q173" s="114"/>
      <c r="S173">
        <f t="shared" si="71"/>
        <v>80</v>
      </c>
      <c r="T173" s="44">
        <f>E173+апр!I167</f>
        <v>0</v>
      </c>
      <c r="U173" s="30">
        <f>F173+апр!J167</f>
        <v>6</v>
      </c>
    </row>
    <row r="174" spans="1:21" ht="17.25" customHeight="1">
      <c r="A174" s="8"/>
      <c r="B174" s="28" t="s">
        <v>15</v>
      </c>
      <c r="C174" s="8" t="s">
        <v>16</v>
      </c>
      <c r="D174" s="16">
        <f>D172/D173*1000</f>
        <v>1191.125</v>
      </c>
      <c r="E174" s="8"/>
      <c r="F174" s="16" t="e">
        <f>F172/F173*1000</f>
        <v>#DIV/0!</v>
      </c>
      <c r="G174" s="10" t="e">
        <f t="shared" si="78"/>
        <v>#DIV/0!</v>
      </c>
      <c r="H174" s="16">
        <f>H172/H173*1000</f>
        <v>16080.187500000002</v>
      </c>
      <c r="I174" s="8"/>
      <c r="J174" s="16">
        <f>J172/J173*1000</f>
        <v>16650</v>
      </c>
      <c r="K174" s="10">
        <f t="shared" si="80"/>
        <v>16650</v>
      </c>
      <c r="L174" s="16"/>
      <c r="M174" s="220"/>
      <c r="N174" s="221"/>
      <c r="O174" s="122">
        <f t="shared" si="83"/>
        <v>569.81249999999818</v>
      </c>
      <c r="P174" s="123">
        <f t="shared" si="84"/>
        <v>3.543568755028498</v>
      </c>
      <c r="Q174" s="114"/>
      <c r="S174">
        <f t="shared" si="71"/>
        <v>5955.625</v>
      </c>
      <c r="T174" s="44">
        <f>E174+апр!I168</f>
        <v>0</v>
      </c>
      <c r="U174" s="30" t="e">
        <f>F174+апр!J168</f>
        <v>#DIV/0!</v>
      </c>
    </row>
    <row r="175" spans="1:21" ht="17.25" customHeight="1">
      <c r="A175" s="8" t="s">
        <v>158</v>
      </c>
      <c r="B175" s="9" t="s">
        <v>224</v>
      </c>
      <c r="C175" s="8" t="s">
        <v>4</v>
      </c>
      <c r="D175" s="10">
        <v>0</v>
      </c>
      <c r="E175" s="8"/>
      <c r="F175" s="55">
        <v>0.85499999999999998</v>
      </c>
      <c r="G175" s="10">
        <f t="shared" si="78"/>
        <v>0.85499999999999998</v>
      </c>
      <c r="H175" s="10">
        <f>D175+сентябрь!H175</f>
        <v>0</v>
      </c>
      <c r="I175" s="8"/>
      <c r="J175" s="183">
        <f>2.637+10.645</f>
        <v>13.282</v>
      </c>
      <c r="K175" s="10">
        <f t="shared" si="80"/>
        <v>13.282</v>
      </c>
      <c r="L175" s="16"/>
      <c r="M175" s="220"/>
      <c r="N175" s="221"/>
      <c r="O175" s="122">
        <f t="shared" si="83"/>
        <v>13.282</v>
      </c>
      <c r="P175" s="123" t="e">
        <f t="shared" si="84"/>
        <v>#DIV/0!</v>
      </c>
      <c r="Q175" s="114"/>
      <c r="S175">
        <f t="shared" si="71"/>
        <v>0</v>
      </c>
      <c r="T175" s="44">
        <f>E175+апр!I169</f>
        <v>0</v>
      </c>
      <c r="U175" s="30">
        <f>F175+апр!J169</f>
        <v>7.7940000000000005</v>
      </c>
    </row>
    <row r="176" spans="1:21" ht="17.25" customHeight="1">
      <c r="A176" s="8"/>
      <c r="B176" s="28" t="s">
        <v>13</v>
      </c>
      <c r="C176" s="8" t="s">
        <v>155</v>
      </c>
      <c r="D176" s="14">
        <v>0</v>
      </c>
      <c r="E176" s="8"/>
      <c r="F176" s="8"/>
      <c r="G176" s="10">
        <f t="shared" si="78"/>
        <v>0</v>
      </c>
      <c r="H176" s="10">
        <f>D176+сентябрь!H176</f>
        <v>0</v>
      </c>
      <c r="I176" s="8"/>
      <c r="J176" s="54">
        <f>F176+сентябрь!J176</f>
        <v>99</v>
      </c>
      <c r="K176" s="10">
        <f t="shared" si="80"/>
        <v>99</v>
      </c>
      <c r="L176" s="16"/>
      <c r="M176" s="220"/>
      <c r="N176" s="221"/>
      <c r="O176" s="122">
        <f t="shared" si="83"/>
        <v>99</v>
      </c>
      <c r="P176" s="123" t="e">
        <f t="shared" si="84"/>
        <v>#DIV/0!</v>
      </c>
      <c r="Q176" s="114"/>
      <c r="S176">
        <f t="shared" si="71"/>
        <v>0</v>
      </c>
      <c r="T176" s="44">
        <f>E176+апр!I170</f>
        <v>0</v>
      </c>
      <c r="U176" s="30">
        <f>F176+апр!J170</f>
        <v>99</v>
      </c>
    </row>
    <row r="177" spans="1:21" ht="17.25" customHeight="1">
      <c r="A177" s="8"/>
      <c r="B177" s="28" t="s">
        <v>15</v>
      </c>
      <c r="C177" s="8" t="s">
        <v>16</v>
      </c>
      <c r="D177" s="16" t="e">
        <f>D175/D176*1000</f>
        <v>#DIV/0!</v>
      </c>
      <c r="E177" s="8"/>
      <c r="F177" s="16" t="e">
        <f>F175/F176*1000</f>
        <v>#DIV/0!</v>
      </c>
      <c r="G177" s="10" t="e">
        <f t="shared" si="78"/>
        <v>#DIV/0!</v>
      </c>
      <c r="H177" s="16" t="e">
        <f>H175/H176*1000</f>
        <v>#DIV/0!</v>
      </c>
      <c r="I177" s="8"/>
      <c r="J177" s="16">
        <f>J175/J176*1000</f>
        <v>134.16161616161614</v>
      </c>
      <c r="K177" s="10">
        <f t="shared" si="80"/>
        <v>134.16161616161614</v>
      </c>
      <c r="L177" s="16"/>
      <c r="M177" s="220"/>
      <c r="N177" s="221"/>
      <c r="O177" s="122" t="e">
        <f t="shared" si="83"/>
        <v>#DIV/0!</v>
      </c>
      <c r="P177" s="123" t="e">
        <f t="shared" si="84"/>
        <v>#DIV/0!</v>
      </c>
      <c r="Q177" s="114"/>
      <c r="S177" t="e">
        <f t="shared" si="71"/>
        <v>#DIV/0!</v>
      </c>
      <c r="T177" s="44">
        <f>E177+апр!I171</f>
        <v>0</v>
      </c>
      <c r="U177" s="30" t="e">
        <f>F177+апр!J171</f>
        <v>#DIV/0!</v>
      </c>
    </row>
    <row r="178" spans="1:21" ht="17.25" customHeight="1">
      <c r="A178" s="16" t="s">
        <v>160</v>
      </c>
      <c r="B178" s="9" t="s">
        <v>108</v>
      </c>
      <c r="C178" s="8" t="s">
        <v>4</v>
      </c>
      <c r="D178" s="10">
        <v>62.704999999999998</v>
      </c>
      <c r="E178" s="8">
        <v>62.667000000000002</v>
      </c>
      <c r="F178" s="10">
        <f>F179+F180+F181</f>
        <v>141.76999999999998</v>
      </c>
      <c r="G178" s="10">
        <f t="shared" si="78"/>
        <v>79.10299999999998</v>
      </c>
      <c r="H178" s="10">
        <f>D178+сентябрь!H178</f>
        <v>627.04999999999995</v>
      </c>
      <c r="I178" s="8">
        <f>E178+сентябрь!I178</f>
        <v>626.67000000000019</v>
      </c>
      <c r="J178" s="8">
        <f>J179+J180+J181</f>
        <v>738.92100000000005</v>
      </c>
      <c r="K178" s="10">
        <f t="shared" si="80"/>
        <v>112.25099999999986</v>
      </c>
      <c r="L178" s="16">
        <f t="shared" si="89"/>
        <v>17.912298338838596</v>
      </c>
      <c r="M178" s="220"/>
      <c r="N178" s="221"/>
      <c r="O178" s="122">
        <f t="shared" si="83"/>
        <v>111.87100000000009</v>
      </c>
      <c r="P178" s="123">
        <f t="shared" si="84"/>
        <v>17.840842038114999</v>
      </c>
      <c r="Q178" s="114"/>
      <c r="S178">
        <f t="shared" si="71"/>
        <v>313.52499999999998</v>
      </c>
      <c r="T178" s="44">
        <f>E178+апр!I172</f>
        <v>313.33500000000004</v>
      </c>
      <c r="U178" s="30">
        <f>F178+апр!J172</f>
        <v>402.32100000000003</v>
      </c>
    </row>
    <row r="179" spans="1:21" ht="17.25" customHeight="1">
      <c r="A179" s="16"/>
      <c r="B179" s="9" t="s">
        <v>221</v>
      </c>
      <c r="C179" s="8" t="s">
        <v>4</v>
      </c>
      <c r="D179" s="10"/>
      <c r="E179" s="8"/>
      <c r="F179" s="54">
        <v>81.77</v>
      </c>
      <c r="G179" s="10">
        <f t="shared" si="78"/>
        <v>81.77</v>
      </c>
      <c r="H179" s="10">
        <f>D179+сентябрь!H179</f>
        <v>0</v>
      </c>
      <c r="I179" s="8"/>
      <c r="J179" s="183">
        <f>129.87+379.99+19.24</f>
        <v>529.1</v>
      </c>
      <c r="K179" s="10">
        <f t="shared" si="80"/>
        <v>529.1</v>
      </c>
      <c r="L179" s="16"/>
      <c r="M179" s="220"/>
      <c r="N179" s="221"/>
      <c r="O179" s="122">
        <f t="shared" si="83"/>
        <v>529.1</v>
      </c>
      <c r="P179" s="123" t="e">
        <f t="shared" si="84"/>
        <v>#DIV/0!</v>
      </c>
      <c r="Q179" s="114"/>
      <c r="S179">
        <f t="shared" si="71"/>
        <v>0</v>
      </c>
      <c r="T179" s="44">
        <f>E179+апр!I173</f>
        <v>0</v>
      </c>
      <c r="U179" s="30">
        <f>F179+апр!J173</f>
        <v>240.5</v>
      </c>
    </row>
    <row r="180" spans="1:21" ht="37.5" customHeight="1">
      <c r="A180" s="16"/>
      <c r="B180" s="9" t="s">
        <v>222</v>
      </c>
      <c r="C180" s="8" t="s">
        <v>4</v>
      </c>
      <c r="D180" s="10"/>
      <c r="E180" s="8"/>
      <c r="F180" s="54">
        <v>60</v>
      </c>
      <c r="G180" s="10">
        <f t="shared" si="78"/>
        <v>60</v>
      </c>
      <c r="H180" s="10">
        <f>D180+сентябрь!H180</f>
        <v>324.53000000000003</v>
      </c>
      <c r="I180" s="8"/>
      <c r="J180" s="183">
        <f>72+137.821</f>
        <v>209.821</v>
      </c>
      <c r="K180" s="10">
        <f t="shared" si="80"/>
        <v>209.821</v>
      </c>
      <c r="L180" s="16"/>
      <c r="M180" s="220"/>
      <c r="N180" s="221"/>
      <c r="O180" s="122">
        <f t="shared" si="83"/>
        <v>-114.70900000000003</v>
      </c>
      <c r="P180" s="123">
        <f t="shared" si="84"/>
        <v>-35.346192955967098</v>
      </c>
      <c r="Q180" s="114"/>
      <c r="S180">
        <f t="shared" si="71"/>
        <v>0</v>
      </c>
      <c r="T180" s="44">
        <f>E180+апр!I174</f>
        <v>0</v>
      </c>
      <c r="U180" s="30">
        <f>F180+апр!J174</f>
        <v>161.821</v>
      </c>
    </row>
    <row r="181" spans="1:21" ht="18.75" customHeight="1">
      <c r="A181" s="16"/>
      <c r="B181" s="9" t="s">
        <v>223</v>
      </c>
      <c r="C181" s="8" t="s">
        <v>4</v>
      </c>
      <c r="D181" s="10"/>
      <c r="E181" s="8"/>
      <c r="F181" s="8"/>
      <c r="G181" s="10">
        <f t="shared" si="78"/>
        <v>0</v>
      </c>
      <c r="H181" s="10">
        <f>D181+сентябрь!H181</f>
        <v>11.165000000000001</v>
      </c>
      <c r="I181" s="8"/>
      <c r="J181" s="54">
        <f>F181+сентябрь!J181</f>
        <v>0</v>
      </c>
      <c r="K181" s="10">
        <f t="shared" si="80"/>
        <v>0</v>
      </c>
      <c r="L181" s="16"/>
      <c r="M181" s="220"/>
      <c r="N181" s="221"/>
      <c r="O181" s="122">
        <f t="shared" si="83"/>
        <v>-11.165000000000001</v>
      </c>
      <c r="P181" s="123">
        <f t="shared" si="84"/>
        <v>-100</v>
      </c>
      <c r="Q181" s="114"/>
      <c r="S181">
        <f t="shared" si="71"/>
        <v>0</v>
      </c>
      <c r="T181" s="44">
        <f>E181+апр!I175</f>
        <v>0</v>
      </c>
      <c r="U181" s="30">
        <f>F181+апр!J175</f>
        <v>0</v>
      </c>
    </row>
    <row r="182" spans="1:21" ht="18.75">
      <c r="A182" s="16" t="s">
        <v>161</v>
      </c>
      <c r="B182" s="9" t="s">
        <v>162</v>
      </c>
      <c r="C182" s="8" t="s">
        <v>4</v>
      </c>
      <c r="D182" s="10">
        <v>64.906000000000006</v>
      </c>
      <c r="E182" s="8">
        <v>64.917000000000002</v>
      </c>
      <c r="F182" s="8">
        <f>8.554+19.136+6.606+19.437+13.125</f>
        <v>66.858000000000004</v>
      </c>
      <c r="G182" s="10">
        <f t="shared" si="78"/>
        <v>1.9410000000000025</v>
      </c>
      <c r="H182" s="10">
        <f>D182+сентябрь!H182</f>
        <v>335.69500000000005</v>
      </c>
      <c r="I182" s="8">
        <f>E182+сентябрь!I182</f>
        <v>649.17000000000019</v>
      </c>
      <c r="J182" s="183">
        <f>25.661+17.583+49.178+39.375+59.874+189.793+50.862+129.185+91.875+56.002</f>
        <v>709.38799999999992</v>
      </c>
      <c r="K182" s="10">
        <f t="shared" si="80"/>
        <v>60.217999999999734</v>
      </c>
      <c r="L182" s="16">
        <f t="shared" si="89"/>
        <v>9.2761526256604157</v>
      </c>
      <c r="M182" s="220"/>
      <c r="N182" s="221"/>
      <c r="O182" s="122">
        <f t="shared" si="83"/>
        <v>373.69299999999987</v>
      </c>
      <c r="P182" s="123">
        <f t="shared" si="84"/>
        <v>111.31920344360202</v>
      </c>
      <c r="Q182" s="114"/>
      <c r="S182">
        <f t="shared" si="71"/>
        <v>324.53000000000003</v>
      </c>
      <c r="T182" s="44">
        <f>E182+апр!I176</f>
        <v>324.58500000000004</v>
      </c>
      <c r="U182" s="30">
        <f>F182+апр!J176</f>
        <v>372.375</v>
      </c>
    </row>
    <row r="183" spans="1:21" ht="35.25" customHeight="1">
      <c r="A183" s="16" t="s">
        <v>163</v>
      </c>
      <c r="B183" s="9" t="s">
        <v>165</v>
      </c>
      <c r="C183" s="8" t="s">
        <v>4</v>
      </c>
      <c r="D183" s="10">
        <f>D184</f>
        <v>2.2330000000000001</v>
      </c>
      <c r="E183" s="8"/>
      <c r="F183" s="8"/>
      <c r="G183" s="10">
        <f t="shared" si="78"/>
        <v>0</v>
      </c>
      <c r="H183" s="10">
        <f>H184</f>
        <v>317.63</v>
      </c>
      <c r="I183" s="8"/>
      <c r="J183" s="8"/>
      <c r="K183" s="10">
        <f t="shared" si="80"/>
        <v>0</v>
      </c>
      <c r="L183" s="16"/>
      <c r="M183" s="220"/>
      <c r="N183" s="221"/>
      <c r="O183" s="122">
        <f t="shared" si="83"/>
        <v>-317.63</v>
      </c>
      <c r="P183" s="123">
        <f t="shared" si="84"/>
        <v>-100</v>
      </c>
      <c r="Q183" s="114"/>
      <c r="S183">
        <f t="shared" si="71"/>
        <v>11.165000000000001</v>
      </c>
      <c r="T183" s="44">
        <f>E183+апр!I177</f>
        <v>0</v>
      </c>
      <c r="U183" s="30">
        <f>F183+апр!J177</f>
        <v>0</v>
      </c>
    </row>
    <row r="184" spans="1:21" ht="18.75" customHeight="1">
      <c r="A184" s="16"/>
      <c r="B184" s="9" t="s">
        <v>100</v>
      </c>
      <c r="C184" s="8" t="s">
        <v>4</v>
      </c>
      <c r="D184" s="10">
        <v>2.2330000000000001</v>
      </c>
      <c r="E184" s="8"/>
      <c r="F184" s="8"/>
      <c r="G184" s="10">
        <f t="shared" si="78"/>
        <v>0</v>
      </c>
      <c r="H184" s="10">
        <f>D184+сентябрь!H184</f>
        <v>317.63</v>
      </c>
      <c r="I184" s="8"/>
      <c r="J184" s="54">
        <f>F184+сентябрь!J184</f>
        <v>0</v>
      </c>
      <c r="K184" s="10">
        <f t="shared" si="80"/>
        <v>0</v>
      </c>
      <c r="L184" s="16"/>
      <c r="M184" s="188"/>
      <c r="N184" s="189"/>
      <c r="O184" s="122">
        <f t="shared" si="83"/>
        <v>-317.63</v>
      </c>
      <c r="P184" s="123">
        <f t="shared" si="84"/>
        <v>-100</v>
      </c>
      <c r="Q184" s="114"/>
      <c r="S184">
        <f t="shared" si="71"/>
        <v>11.165000000000001</v>
      </c>
      <c r="T184" s="44">
        <f>E184+апр!I178</f>
        <v>0</v>
      </c>
      <c r="U184" s="30">
        <f>F184+апр!J178</f>
        <v>0</v>
      </c>
    </row>
    <row r="185" spans="1:21" ht="17.25" customHeight="1">
      <c r="A185" s="16" t="s">
        <v>164</v>
      </c>
      <c r="B185" s="6" t="s">
        <v>169</v>
      </c>
      <c r="C185" s="196" t="s">
        <v>4</v>
      </c>
      <c r="D185" s="7">
        <f t="shared" ref="D185:F185" si="93">D186+D187+D188</f>
        <v>318.99799999999999</v>
      </c>
      <c r="E185" s="7">
        <f t="shared" si="93"/>
        <v>637.41600000000005</v>
      </c>
      <c r="F185" s="7">
        <f t="shared" si="93"/>
        <v>0</v>
      </c>
      <c r="G185" s="10">
        <f t="shared" si="78"/>
        <v>-637.41600000000005</v>
      </c>
      <c r="H185" s="7">
        <f t="shared" ref="H185:J185" si="94">H186+H187+H188</f>
        <v>2772.2649999999999</v>
      </c>
      <c r="I185" s="7">
        <f t="shared" si="94"/>
        <v>5798.0770000000002</v>
      </c>
      <c r="J185" s="7">
        <f t="shared" si="94"/>
        <v>5549.3460000000005</v>
      </c>
      <c r="K185" s="10">
        <f t="shared" si="80"/>
        <v>-248.73099999999977</v>
      </c>
      <c r="L185" s="16">
        <f t="shared" si="89"/>
        <v>-4.2898878369500748</v>
      </c>
      <c r="M185" s="220"/>
      <c r="N185" s="221"/>
      <c r="O185" s="122">
        <f t="shared" si="83"/>
        <v>2777.0810000000006</v>
      </c>
      <c r="P185" s="123">
        <f t="shared" si="84"/>
        <v>100.17372076623271</v>
      </c>
      <c r="Q185" s="114"/>
      <c r="S185">
        <f t="shared" si="71"/>
        <v>1594.99</v>
      </c>
      <c r="T185" s="44">
        <f>E185+апр!I179</f>
        <v>3187.0800000000004</v>
      </c>
      <c r="U185" s="30">
        <f>F185+апр!J179</f>
        <v>0</v>
      </c>
    </row>
    <row r="186" spans="1:21" ht="17.25" customHeight="1">
      <c r="A186" s="8" t="s">
        <v>166</v>
      </c>
      <c r="B186" s="9" t="s">
        <v>170</v>
      </c>
      <c r="C186" s="8" t="s">
        <v>4</v>
      </c>
      <c r="D186" s="10">
        <v>61.292999999999999</v>
      </c>
      <c r="E186" s="8">
        <v>61.332999999999998</v>
      </c>
      <c r="F186" s="8"/>
      <c r="G186" s="10">
        <f t="shared" si="78"/>
        <v>-61.332999999999998</v>
      </c>
      <c r="H186" s="10">
        <f>D186+сентябрь!H186</f>
        <v>752.60500000000002</v>
      </c>
      <c r="I186" s="8">
        <f>E186+сентябрь!I186</f>
        <v>613.32999999999981</v>
      </c>
      <c r="J186" s="183">
        <f>798.734</f>
        <v>798.73400000000004</v>
      </c>
      <c r="K186" s="10">
        <f t="shared" si="80"/>
        <v>185.40400000000022</v>
      </c>
      <c r="L186" s="16">
        <f t="shared" si="89"/>
        <v>30.229077331942065</v>
      </c>
      <c r="M186" s="220"/>
      <c r="N186" s="221"/>
      <c r="O186" s="122">
        <f t="shared" si="83"/>
        <v>46.129000000000019</v>
      </c>
      <c r="P186" s="123">
        <f t="shared" si="84"/>
        <v>6.1292444243660382</v>
      </c>
      <c r="Q186" s="114"/>
      <c r="S186">
        <f t="shared" si="71"/>
        <v>306.46499999999997</v>
      </c>
      <c r="T186" s="44">
        <f>E186+апр!I180</f>
        <v>306.66499999999996</v>
      </c>
      <c r="U186" s="30">
        <f>F186+апр!J180</f>
        <v>0</v>
      </c>
    </row>
    <row r="187" spans="1:21" ht="17.25" customHeight="1">
      <c r="A187" s="8" t="s">
        <v>167</v>
      </c>
      <c r="B187" s="9" t="s">
        <v>171</v>
      </c>
      <c r="C187" s="8" t="s">
        <v>4</v>
      </c>
      <c r="D187" s="10">
        <v>168.477</v>
      </c>
      <c r="E187" s="8">
        <v>486.83300000000003</v>
      </c>
      <c r="F187" s="8"/>
      <c r="G187" s="10">
        <f t="shared" si="78"/>
        <v>-486.83300000000003</v>
      </c>
      <c r="H187" s="10">
        <f>D187+сентябрь!H187</f>
        <v>1320.93</v>
      </c>
      <c r="I187" s="8">
        <f>E187+сентябрь!I187</f>
        <v>4381.4970000000003</v>
      </c>
      <c r="J187" s="183">
        <f>1277.255+2554.51</f>
        <v>3831.7650000000003</v>
      </c>
      <c r="K187" s="10">
        <f t="shared" si="80"/>
        <v>-549.73199999999997</v>
      </c>
      <c r="L187" s="16">
        <f t="shared" si="89"/>
        <v>-12.546670692687908</v>
      </c>
      <c r="M187" s="227" t="s">
        <v>300</v>
      </c>
      <c r="N187" s="228"/>
      <c r="O187" s="122">
        <f t="shared" si="83"/>
        <v>2510.835</v>
      </c>
      <c r="P187" s="123">
        <f t="shared" si="84"/>
        <v>190.08085212691057</v>
      </c>
      <c r="Q187" s="116"/>
      <c r="S187">
        <f t="shared" si="71"/>
        <v>842.38499999999999</v>
      </c>
      <c r="T187" s="44">
        <f>E187+апр!I181</f>
        <v>2434.165</v>
      </c>
      <c r="U187" s="30">
        <f>F187+апр!J181</f>
        <v>0</v>
      </c>
    </row>
    <row r="188" spans="1:21" ht="17.25" customHeight="1">
      <c r="A188" s="8" t="s">
        <v>267</v>
      </c>
      <c r="B188" s="9" t="s">
        <v>172</v>
      </c>
      <c r="C188" s="8" t="s">
        <v>4</v>
      </c>
      <c r="D188" s="10">
        <v>89.227999999999994</v>
      </c>
      <c r="E188" s="10">
        <v>89.25</v>
      </c>
      <c r="F188" s="8"/>
      <c r="G188" s="10">
        <f t="shared" si="78"/>
        <v>-89.25</v>
      </c>
      <c r="H188" s="10">
        <f>D188+сентябрь!H188</f>
        <v>698.7299999999999</v>
      </c>
      <c r="I188" s="8">
        <f>E188+сентябрь!I188</f>
        <v>803.25</v>
      </c>
      <c r="J188" s="183">
        <f>271.511+647.336</f>
        <v>918.84699999999998</v>
      </c>
      <c r="K188" s="10">
        <f t="shared" si="80"/>
        <v>115.59699999999998</v>
      </c>
      <c r="L188" s="16">
        <f t="shared" si="89"/>
        <v>14.391160908807965</v>
      </c>
      <c r="M188" s="227" t="s">
        <v>300</v>
      </c>
      <c r="N188" s="228"/>
      <c r="O188" s="122">
        <f t="shared" si="83"/>
        <v>220.11700000000008</v>
      </c>
      <c r="P188" s="123">
        <f t="shared" si="84"/>
        <v>31.502440141399411</v>
      </c>
      <c r="Q188" s="116"/>
      <c r="S188">
        <f t="shared" si="71"/>
        <v>446.14</v>
      </c>
      <c r="T188" s="44">
        <f>E188+апр!I182</f>
        <v>446.25</v>
      </c>
      <c r="U188" s="30">
        <f>F188+апр!J182</f>
        <v>0</v>
      </c>
    </row>
    <row r="189" spans="1:21" ht="53.25" customHeight="1">
      <c r="A189" s="8" t="s">
        <v>168</v>
      </c>
      <c r="B189" s="9" t="s">
        <v>174</v>
      </c>
      <c r="C189" s="8" t="s">
        <v>4</v>
      </c>
      <c r="D189" s="10">
        <v>95.709000000000003</v>
      </c>
      <c r="E189" s="8">
        <v>93.167000000000002</v>
      </c>
      <c r="F189" s="8">
        <v>132.27699999999999</v>
      </c>
      <c r="G189" s="10">
        <f t="shared" si="78"/>
        <v>39.109999999999985</v>
      </c>
      <c r="H189" s="10">
        <f>D189+сентябрь!H189</f>
        <v>574.81500000000005</v>
      </c>
      <c r="I189" s="8">
        <f>E189+сентябрь!I189</f>
        <v>838.50300000000016</v>
      </c>
      <c r="J189" s="183">
        <f>360.75+596.745+597.745</f>
        <v>1555.24</v>
      </c>
      <c r="K189" s="10">
        <f t="shared" si="80"/>
        <v>716.73699999999985</v>
      </c>
      <c r="L189" s="16">
        <f t="shared" si="89"/>
        <v>85.47816763923322</v>
      </c>
      <c r="M189" s="222" t="s">
        <v>303</v>
      </c>
      <c r="N189" s="223"/>
      <c r="O189" s="122">
        <f t="shared" si="83"/>
        <v>980.42499999999995</v>
      </c>
      <c r="P189" s="123">
        <f t="shared" si="84"/>
        <v>170.56357262771499</v>
      </c>
      <c r="Q189" s="115"/>
      <c r="S189">
        <f t="shared" si="71"/>
        <v>478.54500000000002</v>
      </c>
      <c r="T189" s="44">
        <f>E189+апр!I183</f>
        <v>465.83500000000004</v>
      </c>
      <c r="U189" s="30">
        <f>F189+апр!J183</f>
        <v>446.95100000000002</v>
      </c>
    </row>
    <row r="190" spans="1:21" ht="33" customHeight="1">
      <c r="A190" s="196" t="s">
        <v>173</v>
      </c>
      <c r="B190" s="6" t="s">
        <v>176</v>
      </c>
      <c r="C190" s="196" t="s">
        <v>4</v>
      </c>
      <c r="D190" s="7">
        <f t="shared" ref="D190:F190" si="95">D191+D192+D193</f>
        <v>50.518000000000001</v>
      </c>
      <c r="E190" s="7">
        <v>50.5</v>
      </c>
      <c r="F190" s="7">
        <f t="shared" si="95"/>
        <v>0</v>
      </c>
      <c r="G190" s="10">
        <f t="shared" si="78"/>
        <v>-50.5</v>
      </c>
      <c r="H190" s="7">
        <f t="shared" ref="H190:J190" si="96">H191+H192+H193</f>
        <v>521.40999999999985</v>
      </c>
      <c r="I190" s="7">
        <f t="shared" si="96"/>
        <v>0</v>
      </c>
      <c r="J190" s="7">
        <f t="shared" si="96"/>
        <v>636.77300000000002</v>
      </c>
      <c r="K190" s="10">
        <f t="shared" si="80"/>
        <v>636.77300000000002</v>
      </c>
      <c r="L190" s="16" t="e">
        <f t="shared" si="89"/>
        <v>#DIV/0!</v>
      </c>
      <c r="M190" s="229" t="s">
        <v>293</v>
      </c>
      <c r="N190" s="230"/>
      <c r="O190" s="122">
        <f t="shared" si="83"/>
        <v>115.36300000000017</v>
      </c>
      <c r="P190" s="123">
        <f t="shared" si="84"/>
        <v>22.125198979689724</v>
      </c>
      <c r="Q190" s="195"/>
      <c r="R190" s="7">
        <f>R191+R192+R193</f>
        <v>343.50800000000004</v>
      </c>
      <c r="S190">
        <f t="shared" si="71"/>
        <v>252.59</v>
      </c>
      <c r="T190" s="44">
        <f>E190+апр!I184</f>
        <v>252.5</v>
      </c>
      <c r="U190" s="30">
        <f>F190+апр!J184</f>
        <v>0</v>
      </c>
    </row>
    <row r="191" spans="1:21" ht="17.25" customHeight="1">
      <c r="A191" s="8" t="s">
        <v>268</v>
      </c>
      <c r="B191" s="9" t="s">
        <v>177</v>
      </c>
      <c r="C191" s="8" t="s">
        <v>4</v>
      </c>
      <c r="D191" s="10">
        <v>19.254000000000001</v>
      </c>
      <c r="E191" s="8"/>
      <c r="F191" s="10"/>
      <c r="G191" s="10">
        <f t="shared" si="78"/>
        <v>0</v>
      </c>
      <c r="H191" s="10">
        <f>D191+сентябрь!H191</f>
        <v>208.76999999999995</v>
      </c>
      <c r="I191" s="8">
        <f>E191+сентябрь!I191</f>
        <v>0</v>
      </c>
      <c r="J191" s="183">
        <v>636.77300000000002</v>
      </c>
      <c r="K191" s="10">
        <f t="shared" si="80"/>
        <v>636.77300000000002</v>
      </c>
      <c r="L191" s="16"/>
      <c r="M191" s="220"/>
      <c r="N191" s="221"/>
      <c r="O191" s="122">
        <f t="shared" si="83"/>
        <v>428.00300000000004</v>
      </c>
      <c r="P191" s="123">
        <f t="shared" si="84"/>
        <v>205.0117354025962</v>
      </c>
      <c r="Q191" s="189"/>
      <c r="R191" s="10">
        <v>130.12</v>
      </c>
      <c r="S191">
        <f t="shared" si="71"/>
        <v>96.27000000000001</v>
      </c>
      <c r="T191" s="44">
        <f>E191+апр!I185</f>
        <v>0</v>
      </c>
      <c r="U191" s="30">
        <f>F191+апр!J185</f>
        <v>0</v>
      </c>
    </row>
    <row r="192" spans="1:21" ht="17.25" customHeight="1">
      <c r="A192" s="8" t="s">
        <v>269</v>
      </c>
      <c r="B192" s="9" t="s">
        <v>178</v>
      </c>
      <c r="C192" s="8" t="s">
        <v>4</v>
      </c>
      <c r="D192" s="10">
        <v>8.7639999999999993</v>
      </c>
      <c r="E192" s="8"/>
      <c r="F192" s="8"/>
      <c r="G192" s="10">
        <f t="shared" si="78"/>
        <v>0</v>
      </c>
      <c r="H192" s="10">
        <f>D192+сентябрь!H192</f>
        <v>87.639999999999972</v>
      </c>
      <c r="I192" s="8">
        <f>E192+сентябрь!I192</f>
        <v>0</v>
      </c>
      <c r="J192" s="183">
        <f>F192+сентябрь!J192</f>
        <v>0</v>
      </c>
      <c r="K192" s="10">
        <f t="shared" si="80"/>
        <v>0</v>
      </c>
      <c r="L192" s="16"/>
      <c r="M192" s="220"/>
      <c r="N192" s="221"/>
      <c r="O192" s="122">
        <f t="shared" si="83"/>
        <v>-87.639999999999972</v>
      </c>
      <c r="P192" s="123">
        <f t="shared" si="84"/>
        <v>-100</v>
      </c>
      <c r="Q192" s="189"/>
      <c r="R192" s="8">
        <v>15.369</v>
      </c>
      <c r="S192">
        <f t="shared" si="71"/>
        <v>43.819999999999993</v>
      </c>
      <c r="T192" s="44">
        <f>E192+апр!I186</f>
        <v>0</v>
      </c>
      <c r="U192" s="30">
        <f>F192+апр!J186</f>
        <v>0</v>
      </c>
    </row>
    <row r="193" spans="1:21" ht="17.25" customHeight="1">
      <c r="A193" s="8" t="s">
        <v>270</v>
      </c>
      <c r="B193" s="9" t="s">
        <v>179</v>
      </c>
      <c r="C193" s="8" t="s">
        <v>4</v>
      </c>
      <c r="D193" s="10">
        <v>22.5</v>
      </c>
      <c r="E193" s="8"/>
      <c r="F193" s="8"/>
      <c r="G193" s="10">
        <f t="shared" si="78"/>
        <v>0</v>
      </c>
      <c r="H193" s="10">
        <f>D193+сентябрь!H193</f>
        <v>225</v>
      </c>
      <c r="I193" s="8">
        <f>E193+сентябрь!I193</f>
        <v>0</v>
      </c>
      <c r="J193" s="183">
        <f>F193+сентябрь!J193</f>
        <v>0</v>
      </c>
      <c r="K193" s="10">
        <f t="shared" si="80"/>
        <v>0</v>
      </c>
      <c r="L193" s="16"/>
      <c r="M193" s="220"/>
      <c r="N193" s="221"/>
      <c r="O193" s="122">
        <f t="shared" si="83"/>
        <v>-225</v>
      </c>
      <c r="P193" s="123">
        <f t="shared" si="84"/>
        <v>-100</v>
      </c>
      <c r="Q193" s="189"/>
      <c r="R193" s="8">
        <v>198.01900000000001</v>
      </c>
      <c r="S193">
        <f t="shared" si="71"/>
        <v>112.5</v>
      </c>
      <c r="T193" s="44">
        <f>E193+апр!I187</f>
        <v>0</v>
      </c>
      <c r="U193" s="30">
        <f>F193+апр!J187</f>
        <v>0</v>
      </c>
    </row>
    <row r="194" spans="1:21" ht="17.25" customHeight="1">
      <c r="A194" s="196" t="s">
        <v>175</v>
      </c>
      <c r="B194" s="6" t="s">
        <v>180</v>
      </c>
      <c r="C194" s="196" t="s">
        <v>4</v>
      </c>
      <c r="D194" s="7">
        <f>D195+D196+D197+D198+D203+D204+D205+D206+D210</f>
        <v>186.78400000000005</v>
      </c>
      <c r="E194" s="7">
        <f>E195+E196+E197+E198+E203+E204+E205+E206+E210</f>
        <v>193.416</v>
      </c>
      <c r="F194" s="7">
        <f>F195+F196+F197+F198+F203+F204+F205+F206+F210</f>
        <v>10.137</v>
      </c>
      <c r="G194" s="10">
        <f t="shared" si="78"/>
        <v>-183.279</v>
      </c>
      <c r="H194" s="7">
        <f>H195+H196+H197+H198+H203+H204+H205+H206+H210</f>
        <v>9223.5450000000001</v>
      </c>
      <c r="I194" s="7">
        <f>I195+I196+I197+I198+I203+I204+I205+I206+I210</f>
        <v>1934.085</v>
      </c>
      <c r="J194" s="7">
        <f>J195+J196+J197+J198+J203+J204+J205+J206+J210+J211</f>
        <v>1197.0140000000001</v>
      </c>
      <c r="K194" s="10">
        <f t="shared" si="80"/>
        <v>-737.07099999999991</v>
      </c>
      <c r="L194" s="16">
        <f t="shared" si="89"/>
        <v>-38.109545340561553</v>
      </c>
      <c r="M194" s="226"/>
      <c r="N194" s="221"/>
      <c r="O194" s="122">
        <f t="shared" si="83"/>
        <v>-8026.5309999999999</v>
      </c>
      <c r="P194" s="123">
        <f t="shared" si="84"/>
        <v>-87.022191576015501</v>
      </c>
      <c r="Q194" s="114"/>
      <c r="S194">
        <f t="shared" si="71"/>
        <v>933.9200000000003</v>
      </c>
      <c r="T194" s="44">
        <f>E194+апр!I188</f>
        <v>967.07999999999993</v>
      </c>
      <c r="U194" s="30">
        <f>F194+апр!J188</f>
        <v>435.452</v>
      </c>
    </row>
    <row r="195" spans="1:21" ht="17.25" customHeight="1">
      <c r="A195" s="18" t="s">
        <v>271</v>
      </c>
      <c r="B195" s="9" t="s">
        <v>181</v>
      </c>
      <c r="C195" s="8" t="s">
        <v>4</v>
      </c>
      <c r="D195" s="10">
        <v>0</v>
      </c>
      <c r="E195" s="8"/>
      <c r="F195" s="8"/>
      <c r="G195" s="10">
        <f t="shared" si="78"/>
        <v>0</v>
      </c>
      <c r="H195" s="10">
        <f>D195+сентябрь!H195</f>
        <v>7.4550000000000001</v>
      </c>
      <c r="I195" s="8">
        <f>E195+сентябрь!I195</f>
        <v>0</v>
      </c>
      <c r="J195" s="54">
        <f>F195+сентябрь!J195</f>
        <v>0</v>
      </c>
      <c r="K195" s="10">
        <f t="shared" si="80"/>
        <v>0</v>
      </c>
      <c r="L195" s="16"/>
      <c r="M195" s="220"/>
      <c r="N195" s="221"/>
      <c r="O195" s="122">
        <f t="shared" si="83"/>
        <v>-7.4550000000000001</v>
      </c>
      <c r="P195" s="123">
        <f t="shared" si="84"/>
        <v>-100</v>
      </c>
      <c r="Q195" s="114"/>
      <c r="S195">
        <f t="shared" si="71"/>
        <v>0</v>
      </c>
      <c r="T195" s="44">
        <f>E195+апр!I189</f>
        <v>0</v>
      </c>
      <c r="U195" s="30">
        <f>F195+апр!J189</f>
        <v>0</v>
      </c>
    </row>
    <row r="196" spans="1:21" ht="17.25" customHeight="1">
      <c r="A196" s="18" t="s">
        <v>272</v>
      </c>
      <c r="B196" s="9" t="s">
        <v>182</v>
      </c>
      <c r="C196" s="8" t="s">
        <v>4</v>
      </c>
      <c r="D196" s="10">
        <v>15.651</v>
      </c>
      <c r="E196" s="10">
        <v>22.25</v>
      </c>
      <c r="F196" s="55">
        <v>7.5839999999999996</v>
      </c>
      <c r="G196" s="10">
        <f t="shared" si="78"/>
        <v>-14.666</v>
      </c>
      <c r="H196" s="10">
        <f>D196+сентябрь!H196</f>
        <v>156.51</v>
      </c>
      <c r="I196" s="8">
        <f>E196+сентябрь!I196</f>
        <v>222.5</v>
      </c>
      <c r="J196" s="183">
        <f>33.797+207.845</f>
        <v>241.642</v>
      </c>
      <c r="K196" s="10">
        <f t="shared" si="80"/>
        <v>19.141999999999996</v>
      </c>
      <c r="L196" s="16">
        <f t="shared" si="89"/>
        <v>8.6031460674157287</v>
      </c>
      <c r="M196" s="220"/>
      <c r="N196" s="221"/>
      <c r="O196" s="122">
        <f t="shared" si="83"/>
        <v>85.132000000000005</v>
      </c>
      <c r="P196" s="123">
        <f t="shared" si="84"/>
        <v>54.393968436521632</v>
      </c>
      <c r="Q196" s="114"/>
      <c r="S196">
        <f t="shared" si="71"/>
        <v>78.254999999999995</v>
      </c>
      <c r="T196" s="44">
        <f>E196+апр!I190</f>
        <v>111.25</v>
      </c>
      <c r="U196" s="30">
        <f>F196+апр!J190</f>
        <v>138.93900000000002</v>
      </c>
    </row>
    <row r="197" spans="1:21" ht="33.75" customHeight="1">
      <c r="A197" s="18" t="s">
        <v>273</v>
      </c>
      <c r="B197" s="9" t="s">
        <v>237</v>
      </c>
      <c r="C197" s="8" t="s">
        <v>4</v>
      </c>
      <c r="D197" s="10">
        <v>1.4910000000000001</v>
      </c>
      <c r="E197" s="10">
        <v>1.5</v>
      </c>
      <c r="F197" s="54"/>
      <c r="G197" s="10">
        <f t="shared" si="78"/>
        <v>-1.5</v>
      </c>
      <c r="H197" s="10">
        <f>D197+сентябрь!H197</f>
        <v>14.909999999999998</v>
      </c>
      <c r="I197" s="8">
        <f>E197+сентябрь!I197</f>
        <v>15</v>
      </c>
      <c r="J197" s="183">
        <f>3.6+13.09</f>
        <v>16.690000000000001</v>
      </c>
      <c r="K197" s="10">
        <f t="shared" si="80"/>
        <v>1.6900000000000013</v>
      </c>
      <c r="L197" s="16">
        <f t="shared" si="89"/>
        <v>11.266666666666675</v>
      </c>
      <c r="M197" s="220"/>
      <c r="N197" s="221"/>
      <c r="O197" s="122">
        <f t="shared" si="83"/>
        <v>1.7800000000000029</v>
      </c>
      <c r="P197" s="123">
        <f t="shared" si="84"/>
        <v>11.93829644533872</v>
      </c>
      <c r="Q197" s="114"/>
      <c r="S197">
        <f t="shared" si="71"/>
        <v>7.4550000000000001</v>
      </c>
      <c r="T197" s="44">
        <f>E197+апр!I191</f>
        <v>7.5</v>
      </c>
      <c r="U197" s="30">
        <f>F197+апр!J191</f>
        <v>9.09</v>
      </c>
    </row>
    <row r="198" spans="1:21" ht="36.75" customHeight="1">
      <c r="A198" s="18" t="s">
        <v>274</v>
      </c>
      <c r="B198" s="9" t="s">
        <v>183</v>
      </c>
      <c r="C198" s="8" t="s">
        <v>4</v>
      </c>
      <c r="D198" s="10">
        <f t="shared" ref="D198:F198" si="97">D199+D200+D201+D202</f>
        <v>149.55900000000003</v>
      </c>
      <c r="E198" s="10">
        <f t="shared" si="97"/>
        <v>149.583</v>
      </c>
      <c r="F198" s="10">
        <f t="shared" si="97"/>
        <v>0</v>
      </c>
      <c r="G198" s="10">
        <f t="shared" si="78"/>
        <v>-149.583</v>
      </c>
      <c r="H198" s="10">
        <f t="shared" ref="H198:J198" si="98">H199+H200+H201+H202</f>
        <v>1495.5900000000004</v>
      </c>
      <c r="I198" s="10">
        <f t="shared" si="98"/>
        <v>1495.83</v>
      </c>
      <c r="J198" s="10">
        <f t="shared" si="98"/>
        <v>589.34</v>
      </c>
      <c r="K198" s="10">
        <f t="shared" si="80"/>
        <v>-906.4899999999999</v>
      </c>
      <c r="L198" s="16">
        <f t="shared" si="89"/>
        <v>-60.601137829833597</v>
      </c>
      <c r="M198" s="220"/>
      <c r="N198" s="221"/>
      <c r="O198" s="122">
        <f t="shared" si="83"/>
        <v>-906.25000000000034</v>
      </c>
      <c r="P198" s="123">
        <f t="shared" si="84"/>
        <v>-60.594815424013269</v>
      </c>
      <c r="Q198" s="114"/>
      <c r="S198">
        <f t="shared" si="71"/>
        <v>747.79500000000007</v>
      </c>
      <c r="T198" s="44">
        <f>E198+апр!I192</f>
        <v>747.91499999999996</v>
      </c>
      <c r="U198" s="30">
        <f>F198+апр!J192</f>
        <v>274.28100000000001</v>
      </c>
    </row>
    <row r="199" spans="1:21" ht="74.25" customHeight="1">
      <c r="A199" s="8" t="s">
        <v>275</v>
      </c>
      <c r="B199" s="9" t="s">
        <v>184</v>
      </c>
      <c r="C199" s="8" t="s">
        <v>4</v>
      </c>
      <c r="D199" s="10">
        <v>33.363999999999997</v>
      </c>
      <c r="E199" s="8">
        <v>33.332999999999998</v>
      </c>
      <c r="F199" s="55"/>
      <c r="G199" s="10">
        <f t="shared" si="78"/>
        <v>-33.332999999999998</v>
      </c>
      <c r="H199" s="10">
        <f>D199+сентябрь!H199</f>
        <v>333.63999999999993</v>
      </c>
      <c r="I199" s="8">
        <f>E199+сентябрь!I199</f>
        <v>333.32999999999993</v>
      </c>
      <c r="J199" s="183">
        <f>15.746+117.959+31.491</f>
        <v>165.19600000000003</v>
      </c>
      <c r="K199" s="10">
        <f t="shared" si="80"/>
        <v>-168.1339999999999</v>
      </c>
      <c r="L199" s="16">
        <f t="shared" si="89"/>
        <v>-50.440704407044059</v>
      </c>
      <c r="M199" s="220"/>
      <c r="N199" s="221"/>
      <c r="O199" s="122">
        <f t="shared" si="83"/>
        <v>-168.4439999999999</v>
      </c>
      <c r="P199" s="123">
        <f t="shared" si="84"/>
        <v>-50.486752187987037</v>
      </c>
      <c r="Q199" s="114"/>
      <c r="S199">
        <f t="shared" si="71"/>
        <v>166.82</v>
      </c>
      <c r="T199" s="44">
        <f>E199+апр!I193</f>
        <v>166.66499999999999</v>
      </c>
      <c r="U199" s="30">
        <f>F199+апр!J193</f>
        <v>189.47499999999999</v>
      </c>
    </row>
    <row r="200" spans="1:21" ht="93" customHeight="1">
      <c r="A200" s="8" t="s">
        <v>276</v>
      </c>
      <c r="B200" s="9" t="s">
        <v>238</v>
      </c>
      <c r="C200" s="8" t="s">
        <v>4</v>
      </c>
      <c r="D200" s="10">
        <v>89.792000000000002</v>
      </c>
      <c r="E200" s="8">
        <v>89.832999999999998</v>
      </c>
      <c r="F200" s="55"/>
      <c r="G200" s="10">
        <f t="shared" si="78"/>
        <v>-89.832999999999998</v>
      </c>
      <c r="H200" s="10">
        <f>D200+сентябрь!H200</f>
        <v>897.92000000000019</v>
      </c>
      <c r="I200" s="8">
        <f>E200+сентябрь!I200</f>
        <v>898.32999999999981</v>
      </c>
      <c r="J200" s="183">
        <v>180.55600000000001</v>
      </c>
      <c r="K200" s="10">
        <f t="shared" si="80"/>
        <v>-717.77399999999977</v>
      </c>
      <c r="L200" s="16">
        <f t="shared" si="89"/>
        <v>-79.900927276167991</v>
      </c>
      <c r="M200" s="220"/>
      <c r="N200" s="221"/>
      <c r="O200" s="122">
        <f t="shared" si="83"/>
        <v>-717.36400000000015</v>
      </c>
      <c r="P200" s="123">
        <f t="shared" si="84"/>
        <v>-79.891749821810407</v>
      </c>
      <c r="Q200" s="114"/>
      <c r="S200">
        <f t="shared" si="71"/>
        <v>448.96000000000004</v>
      </c>
      <c r="T200" s="44">
        <f>E200+апр!I194</f>
        <v>449.16499999999996</v>
      </c>
      <c r="U200" s="30">
        <f>F200+апр!J194</f>
        <v>0</v>
      </c>
    </row>
    <row r="201" spans="1:21" ht="90.75" customHeight="1">
      <c r="A201" s="8" t="s">
        <v>277</v>
      </c>
      <c r="B201" s="9" t="s">
        <v>185</v>
      </c>
      <c r="C201" s="8" t="s">
        <v>4</v>
      </c>
      <c r="D201" s="10">
        <v>7.9660000000000002</v>
      </c>
      <c r="E201" s="8">
        <v>8</v>
      </c>
      <c r="F201" s="55"/>
      <c r="G201" s="10">
        <f t="shared" si="78"/>
        <v>-8</v>
      </c>
      <c r="H201" s="10">
        <f>D201+сентябрь!H201</f>
        <v>79.66</v>
      </c>
      <c r="I201" s="8">
        <f>E201+сентябрь!I201</f>
        <v>80</v>
      </c>
      <c r="J201" s="183">
        <v>87.111000000000004</v>
      </c>
      <c r="K201" s="10">
        <f t="shared" si="80"/>
        <v>7.1110000000000042</v>
      </c>
      <c r="L201" s="16">
        <f t="shared" si="89"/>
        <v>8.8887500000000053</v>
      </c>
      <c r="M201" s="220"/>
      <c r="N201" s="221"/>
      <c r="O201" s="122">
        <f t="shared" si="83"/>
        <v>7.4510000000000076</v>
      </c>
      <c r="P201" s="123">
        <f t="shared" si="84"/>
        <v>9.3535023851368422</v>
      </c>
      <c r="Q201" s="114">
        <v>180.55600000000001</v>
      </c>
      <c r="S201">
        <f t="shared" si="71"/>
        <v>39.83</v>
      </c>
      <c r="T201" s="44">
        <f>E201+апр!I195</f>
        <v>40</v>
      </c>
      <c r="U201" s="30">
        <f>F201+апр!J195</f>
        <v>15.260999999999999</v>
      </c>
    </row>
    <row r="202" spans="1:21" ht="37.5" customHeight="1">
      <c r="A202" s="8" t="s">
        <v>278</v>
      </c>
      <c r="B202" s="9" t="s">
        <v>186</v>
      </c>
      <c r="C202" s="8" t="s">
        <v>4</v>
      </c>
      <c r="D202" s="10">
        <v>18.437000000000001</v>
      </c>
      <c r="E202" s="8">
        <v>18.417000000000002</v>
      </c>
      <c r="F202" s="55"/>
      <c r="G202" s="10">
        <f t="shared" si="78"/>
        <v>-18.417000000000002</v>
      </c>
      <c r="H202" s="10">
        <f>D202+сентябрь!H202</f>
        <v>184.37000000000003</v>
      </c>
      <c r="I202" s="8">
        <f>E202+сентябрь!I202</f>
        <v>184.17000000000002</v>
      </c>
      <c r="J202" s="183">
        <f>34.773+121.704</f>
        <v>156.477</v>
      </c>
      <c r="K202" s="10">
        <f t="shared" si="80"/>
        <v>-27.693000000000012</v>
      </c>
      <c r="L202" s="16">
        <f t="shared" si="89"/>
        <v>-15.036650920345338</v>
      </c>
      <c r="M202" s="220"/>
      <c r="N202" s="221"/>
      <c r="O202" s="122">
        <f t="shared" si="83"/>
        <v>-27.893000000000029</v>
      </c>
      <c r="P202" s="123">
        <f t="shared" si="84"/>
        <v>-15.12881705266585</v>
      </c>
      <c r="Q202" s="114"/>
      <c r="S202">
        <f t="shared" si="71"/>
        <v>92.185000000000002</v>
      </c>
      <c r="T202" s="44">
        <f>E202+апр!I196</f>
        <v>92.085000000000008</v>
      </c>
      <c r="U202" s="30">
        <f>F202+апр!J196</f>
        <v>69.545000000000002</v>
      </c>
    </row>
    <row r="203" spans="1:21" ht="17.25" customHeight="1">
      <c r="A203" s="18" t="s">
        <v>279</v>
      </c>
      <c r="B203" s="26" t="s">
        <v>187</v>
      </c>
      <c r="C203" s="8" t="s">
        <v>4</v>
      </c>
      <c r="D203" s="10">
        <v>15.818</v>
      </c>
      <c r="E203" s="8">
        <v>15.833</v>
      </c>
      <c r="F203" s="8"/>
      <c r="G203" s="10">
        <f t="shared" si="78"/>
        <v>-15.833</v>
      </c>
      <c r="H203" s="10">
        <f>D203+сентябрь!H203</f>
        <v>158.18</v>
      </c>
      <c r="I203" s="8">
        <f>E203+сентябрь!I203</f>
        <v>158.255</v>
      </c>
      <c r="J203" s="54">
        <f>F203+сентябрь!J203</f>
        <v>0</v>
      </c>
      <c r="K203" s="10">
        <f t="shared" si="80"/>
        <v>-158.255</v>
      </c>
      <c r="L203" s="16">
        <f t="shared" si="89"/>
        <v>-100</v>
      </c>
      <c r="M203" s="220"/>
      <c r="N203" s="221"/>
      <c r="O203" s="122">
        <f t="shared" si="83"/>
        <v>-158.18</v>
      </c>
      <c r="P203" s="123">
        <f t="shared" si="84"/>
        <v>-100</v>
      </c>
      <c r="Q203" s="114"/>
      <c r="S203">
        <f t="shared" si="71"/>
        <v>79.09</v>
      </c>
      <c r="T203" s="44">
        <f>E203+апр!I197</f>
        <v>79.165000000000006</v>
      </c>
      <c r="U203" s="30">
        <f>F203+апр!J197</f>
        <v>0</v>
      </c>
    </row>
    <row r="204" spans="1:21" ht="17.25" customHeight="1">
      <c r="A204" s="18"/>
      <c r="B204" s="26" t="s">
        <v>125</v>
      </c>
      <c r="C204" s="8" t="s">
        <v>4</v>
      </c>
      <c r="D204" s="10">
        <v>0.34200000000000003</v>
      </c>
      <c r="E204" s="8">
        <v>0.33300000000000002</v>
      </c>
      <c r="F204" s="8"/>
      <c r="G204" s="10">
        <f t="shared" si="78"/>
        <v>-0.33300000000000002</v>
      </c>
      <c r="H204" s="10">
        <f>D204+сентябрь!H204</f>
        <v>21.324999999999996</v>
      </c>
      <c r="I204" s="8">
        <f>E204+сентябрь!I204</f>
        <v>3.3300000000000005</v>
      </c>
      <c r="J204" s="54">
        <f>F204+сентябрь!J204</f>
        <v>0</v>
      </c>
      <c r="K204" s="10">
        <f t="shared" si="80"/>
        <v>-3.3300000000000005</v>
      </c>
      <c r="L204" s="16">
        <f t="shared" si="89"/>
        <v>-100</v>
      </c>
      <c r="M204" s="220"/>
      <c r="N204" s="221"/>
      <c r="O204" s="122">
        <f t="shared" si="83"/>
        <v>-21.324999999999996</v>
      </c>
      <c r="P204" s="123">
        <f t="shared" si="84"/>
        <v>-100</v>
      </c>
      <c r="Q204" s="114"/>
      <c r="S204">
        <f t="shared" si="71"/>
        <v>1.7100000000000002</v>
      </c>
      <c r="T204" s="44">
        <f>E204+апр!I198</f>
        <v>1.665</v>
      </c>
      <c r="U204" s="30">
        <f>F204+апр!J198</f>
        <v>0</v>
      </c>
    </row>
    <row r="205" spans="1:21" ht="17.25" customHeight="1">
      <c r="A205" s="18" t="s">
        <v>280</v>
      </c>
      <c r="B205" s="26" t="s">
        <v>188</v>
      </c>
      <c r="C205" s="8" t="s">
        <v>4</v>
      </c>
      <c r="D205" s="10">
        <v>0</v>
      </c>
      <c r="E205" s="8"/>
      <c r="F205" s="8"/>
      <c r="G205" s="10">
        <f t="shared" si="78"/>
        <v>0</v>
      </c>
      <c r="H205" s="10">
        <f>D205+сентябрь!H205</f>
        <v>0</v>
      </c>
      <c r="I205" s="8">
        <f>E205+сентябрь!I205</f>
        <v>0</v>
      </c>
      <c r="J205" s="54">
        <f>F205+сентябрь!J205</f>
        <v>0</v>
      </c>
      <c r="K205" s="10">
        <f t="shared" si="80"/>
        <v>0</v>
      </c>
      <c r="L205" s="16"/>
      <c r="M205" s="220"/>
      <c r="N205" s="221"/>
      <c r="O205" s="122">
        <f t="shared" si="83"/>
        <v>0</v>
      </c>
      <c r="P205" s="123" t="e">
        <f t="shared" si="84"/>
        <v>#DIV/0!</v>
      </c>
      <c r="Q205" s="114"/>
      <c r="S205">
        <f t="shared" si="71"/>
        <v>0</v>
      </c>
      <c r="T205" s="44">
        <f>E205+апр!I199</f>
        <v>0</v>
      </c>
      <c r="U205" s="30">
        <f>F205+апр!J199</f>
        <v>0</v>
      </c>
    </row>
    <row r="206" spans="1:21" ht="27" customHeight="1">
      <c r="A206" s="18" t="s">
        <v>281</v>
      </c>
      <c r="B206" s="26" t="s">
        <v>189</v>
      </c>
      <c r="C206" s="8" t="s">
        <v>4</v>
      </c>
      <c r="D206" s="10">
        <v>3.923</v>
      </c>
      <c r="E206" s="8">
        <v>3.9169999999999998</v>
      </c>
      <c r="F206" s="10">
        <v>2.5529999999999999</v>
      </c>
      <c r="G206" s="10">
        <f t="shared" si="78"/>
        <v>-1.3639999999999999</v>
      </c>
      <c r="H206" s="10">
        <f>D206+сентябрь!H206</f>
        <v>19.615000000000002</v>
      </c>
      <c r="I206" s="8">
        <f>E206+сентябрь!I206</f>
        <v>39.170000000000009</v>
      </c>
      <c r="J206" s="183">
        <f>4.571+13.446</f>
        <v>18.016999999999999</v>
      </c>
      <c r="K206" s="10">
        <f t="shared" si="80"/>
        <v>-21.153000000000009</v>
      </c>
      <c r="L206" s="16">
        <f t="shared" si="89"/>
        <v>-54.003063569057964</v>
      </c>
      <c r="M206" s="222" t="s">
        <v>289</v>
      </c>
      <c r="N206" s="223"/>
      <c r="O206" s="122">
        <f t="shared" si="83"/>
        <v>-1.5980000000000025</v>
      </c>
      <c r="P206" s="123">
        <f t="shared" si="84"/>
        <v>-8.1468264083609601</v>
      </c>
      <c r="Q206" s="115"/>
      <c r="S206">
        <f t="shared" si="71"/>
        <v>19.615000000000002</v>
      </c>
      <c r="T206" s="44">
        <f>E206+апр!I200</f>
        <v>19.585000000000001</v>
      </c>
      <c r="U206" s="30">
        <f>F206+апр!J200</f>
        <v>13.141999999999999</v>
      </c>
    </row>
    <row r="207" spans="1:21" ht="17.25" customHeight="1">
      <c r="A207" s="18" t="s">
        <v>282</v>
      </c>
      <c r="B207" s="26" t="s">
        <v>225</v>
      </c>
      <c r="C207" s="8" t="s">
        <v>4</v>
      </c>
      <c r="D207" s="10">
        <v>0</v>
      </c>
      <c r="E207" s="8"/>
      <c r="F207" s="8">
        <v>272.91500000000002</v>
      </c>
      <c r="G207" s="10">
        <f t="shared" si="78"/>
        <v>272.91500000000002</v>
      </c>
      <c r="H207" s="10">
        <f>D207+сентябрь!H207</f>
        <v>0</v>
      </c>
      <c r="I207" s="8">
        <f>E207+сентябрь!I207</f>
        <v>0</v>
      </c>
      <c r="J207" s="183">
        <f>1835.034+2197.064</f>
        <v>4032.098</v>
      </c>
      <c r="K207" s="10">
        <f t="shared" si="80"/>
        <v>4032.098</v>
      </c>
      <c r="L207" s="16" t="e">
        <f>K207/I207*100</f>
        <v>#DIV/0!</v>
      </c>
      <c r="M207" s="222" t="s">
        <v>290</v>
      </c>
      <c r="N207" s="223"/>
      <c r="O207" s="122">
        <f t="shared" si="83"/>
        <v>4032.098</v>
      </c>
      <c r="P207" s="123" t="e">
        <f t="shared" si="84"/>
        <v>#DIV/0!</v>
      </c>
      <c r="Q207" s="115"/>
      <c r="S207">
        <f t="shared" ref="S207:S225" si="99">D207*5</f>
        <v>0</v>
      </c>
      <c r="T207" s="44">
        <f>E207+апр!I201</f>
        <v>0</v>
      </c>
      <c r="U207" s="30">
        <f>F207+апр!J201</f>
        <v>272.91500000000002</v>
      </c>
    </row>
    <row r="208" spans="1:21" ht="17.25" customHeight="1">
      <c r="A208" s="18" t="s">
        <v>283</v>
      </c>
      <c r="B208" s="26" t="s">
        <v>228</v>
      </c>
      <c r="C208" s="8" t="s">
        <v>4</v>
      </c>
      <c r="D208" s="10">
        <v>0</v>
      </c>
      <c r="E208" s="8"/>
      <c r="F208" s="8"/>
      <c r="G208" s="10">
        <f t="shared" si="78"/>
        <v>0</v>
      </c>
      <c r="H208" s="10">
        <f>D208+сентябрь!H208</f>
        <v>0</v>
      </c>
      <c r="I208" s="8">
        <f>E208+сентябрь!I208</f>
        <v>0</v>
      </c>
      <c r="J208" s="54">
        <f>F208+сентябрь!J208</f>
        <v>0</v>
      </c>
      <c r="K208" s="10">
        <f t="shared" si="80"/>
        <v>0</v>
      </c>
      <c r="L208" s="16" t="e">
        <f t="shared" si="89"/>
        <v>#DIV/0!</v>
      </c>
      <c r="M208" s="222" t="s">
        <v>290</v>
      </c>
      <c r="N208" s="223"/>
      <c r="O208" s="122">
        <f t="shared" si="83"/>
        <v>0</v>
      </c>
      <c r="P208" s="123" t="e">
        <f t="shared" si="84"/>
        <v>#DIV/0!</v>
      </c>
      <c r="Q208" s="115"/>
      <c r="S208">
        <f t="shared" si="99"/>
        <v>0</v>
      </c>
      <c r="T208" s="44">
        <f>E208+апр!I202</f>
        <v>0</v>
      </c>
      <c r="U208" s="30">
        <f>F208+апр!J202</f>
        <v>0</v>
      </c>
    </row>
    <row r="209" spans="1:22" ht="34.5" customHeight="1">
      <c r="A209" s="18" t="s">
        <v>284</v>
      </c>
      <c r="B209" s="26" t="s">
        <v>231</v>
      </c>
      <c r="C209" s="8" t="s">
        <v>4</v>
      </c>
      <c r="D209" s="10">
        <v>0</v>
      </c>
      <c r="E209" s="8"/>
      <c r="F209" s="8"/>
      <c r="G209" s="10">
        <f t="shared" si="78"/>
        <v>0</v>
      </c>
      <c r="H209" s="10">
        <f>D209+сентябрь!H209</f>
        <v>0</v>
      </c>
      <c r="I209" s="8">
        <f>E209+сентябрь!I209</f>
        <v>0</v>
      </c>
      <c r="J209" s="54">
        <f>F209+сентябрь!J209</f>
        <v>0</v>
      </c>
      <c r="K209" s="10">
        <f t="shared" si="80"/>
        <v>0</v>
      </c>
      <c r="L209" s="16" t="e">
        <f t="shared" si="89"/>
        <v>#DIV/0!</v>
      </c>
      <c r="M209" s="222" t="s">
        <v>290</v>
      </c>
      <c r="N209" s="223"/>
      <c r="O209" s="122">
        <f t="shared" si="83"/>
        <v>0</v>
      </c>
      <c r="P209" s="123" t="e">
        <f t="shared" si="84"/>
        <v>#DIV/0!</v>
      </c>
      <c r="Q209" s="115"/>
      <c r="S209">
        <f t="shared" si="99"/>
        <v>0</v>
      </c>
      <c r="T209" s="44">
        <f>E209+апр!I203</f>
        <v>0</v>
      </c>
      <c r="U209" s="30">
        <f>F209+апр!J203</f>
        <v>0</v>
      </c>
    </row>
    <row r="210" spans="1:22" ht="17.25" customHeight="1">
      <c r="A210" s="18" t="s">
        <v>348</v>
      </c>
      <c r="B210" s="26" t="s">
        <v>230</v>
      </c>
      <c r="C210" s="8" t="s">
        <v>4</v>
      </c>
      <c r="D210" s="10">
        <v>0</v>
      </c>
      <c r="E210" s="8"/>
      <c r="F210" s="8"/>
      <c r="G210" s="10">
        <f t="shared" si="78"/>
        <v>0</v>
      </c>
      <c r="H210" s="10">
        <f>D210+сентябрь!H210</f>
        <v>7349.96</v>
      </c>
      <c r="I210" s="8">
        <f>E210+сентябрь!I210</f>
        <v>0</v>
      </c>
      <c r="J210" s="54">
        <f>F210+сентябрь!J210</f>
        <v>0</v>
      </c>
      <c r="K210" s="10">
        <f t="shared" si="80"/>
        <v>0</v>
      </c>
      <c r="L210" s="16"/>
      <c r="M210" s="220"/>
      <c r="N210" s="221"/>
      <c r="O210" s="122">
        <f t="shared" si="83"/>
        <v>-7349.96</v>
      </c>
      <c r="P210" s="123">
        <f t="shared" si="84"/>
        <v>-100</v>
      </c>
      <c r="Q210" s="114"/>
      <c r="S210">
        <f t="shared" si="99"/>
        <v>0</v>
      </c>
      <c r="T210" s="44">
        <f>E210+апр!I204</f>
        <v>0</v>
      </c>
      <c r="U210" s="30">
        <f>F210+апр!J204</f>
        <v>0</v>
      </c>
    </row>
    <row r="211" spans="1:22" ht="17.25" customHeight="1">
      <c r="A211" s="18" t="s">
        <v>349</v>
      </c>
      <c r="B211" s="26" t="s">
        <v>350</v>
      </c>
      <c r="C211" s="8" t="s">
        <v>4</v>
      </c>
      <c r="D211" s="10"/>
      <c r="E211" s="8"/>
      <c r="F211" s="8"/>
      <c r="G211" s="10"/>
      <c r="H211" s="10"/>
      <c r="I211" s="8"/>
      <c r="J211" s="10">
        <v>331.32499999999999</v>
      </c>
      <c r="K211" s="10"/>
      <c r="L211" s="16"/>
      <c r="M211" s="188"/>
      <c r="N211" s="189"/>
      <c r="O211" s="122"/>
      <c r="P211" s="123"/>
      <c r="Q211" s="114"/>
      <c r="T211" s="44"/>
      <c r="U211" s="30"/>
    </row>
    <row r="212" spans="1:22" ht="21" customHeight="1">
      <c r="A212" s="196" t="s">
        <v>190</v>
      </c>
      <c r="B212" s="6" t="s">
        <v>191</v>
      </c>
      <c r="C212" s="196" t="s">
        <v>4</v>
      </c>
      <c r="D212" s="7">
        <f>D8+D144</f>
        <v>76555.231</v>
      </c>
      <c r="E212" s="21">
        <f>E8+E144</f>
        <v>71086.831999999995</v>
      </c>
      <c r="F212" s="7">
        <f>F8+F144</f>
        <v>74415.20749999999</v>
      </c>
      <c r="G212" s="10">
        <f t="shared" ref="G212:G220" si="100">F212-E212</f>
        <v>3328.3754999999946</v>
      </c>
      <c r="H212" s="7">
        <f>H8+H144</f>
        <v>773681.04317322909</v>
      </c>
      <c r="I212" s="7">
        <f>I8+I144</f>
        <v>685108.88378061762</v>
      </c>
      <c r="J212" s="7">
        <f>J8+J144</f>
        <v>785823.30999999994</v>
      </c>
      <c r="K212" s="10">
        <f t="shared" ref="K212:K220" si="101">J212-I212</f>
        <v>100714.42621938232</v>
      </c>
      <c r="L212" s="16">
        <f t="shared" ref="L212:L220" si="102">K212/I212*100</f>
        <v>14.700499235043146</v>
      </c>
      <c r="M212" s="220"/>
      <c r="N212" s="221"/>
      <c r="O212" s="122">
        <f>J212-H212</f>
        <v>12142.26682677085</v>
      </c>
      <c r="P212" s="123">
        <f t="shared" si="84"/>
        <v>1.5694150624357701</v>
      </c>
      <c r="Q212" s="114"/>
      <c r="R212" s="30"/>
      <c r="S212">
        <f t="shared" si="99"/>
        <v>382776.15500000003</v>
      </c>
      <c r="T212" s="44">
        <f>E212+апр!I205</f>
        <v>355434.16</v>
      </c>
      <c r="U212" s="30">
        <f>F212+апр!J205</f>
        <v>357399.85599999991</v>
      </c>
    </row>
    <row r="213" spans="1:22" ht="17.25" customHeight="1">
      <c r="A213" s="196" t="s">
        <v>192</v>
      </c>
      <c r="B213" s="6" t="s">
        <v>193</v>
      </c>
      <c r="C213" s="196" t="s">
        <v>4</v>
      </c>
      <c r="D213" s="7">
        <v>1469.992</v>
      </c>
      <c r="E213" s="196">
        <v>1470.0830000000001</v>
      </c>
      <c r="F213" s="21">
        <f>F216-F212</f>
        <v>-11132.63749999999</v>
      </c>
      <c r="G213" s="16">
        <f t="shared" si="100"/>
        <v>-12602.72049999999</v>
      </c>
      <c r="H213" s="10">
        <f>D213+сентябрь!H213</f>
        <v>14699.92</v>
      </c>
      <c r="I213" s="8">
        <f>E213+сентябрь!I213</f>
        <v>14700.830000000004</v>
      </c>
      <c r="J213" s="54">
        <f>F213+сентябрь!J213</f>
        <v>73460.172079999931</v>
      </c>
      <c r="K213" s="10">
        <f t="shared" si="101"/>
        <v>58759.342079999929</v>
      </c>
      <c r="L213" s="16">
        <f t="shared" si="102"/>
        <v>399.70084736712084</v>
      </c>
      <c r="M213" s="220"/>
      <c r="N213" s="221"/>
      <c r="O213" s="122">
        <f t="shared" si="83"/>
        <v>58760.252079999933</v>
      </c>
      <c r="P213" s="123">
        <f t="shared" si="84"/>
        <v>399.73178139744931</v>
      </c>
      <c r="Q213" s="114"/>
      <c r="S213">
        <f>D213*5</f>
        <v>7349.96</v>
      </c>
      <c r="T213" s="44">
        <f>E213+апр!I206</f>
        <v>7350.4150000000009</v>
      </c>
      <c r="U213" s="30">
        <f>F213+апр!J206</f>
        <v>-3469.9179600000134</v>
      </c>
    </row>
    <row r="214" spans="1:22" ht="17.25" customHeight="1">
      <c r="A214" s="196" t="s">
        <v>194</v>
      </c>
      <c r="B214" s="6" t="s">
        <v>195</v>
      </c>
      <c r="C214" s="196" t="s">
        <v>4</v>
      </c>
      <c r="D214" s="7">
        <f>D212+D213</f>
        <v>78025.222999999998</v>
      </c>
      <c r="E214" s="21">
        <f>E212+E213</f>
        <v>72556.914999999994</v>
      </c>
      <c r="F214" s="21">
        <f>F212+F213</f>
        <v>63282.57</v>
      </c>
      <c r="G214" s="16">
        <f t="shared" si="100"/>
        <v>-9274.3449999999939</v>
      </c>
      <c r="H214" s="7">
        <f>H212+H213</f>
        <v>788380.96317322913</v>
      </c>
      <c r="I214" s="7">
        <f>I212+I213</f>
        <v>699809.71378061757</v>
      </c>
      <c r="J214" s="7">
        <f>J212+J213</f>
        <v>859283.48207999987</v>
      </c>
      <c r="K214" s="10">
        <f t="shared" si="101"/>
        <v>159473.7682993823</v>
      </c>
      <c r="L214" s="16">
        <f t="shared" si="102"/>
        <v>22.788161575787374</v>
      </c>
      <c r="M214" s="220"/>
      <c r="N214" s="221"/>
      <c r="O214" s="122">
        <f t="shared" si="83"/>
        <v>70902.51890677074</v>
      </c>
      <c r="P214" s="123">
        <f t="shared" si="84"/>
        <v>8.9934336594567785</v>
      </c>
      <c r="Q214" s="114"/>
      <c r="S214">
        <f t="shared" si="99"/>
        <v>390126.11499999999</v>
      </c>
      <c r="T214" s="44">
        <f>E214+апр!I207</f>
        <v>362784.57499999995</v>
      </c>
      <c r="U214" s="30">
        <f>F214+апр!J207</f>
        <v>353929.93803999986</v>
      </c>
    </row>
    <row r="215" spans="1:22" ht="17.25" customHeight="1">
      <c r="A215" s="224" t="s">
        <v>196</v>
      </c>
      <c r="B215" s="225" t="s">
        <v>197</v>
      </c>
      <c r="C215" s="196" t="s">
        <v>114</v>
      </c>
      <c r="D215" s="7">
        <v>559.39200000000005</v>
      </c>
      <c r="E215" s="196">
        <v>523.61</v>
      </c>
      <c r="F215" s="196">
        <v>456.68299999999999</v>
      </c>
      <c r="G215" s="10">
        <f t="shared" si="100"/>
        <v>-66.927000000000021</v>
      </c>
      <c r="H215" s="10">
        <f>D215+сентябрь!H215</f>
        <v>5593.9199999999992</v>
      </c>
      <c r="I215" s="8">
        <f>E215+сентябрь!I215</f>
        <v>5236.0999999999995</v>
      </c>
      <c r="J215" s="54">
        <f>F215+сентябрь!J215</f>
        <v>6081.5820000000003</v>
      </c>
      <c r="K215" s="10">
        <f t="shared" si="101"/>
        <v>845.48200000000088</v>
      </c>
      <c r="L215" s="16">
        <f t="shared" si="102"/>
        <v>16.147170604075569</v>
      </c>
      <c r="M215" s="220"/>
      <c r="N215" s="221"/>
      <c r="O215" s="122">
        <f t="shared" si="83"/>
        <v>487.66200000000117</v>
      </c>
      <c r="P215" s="123">
        <f t="shared" si="84"/>
        <v>8.7177149476574787</v>
      </c>
      <c r="Q215" s="114"/>
      <c r="S215">
        <f t="shared" si="99"/>
        <v>2796.96</v>
      </c>
      <c r="T215" s="44">
        <f>E215+апр!I208</f>
        <v>2618.0500000000002</v>
      </c>
      <c r="U215" s="30">
        <f>F215+апр!J208</f>
        <v>2564.0450000000001</v>
      </c>
    </row>
    <row r="216" spans="1:22" ht="17.25" customHeight="1">
      <c r="A216" s="224"/>
      <c r="B216" s="225"/>
      <c r="C216" s="196" t="s">
        <v>4</v>
      </c>
      <c r="D216" s="7">
        <f>D214</f>
        <v>78025.222999999998</v>
      </c>
      <c r="E216" s="21">
        <f>E214</f>
        <v>72556.914999999994</v>
      </c>
      <c r="F216" s="196">
        <v>63282.57</v>
      </c>
      <c r="G216" s="16">
        <f t="shared" si="100"/>
        <v>-9274.3449999999939</v>
      </c>
      <c r="H216" s="10">
        <f>D216+сентябрь!H216</f>
        <v>780252.23</v>
      </c>
      <c r="I216" s="7">
        <f>I214</f>
        <v>699809.71378061757</v>
      </c>
      <c r="J216" s="196">
        <f>J220*J215</f>
        <v>859283.48207999975</v>
      </c>
      <c r="K216" s="10">
        <f t="shared" si="101"/>
        <v>159473.76829938218</v>
      </c>
      <c r="L216" s="16">
        <f t="shared" si="102"/>
        <v>22.788161575787356</v>
      </c>
      <c r="M216" s="220"/>
      <c r="N216" s="221"/>
      <c r="O216" s="122">
        <f t="shared" si="83"/>
        <v>79031.252079999773</v>
      </c>
      <c r="P216" s="123">
        <f t="shared" si="84"/>
        <v>10.128936392786699</v>
      </c>
      <c r="Q216" s="114"/>
      <c r="S216">
        <f t="shared" si="99"/>
        <v>390126.11499999999</v>
      </c>
      <c r="T216" s="44">
        <f>E216+апр!I209</f>
        <v>362784.57499999995</v>
      </c>
      <c r="U216" s="30">
        <f>F216+апр!J209</f>
        <v>353929.93803999986</v>
      </c>
    </row>
    <row r="217" spans="1:22" ht="17.25" customHeight="1">
      <c r="A217" s="196" t="s">
        <v>198</v>
      </c>
      <c r="B217" s="197" t="s">
        <v>199</v>
      </c>
      <c r="C217" s="196" t="s">
        <v>114</v>
      </c>
      <c r="D217" s="7">
        <v>761.69899999999996</v>
      </c>
      <c r="E217" s="21">
        <v>713</v>
      </c>
      <c r="F217" s="7">
        <v>1115.5050000000001</v>
      </c>
      <c r="G217" s="10">
        <f t="shared" si="100"/>
        <v>402.50500000000011</v>
      </c>
      <c r="H217" s="10">
        <f>D217+сентябрь!H217</f>
        <v>7616.989999999998</v>
      </c>
      <c r="I217" s="8">
        <f>E217+сентябрь!I217</f>
        <v>7130</v>
      </c>
      <c r="J217" s="54">
        <f>F217+сентябрь!J217</f>
        <v>8083.107</v>
      </c>
      <c r="K217" s="10">
        <f t="shared" si="101"/>
        <v>953.10699999999997</v>
      </c>
      <c r="L217" s="16">
        <f t="shared" si="102"/>
        <v>13.367559607293128</v>
      </c>
      <c r="M217" s="220"/>
      <c r="N217" s="221"/>
      <c r="O217" s="122">
        <f t="shared" ref="O217:O220" si="103">J217-H217</f>
        <v>466.11700000000201</v>
      </c>
      <c r="P217" s="123">
        <f t="shared" ref="P217:P220" si="104">O217/H217*100</f>
        <v>6.119438255793983</v>
      </c>
      <c r="Q217" s="114"/>
      <c r="S217">
        <f t="shared" si="99"/>
        <v>3808.4949999999999</v>
      </c>
      <c r="T217" s="44">
        <f>E217+апр!I210</f>
        <v>3565</v>
      </c>
      <c r="U217" s="30">
        <f>F217+апр!J210</f>
        <v>3769.1870000000004</v>
      </c>
    </row>
    <row r="218" spans="1:22" ht="17.25" customHeight="1">
      <c r="A218" s="224" t="s">
        <v>200</v>
      </c>
      <c r="B218" s="225" t="s">
        <v>201</v>
      </c>
      <c r="C218" s="196" t="s">
        <v>202</v>
      </c>
      <c r="D218" s="21">
        <f>D219/D217*100</f>
        <v>26.559966600980168</v>
      </c>
      <c r="E218" s="21">
        <f>E219/E217*100</f>
        <v>26.562412342215985</v>
      </c>
      <c r="F218" s="21">
        <f>F219/F217*100</f>
        <v>59.060425547173715</v>
      </c>
      <c r="G218" s="10">
        <f t="shared" si="100"/>
        <v>32.498013204957729</v>
      </c>
      <c r="H218" s="21">
        <f>H219/H217*100</f>
        <v>26.559966600980168</v>
      </c>
      <c r="I218" s="21">
        <f>I219/I217*100</f>
        <v>26.562412342215996</v>
      </c>
      <c r="J218" s="21">
        <f>J219/J217*100</f>
        <v>24.761827351784401</v>
      </c>
      <c r="K218" s="10">
        <f t="shared" si="101"/>
        <v>-1.8005849904315951</v>
      </c>
      <c r="L218" s="16">
        <f t="shared" si="102"/>
        <v>-6.7786952752401239</v>
      </c>
      <c r="M218" s="220"/>
      <c r="N218" s="221"/>
      <c r="O218" s="122">
        <f t="shared" si="103"/>
        <v>-1.7981392491957671</v>
      </c>
      <c r="P218" s="123">
        <f t="shared" si="104"/>
        <v>-6.7701111082323751</v>
      </c>
      <c r="Q218" s="114"/>
      <c r="S218">
        <f t="shared" si="99"/>
        <v>132.79983300490085</v>
      </c>
      <c r="T218" s="44">
        <f>E218+апр!I211</f>
        <v>53.124824684431971</v>
      </c>
      <c r="U218" s="30">
        <f>F218+апр!J211</f>
        <v>79.647669987163141</v>
      </c>
    </row>
    <row r="219" spans="1:22" ht="17.25" customHeight="1">
      <c r="A219" s="224"/>
      <c r="B219" s="225"/>
      <c r="C219" s="196" t="s">
        <v>114</v>
      </c>
      <c r="D219" s="7">
        <f>D217-D215</f>
        <v>202.3069999999999</v>
      </c>
      <c r="E219" s="7">
        <f>E217-E215</f>
        <v>189.39</v>
      </c>
      <c r="F219" s="7">
        <f>F217-F215</f>
        <v>658.82200000000012</v>
      </c>
      <c r="G219" s="10">
        <f t="shared" si="100"/>
        <v>469.43200000000013</v>
      </c>
      <c r="H219" s="7">
        <f>H217-H215</f>
        <v>2023.0699999999988</v>
      </c>
      <c r="I219" s="7">
        <f>I217-I215</f>
        <v>1893.9000000000005</v>
      </c>
      <c r="J219" s="7">
        <f>J217-J215</f>
        <v>2001.5249999999996</v>
      </c>
      <c r="K219" s="10">
        <f t="shared" si="101"/>
        <v>107.62499999999909</v>
      </c>
      <c r="L219" s="16">
        <f t="shared" si="102"/>
        <v>5.6827182005385213</v>
      </c>
      <c r="M219" s="220"/>
      <c r="N219" s="221"/>
      <c r="O219" s="122">
        <f t="shared" si="103"/>
        <v>-21.544999999999163</v>
      </c>
      <c r="P219" s="123">
        <f t="shared" si="104"/>
        <v>-1.0649656215553183</v>
      </c>
      <c r="Q219" s="114"/>
      <c r="S219">
        <f t="shared" si="99"/>
        <v>1011.5349999999995</v>
      </c>
      <c r="T219" s="44">
        <f>E219+апр!I212</f>
        <v>946.94999999999993</v>
      </c>
      <c r="U219" s="30">
        <f>F219+апр!J212</f>
        <v>1205.1420000000003</v>
      </c>
    </row>
    <row r="220" spans="1:22" s="1" customFormat="1" ht="21" customHeight="1">
      <c r="A220" s="196" t="s">
        <v>203</v>
      </c>
      <c r="B220" s="6" t="s">
        <v>204</v>
      </c>
      <c r="C220" s="196" t="s">
        <v>205</v>
      </c>
      <c r="D220" s="21">
        <f>D214/D215</f>
        <v>139.48219316686686</v>
      </c>
      <c r="E220" s="21">
        <f>E216/E215</f>
        <v>138.57052959263572</v>
      </c>
      <c r="F220" s="21">
        <f>F216/F215</f>
        <v>138.5700146491111</v>
      </c>
      <c r="G220" s="10">
        <f t="shared" si="100"/>
        <v>-5.1494352462100323E-4</v>
      </c>
      <c r="H220" s="21">
        <f>H214/H215</f>
        <v>140.93533035388944</v>
      </c>
      <c r="I220" s="21">
        <f>I214/I215</f>
        <v>133.65094512721637</v>
      </c>
      <c r="J220" s="21">
        <f>J214/J215</f>
        <v>141.29275607563949</v>
      </c>
      <c r="K220" s="10">
        <f t="shared" si="101"/>
        <v>7.6418109484231138</v>
      </c>
      <c r="L220" s="16">
        <f t="shared" si="102"/>
        <v>5.7177380535163556</v>
      </c>
      <c r="M220" s="220"/>
      <c r="N220" s="221"/>
      <c r="O220" s="122">
        <f t="shared" si="103"/>
        <v>0.35742572175004739</v>
      </c>
      <c r="P220" s="123">
        <f t="shared" si="104"/>
        <v>0.2536097377801218</v>
      </c>
      <c r="Q220" s="114"/>
      <c r="R220"/>
      <c r="S220">
        <f t="shared" si="99"/>
        <v>697.41096583433432</v>
      </c>
      <c r="T220" s="44">
        <f>E220+апр!I213</f>
        <v>277.14105918527144</v>
      </c>
      <c r="U220" s="30">
        <f>F220+апр!J213</f>
        <v>276.49001512363793</v>
      </c>
      <c r="V220"/>
    </row>
    <row r="221" spans="1:22" ht="17.25" customHeight="1">
      <c r="A221" s="8"/>
      <c r="B221" s="9" t="s">
        <v>206</v>
      </c>
      <c r="C221" s="8"/>
      <c r="D221" s="21"/>
      <c r="E221" s="8"/>
      <c r="F221" s="8"/>
      <c r="G221" s="8"/>
      <c r="H221" s="10"/>
      <c r="I221" s="8"/>
      <c r="J221" s="10"/>
      <c r="K221" s="8"/>
      <c r="L221" s="16"/>
      <c r="M221" s="220"/>
      <c r="N221" s="221"/>
      <c r="O221" s="114"/>
      <c r="P221" s="114"/>
      <c r="Q221" s="114"/>
      <c r="S221">
        <f t="shared" si="99"/>
        <v>0</v>
      </c>
      <c r="T221" s="44">
        <f>E221+апр!I214</f>
        <v>0</v>
      </c>
      <c r="U221" s="30">
        <f>F221+апр!J214</f>
        <v>0</v>
      </c>
    </row>
    <row r="222" spans="1:22" ht="35.25" customHeight="1">
      <c r="A222" s="8">
        <v>7</v>
      </c>
      <c r="B222" s="9" t="s">
        <v>207</v>
      </c>
      <c r="C222" s="8" t="s">
        <v>208</v>
      </c>
      <c r="D222" s="14">
        <f>D223+D224</f>
        <v>253</v>
      </c>
      <c r="E222" s="14">
        <f t="shared" ref="E222:G222" si="105">E223+E224</f>
        <v>0</v>
      </c>
      <c r="F222" s="14">
        <f t="shared" si="105"/>
        <v>0</v>
      </c>
      <c r="G222" s="14">
        <f t="shared" si="105"/>
        <v>0</v>
      </c>
      <c r="H222" s="14">
        <f>H223+H224</f>
        <v>253</v>
      </c>
      <c r="I222" s="14">
        <f t="shared" ref="I222:K222" si="106">I223+I224</f>
        <v>0</v>
      </c>
      <c r="J222" s="14">
        <f t="shared" si="106"/>
        <v>172</v>
      </c>
      <c r="K222" s="14">
        <f t="shared" si="106"/>
        <v>0</v>
      </c>
      <c r="L222" s="16"/>
      <c r="M222" s="220"/>
      <c r="N222" s="221"/>
      <c r="O222" s="114"/>
      <c r="P222" s="114"/>
      <c r="Q222" s="114"/>
      <c r="S222">
        <f t="shared" si="99"/>
        <v>1265</v>
      </c>
      <c r="T222" s="44">
        <f>E222+апр!I215</f>
        <v>0</v>
      </c>
      <c r="U222" s="30">
        <f>F222+апр!J215</f>
        <v>172</v>
      </c>
    </row>
    <row r="223" spans="1:22" ht="17.25" customHeight="1">
      <c r="A223" s="18" t="s">
        <v>209</v>
      </c>
      <c r="B223" s="9" t="s">
        <v>210</v>
      </c>
      <c r="C223" s="8" t="s">
        <v>208</v>
      </c>
      <c r="D223" s="14">
        <v>236</v>
      </c>
      <c r="E223" s="8"/>
      <c r="F223" s="8"/>
      <c r="G223" s="8"/>
      <c r="H223" s="14">
        <v>236</v>
      </c>
      <c r="I223" s="8"/>
      <c r="J223" s="8">
        <v>164</v>
      </c>
      <c r="K223" s="8"/>
      <c r="L223" s="16"/>
      <c r="M223" s="220"/>
      <c r="N223" s="221"/>
      <c r="O223" s="114"/>
      <c r="P223" s="114"/>
      <c r="Q223" s="114"/>
      <c r="S223">
        <f t="shared" si="99"/>
        <v>1180</v>
      </c>
      <c r="T223" s="44">
        <f>E223+апр!I216</f>
        <v>0</v>
      </c>
      <c r="U223" s="30">
        <f>F223+апр!J216</f>
        <v>164</v>
      </c>
    </row>
    <row r="224" spans="1:22" ht="17.25" customHeight="1">
      <c r="A224" s="18" t="s">
        <v>211</v>
      </c>
      <c r="B224" s="9" t="s">
        <v>212</v>
      </c>
      <c r="C224" s="8" t="s">
        <v>208</v>
      </c>
      <c r="D224" s="14">
        <v>17</v>
      </c>
      <c r="E224" s="8"/>
      <c r="F224" s="8"/>
      <c r="G224" s="8"/>
      <c r="H224" s="14">
        <v>17</v>
      </c>
      <c r="I224" s="8"/>
      <c r="J224" s="8">
        <v>8</v>
      </c>
      <c r="K224" s="8"/>
      <c r="L224" s="16"/>
      <c r="M224" s="220"/>
      <c r="N224" s="221"/>
      <c r="O224" s="114"/>
      <c r="P224" s="114"/>
      <c r="Q224" s="114"/>
      <c r="S224">
        <f t="shared" si="99"/>
        <v>85</v>
      </c>
      <c r="T224" s="44">
        <f>E224+апр!I217</f>
        <v>0</v>
      </c>
      <c r="U224" s="30">
        <f>F224+апр!J217</f>
        <v>8</v>
      </c>
    </row>
    <row r="225" spans="1:21" ht="36" customHeight="1">
      <c r="A225" s="18" t="s">
        <v>213</v>
      </c>
      <c r="B225" s="9" t="s">
        <v>214</v>
      </c>
      <c r="C225" s="8" t="s">
        <v>16</v>
      </c>
      <c r="D225" s="14">
        <f>(D88+D151)/D222*1000</f>
        <v>86746.573122529648</v>
      </c>
      <c r="E225" s="8"/>
      <c r="F225" s="8"/>
      <c r="G225" s="8"/>
      <c r="H225" s="14">
        <f>(H88+H151)/H222*1000/10</f>
        <v>86746.573122529633</v>
      </c>
      <c r="I225" s="8"/>
      <c r="J225" s="14">
        <f>(J88+J151)/J222*1000/6</f>
        <v>198591.21027131783</v>
      </c>
      <c r="K225" s="8"/>
      <c r="L225" s="16"/>
      <c r="M225" s="220"/>
      <c r="N225" s="221"/>
      <c r="O225" s="114"/>
      <c r="P225" s="114"/>
      <c r="Q225" s="114"/>
      <c r="S225">
        <f t="shared" si="99"/>
        <v>433732.86561264825</v>
      </c>
      <c r="T225" s="44">
        <f>E225+апр!I218</f>
        <v>0</v>
      </c>
      <c r="U225" s="30">
        <f>F225+апр!J218</f>
        <v>113361.80523255812</v>
      </c>
    </row>
    <row r="226" spans="1:21" ht="17.25" customHeight="1">
      <c r="A226" s="18" t="s">
        <v>215</v>
      </c>
      <c r="B226" s="9" t="s">
        <v>210</v>
      </c>
      <c r="C226" s="8" t="s">
        <v>16</v>
      </c>
      <c r="D226" s="14">
        <f>D88/D223*1000</f>
        <v>84883.580508474581</v>
      </c>
      <c r="E226" s="8"/>
      <c r="F226" s="8"/>
      <c r="G226" s="8"/>
      <c r="H226" s="14">
        <f>H88/H223*1000/10</f>
        <v>84883.580508474566</v>
      </c>
      <c r="I226" s="8"/>
      <c r="J226" s="14">
        <f>J88/J223*1000/6</f>
        <v>193938.03353658537</v>
      </c>
      <c r="K226" s="8"/>
      <c r="L226" s="16"/>
      <c r="M226" s="220"/>
      <c r="N226" s="221"/>
      <c r="O226" s="114"/>
      <c r="P226" s="114"/>
      <c r="Q226" s="114"/>
      <c r="T226" s="44">
        <f>E226+апр!I219</f>
        <v>0</v>
      </c>
      <c r="U226" s="30">
        <f>F226+апр!J219</f>
        <v>110632.42835365853</v>
      </c>
    </row>
    <row r="227" spans="1:21" ht="17.25" customHeight="1">
      <c r="A227" s="18" t="s">
        <v>216</v>
      </c>
      <c r="B227" s="9" t="s">
        <v>212</v>
      </c>
      <c r="C227" s="8" t="s">
        <v>16</v>
      </c>
      <c r="D227" s="14">
        <f>D151/D224*1000</f>
        <v>112609.29411764705</v>
      </c>
      <c r="E227" s="8"/>
      <c r="F227" s="8"/>
      <c r="G227" s="8"/>
      <c r="H227" s="10"/>
      <c r="I227" s="8"/>
      <c r="J227" s="14">
        <f>J151/J224*1000/6</f>
        <v>293981.33333333331</v>
      </c>
      <c r="K227" s="8"/>
      <c r="L227" s="16"/>
      <c r="M227" s="220"/>
      <c r="N227" s="221"/>
      <c r="O227" s="114"/>
      <c r="P227" s="114"/>
      <c r="Q227" s="114"/>
      <c r="T227" s="44">
        <f>E227+апр!I220</f>
        <v>0</v>
      </c>
      <c r="U227" s="30">
        <f>F227+апр!J220</f>
        <v>169314.03125</v>
      </c>
    </row>
    <row r="228" spans="1:21" ht="18.75" hidden="1">
      <c r="A228" s="29"/>
      <c r="B228" s="29"/>
      <c r="C228" s="29"/>
      <c r="D228" s="29"/>
      <c r="E228" s="29"/>
      <c r="F228" s="29"/>
      <c r="G228" s="29"/>
      <c r="H228" s="29">
        <f>H227*I224*12/1000</f>
        <v>0</v>
      </c>
      <c r="I228" s="29">
        <f>H225*I223*12/1000</f>
        <v>0</v>
      </c>
      <c r="J228" s="29"/>
      <c r="K228" s="29"/>
      <c r="L228" s="29"/>
      <c r="M228" s="29"/>
      <c r="N228" s="29">
        <f>H228+I228</f>
        <v>0</v>
      </c>
      <c r="O228" s="29"/>
      <c r="P228" s="29"/>
      <c r="Q228" s="29"/>
    </row>
    <row r="229" spans="1:21" ht="18.75" hidden="1">
      <c r="A229" s="29"/>
      <c r="B229" s="29"/>
      <c r="C229" s="29"/>
      <c r="D229" s="29"/>
      <c r="E229" s="29"/>
      <c r="F229" s="29"/>
      <c r="G229" s="29"/>
      <c r="H229" s="29">
        <v>607.40800000000002</v>
      </c>
      <c r="I229" s="29">
        <v>9999.5409999999993</v>
      </c>
      <c r="J229" s="29"/>
      <c r="K229" s="29"/>
      <c r="L229" s="29"/>
      <c r="M229" s="29"/>
      <c r="N229" s="29"/>
      <c r="O229" s="29"/>
      <c r="P229" s="29"/>
      <c r="Q229" s="29"/>
    </row>
    <row r="230" spans="1:21" ht="18.75" hidden="1">
      <c r="A230" s="29"/>
      <c r="B230" s="29"/>
      <c r="C230" s="29"/>
      <c r="D230" s="29"/>
      <c r="E230" s="29"/>
      <c r="F230" s="29"/>
      <c r="G230" s="29"/>
      <c r="H230" s="29">
        <v>953.40200000000004</v>
      </c>
      <c r="I230" s="29">
        <v>10043.467000000001</v>
      </c>
      <c r="J230" s="29"/>
      <c r="K230" s="29"/>
      <c r="L230" s="29"/>
      <c r="M230" s="29"/>
      <c r="N230" s="29"/>
      <c r="O230" s="29"/>
      <c r="P230" s="29"/>
      <c r="Q230" s="29"/>
    </row>
    <row r="231" spans="1:21" ht="18.75" hidden="1">
      <c r="A231" s="29"/>
      <c r="B231" s="29"/>
      <c r="C231" s="29"/>
      <c r="D231" s="29"/>
      <c r="E231" s="29"/>
      <c r="F231" s="29"/>
      <c r="G231" s="29"/>
      <c r="H231" s="29"/>
      <c r="I231" s="29">
        <f>888.772+371.175+148.47</f>
        <v>1408.4170000000001</v>
      </c>
      <c r="J231" s="29"/>
      <c r="K231" s="29"/>
      <c r="L231" s="29"/>
      <c r="M231" s="29"/>
      <c r="N231" s="29"/>
      <c r="O231" s="29"/>
      <c r="P231" s="29"/>
      <c r="Q231" s="29"/>
    </row>
    <row r="232" spans="1:21" ht="18.75" hidden="1">
      <c r="A232" s="29"/>
      <c r="B232" s="29"/>
      <c r="C232" s="29"/>
      <c r="D232" s="29"/>
      <c r="E232" s="29"/>
      <c r="F232" s="29"/>
      <c r="G232" s="29"/>
      <c r="H232" s="29">
        <f>SUM(H228:H230)</f>
        <v>1560.81</v>
      </c>
      <c r="I232" s="29">
        <f>SUM(I228:I231)</f>
        <v>21451.425000000003</v>
      </c>
      <c r="J232" s="29"/>
      <c r="K232" s="29"/>
      <c r="L232" s="29"/>
      <c r="M232" s="29"/>
      <c r="N232" s="29">
        <f>SUM(H232:M232)</f>
        <v>23012.235000000004</v>
      </c>
      <c r="O232" s="29"/>
      <c r="P232" s="29"/>
      <c r="Q232" s="29"/>
    </row>
    <row r="233" spans="1:21" ht="72.75" customHeight="1">
      <c r="A233" s="29"/>
      <c r="B233" s="29" t="s">
        <v>322</v>
      </c>
      <c r="C233" s="29"/>
      <c r="D233" s="29"/>
      <c r="E233" s="29"/>
      <c r="F233" s="29"/>
      <c r="G233" s="29"/>
      <c r="H233" s="29"/>
      <c r="I233" s="29" t="s">
        <v>346</v>
      </c>
      <c r="J233" s="29"/>
      <c r="K233" s="29"/>
      <c r="L233" s="29"/>
      <c r="M233" s="29"/>
      <c r="N233" s="29"/>
      <c r="O233" s="29"/>
      <c r="P233" s="29"/>
      <c r="Q233" s="29"/>
    </row>
    <row r="234" spans="1:21" ht="9" customHeight="1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</row>
    <row r="235" spans="1:21" ht="52.5" hidden="1" customHeight="1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</row>
    <row r="236" spans="1:21" ht="15.75" hidden="1" customHeight="1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</row>
    <row r="237" spans="1:21" ht="27" hidden="1" customHeight="1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</row>
    <row r="238" spans="1:21" ht="30" customHeight="1">
      <c r="A238" s="29"/>
      <c r="B238" s="29" t="s">
        <v>233</v>
      </c>
      <c r="C238" s="29"/>
      <c r="D238" s="29"/>
      <c r="E238" s="29"/>
      <c r="F238" s="29"/>
      <c r="G238" s="29"/>
      <c r="H238" s="29"/>
      <c r="I238" s="29" t="s">
        <v>324</v>
      </c>
      <c r="J238" s="29"/>
      <c r="K238" s="29"/>
      <c r="L238" s="29"/>
      <c r="M238" s="29"/>
      <c r="N238" s="29"/>
      <c r="O238" s="29"/>
      <c r="P238" s="29"/>
      <c r="Q238" s="29"/>
    </row>
    <row r="239" spans="1:21" ht="28.5" customHeight="1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</row>
    <row r="240" spans="1:21" ht="4.5" hidden="1" customHeight="1">
      <c r="B240" s="3" t="s">
        <v>233</v>
      </c>
      <c r="C240" s="3"/>
      <c r="D240" s="3"/>
      <c r="E240" s="3"/>
      <c r="F240" s="3"/>
      <c r="G240" s="3"/>
      <c r="H240" t="s">
        <v>234</v>
      </c>
    </row>
    <row r="241" spans="1:7" ht="16.5" customHeight="1">
      <c r="B241" s="4"/>
      <c r="C241" s="2"/>
      <c r="D241" s="2"/>
      <c r="E241" s="2"/>
      <c r="F241" s="2"/>
      <c r="G241" s="2"/>
    </row>
    <row r="242" spans="1:7" ht="15.75">
      <c r="A242" s="2"/>
      <c r="B242" s="2"/>
      <c r="C242" s="2"/>
      <c r="D242" s="2"/>
      <c r="E242" s="2"/>
      <c r="F242" s="2"/>
      <c r="G242" s="2"/>
    </row>
    <row r="243" spans="1:7" ht="15.75">
      <c r="A243" s="2"/>
      <c r="B243" s="2"/>
      <c r="C243" s="2"/>
      <c r="D243" s="2"/>
      <c r="E243" s="2"/>
      <c r="F243" s="2"/>
      <c r="G243" s="2"/>
    </row>
    <row r="244" spans="1:7" ht="15.75">
      <c r="A244" s="2"/>
      <c r="B244" s="2"/>
      <c r="C244" s="2"/>
      <c r="D244" s="2"/>
      <c r="E244" s="2"/>
      <c r="F244" s="2"/>
      <c r="G244" s="2"/>
    </row>
    <row r="245" spans="1:7" ht="15.75">
      <c r="A245" s="4" t="s">
        <v>347</v>
      </c>
      <c r="B245" s="2"/>
      <c r="C245" s="2"/>
      <c r="D245" s="2"/>
      <c r="E245" s="2"/>
      <c r="F245" s="2"/>
      <c r="G245" s="2"/>
    </row>
    <row r="246" spans="1:7" ht="15.75">
      <c r="A246" s="2"/>
      <c r="B246" s="2"/>
      <c r="C246" s="2"/>
      <c r="D246" s="2"/>
      <c r="E246" s="2"/>
      <c r="F246" s="2"/>
      <c r="G246" s="2"/>
    </row>
  </sheetData>
  <mergeCells count="224">
    <mergeCell ref="M227:N227"/>
    <mergeCell ref="M221:N221"/>
    <mergeCell ref="M222:N222"/>
    <mergeCell ref="M223:N223"/>
    <mergeCell ref="M224:N224"/>
    <mergeCell ref="M225:N225"/>
    <mergeCell ref="M226:N226"/>
    <mergeCell ref="M217:N217"/>
    <mergeCell ref="A218:A219"/>
    <mergeCell ref="B218:B219"/>
    <mergeCell ref="M218:N218"/>
    <mergeCell ref="M219:N219"/>
    <mergeCell ref="M220:N220"/>
    <mergeCell ref="M209:N209"/>
    <mergeCell ref="M210:N210"/>
    <mergeCell ref="M212:N212"/>
    <mergeCell ref="M213:N213"/>
    <mergeCell ref="M214:N214"/>
    <mergeCell ref="A215:A216"/>
    <mergeCell ref="B215:B216"/>
    <mergeCell ref="M215:N215"/>
    <mergeCell ref="M216:N216"/>
    <mergeCell ref="M203:N203"/>
    <mergeCell ref="M204:N204"/>
    <mergeCell ref="M205:N205"/>
    <mergeCell ref="M206:N206"/>
    <mergeCell ref="M207:N207"/>
    <mergeCell ref="M208:N208"/>
    <mergeCell ref="M197:N197"/>
    <mergeCell ref="M198:N198"/>
    <mergeCell ref="M199:N199"/>
    <mergeCell ref="M200:N200"/>
    <mergeCell ref="M201:N201"/>
    <mergeCell ref="M202:N202"/>
    <mergeCell ref="M191:N191"/>
    <mergeCell ref="M192:N192"/>
    <mergeCell ref="M193:N193"/>
    <mergeCell ref="M194:N194"/>
    <mergeCell ref="M195:N195"/>
    <mergeCell ref="M196:N196"/>
    <mergeCell ref="M185:N185"/>
    <mergeCell ref="M186:N186"/>
    <mergeCell ref="M187:N187"/>
    <mergeCell ref="M188:N188"/>
    <mergeCell ref="M189:N189"/>
    <mergeCell ref="M190:N190"/>
    <mergeCell ref="M178:N178"/>
    <mergeCell ref="M179:N179"/>
    <mergeCell ref="M180:N180"/>
    <mergeCell ref="M181:N181"/>
    <mergeCell ref="M182:N182"/>
    <mergeCell ref="M183:N183"/>
    <mergeCell ref="M172:N172"/>
    <mergeCell ref="M173:N173"/>
    <mergeCell ref="M174:N174"/>
    <mergeCell ref="M175:N175"/>
    <mergeCell ref="M176:N176"/>
    <mergeCell ref="M177:N177"/>
    <mergeCell ref="M166:N166"/>
    <mergeCell ref="M167:N167"/>
    <mergeCell ref="M168:N168"/>
    <mergeCell ref="M169:N169"/>
    <mergeCell ref="M170:N170"/>
    <mergeCell ref="M171:N171"/>
    <mergeCell ref="M160:N160"/>
    <mergeCell ref="M161:N161"/>
    <mergeCell ref="M162:N162"/>
    <mergeCell ref="M163:N163"/>
    <mergeCell ref="M164:N164"/>
    <mergeCell ref="M165:N165"/>
    <mergeCell ref="M151:N151"/>
    <mergeCell ref="M152:N152"/>
    <mergeCell ref="M156:N156"/>
    <mergeCell ref="M157:N157"/>
    <mergeCell ref="M158:N158"/>
    <mergeCell ref="M159:N159"/>
    <mergeCell ref="M145:N145"/>
    <mergeCell ref="M146:N146"/>
    <mergeCell ref="M147:N147"/>
    <mergeCell ref="M148:N148"/>
    <mergeCell ref="M149:N149"/>
    <mergeCell ref="M150:N150"/>
    <mergeCell ref="M131:N131"/>
    <mergeCell ref="M132:N132"/>
    <mergeCell ref="M133:N133"/>
    <mergeCell ref="M134:N134"/>
    <mergeCell ref="M135:N135"/>
    <mergeCell ref="M144:N144"/>
    <mergeCell ref="M125:N125"/>
    <mergeCell ref="M126:N126"/>
    <mergeCell ref="M127:N127"/>
    <mergeCell ref="M128:N128"/>
    <mergeCell ref="M129:N129"/>
    <mergeCell ref="M130:N130"/>
    <mergeCell ref="M119:N119"/>
    <mergeCell ref="M120:N120"/>
    <mergeCell ref="M121:N121"/>
    <mergeCell ref="M122:N122"/>
    <mergeCell ref="M123:N123"/>
    <mergeCell ref="M124:N124"/>
    <mergeCell ref="M113:N113"/>
    <mergeCell ref="M114:N114"/>
    <mergeCell ref="M115:N115"/>
    <mergeCell ref="M116:N116"/>
    <mergeCell ref="M117:N117"/>
    <mergeCell ref="M118:N118"/>
    <mergeCell ref="M107:N107"/>
    <mergeCell ref="M108:N108"/>
    <mergeCell ref="M109:N109"/>
    <mergeCell ref="M110:N110"/>
    <mergeCell ref="M111:N111"/>
    <mergeCell ref="M112:N112"/>
    <mergeCell ref="M101:N101"/>
    <mergeCell ref="M102:N102"/>
    <mergeCell ref="M103:N103"/>
    <mergeCell ref="M104:N104"/>
    <mergeCell ref="M105:N105"/>
    <mergeCell ref="M106:N106"/>
    <mergeCell ref="M95:N95"/>
    <mergeCell ref="M96:N96"/>
    <mergeCell ref="M97:N97"/>
    <mergeCell ref="M98:N98"/>
    <mergeCell ref="M99:N99"/>
    <mergeCell ref="M100:N100"/>
    <mergeCell ref="M86:N86"/>
    <mergeCell ref="M87:N87"/>
    <mergeCell ref="M88:N88"/>
    <mergeCell ref="M89:N89"/>
    <mergeCell ref="M93:N93"/>
    <mergeCell ref="M94:N94"/>
    <mergeCell ref="M79:N79"/>
    <mergeCell ref="M80:N80"/>
    <mergeCell ref="M81:N81"/>
    <mergeCell ref="M82:N82"/>
    <mergeCell ref="M83:N83"/>
    <mergeCell ref="M84:N85"/>
    <mergeCell ref="M73:N73"/>
    <mergeCell ref="M74:N74"/>
    <mergeCell ref="M75:N75"/>
    <mergeCell ref="M76:N76"/>
    <mergeCell ref="M77:N77"/>
    <mergeCell ref="M78:N78"/>
    <mergeCell ref="M66:N66"/>
    <mergeCell ref="M67:N67"/>
    <mergeCell ref="M68:N68"/>
    <mergeCell ref="M69:N70"/>
    <mergeCell ref="M71:N71"/>
    <mergeCell ref="M72:N72"/>
    <mergeCell ref="M59:N59"/>
    <mergeCell ref="M60:N61"/>
    <mergeCell ref="M62:N62"/>
    <mergeCell ref="M63:N63"/>
    <mergeCell ref="M64:N64"/>
    <mergeCell ref="M65:N65"/>
    <mergeCell ref="M52:N52"/>
    <mergeCell ref="M53:N53"/>
    <mergeCell ref="M54:N54"/>
    <mergeCell ref="M55:N55"/>
    <mergeCell ref="M56:N56"/>
    <mergeCell ref="M57:N58"/>
    <mergeCell ref="M46:N46"/>
    <mergeCell ref="M47:N47"/>
    <mergeCell ref="M48:N48"/>
    <mergeCell ref="M49:N49"/>
    <mergeCell ref="M50:N50"/>
    <mergeCell ref="M51:N51"/>
    <mergeCell ref="M39:N39"/>
    <mergeCell ref="M40:N40"/>
    <mergeCell ref="M41:N41"/>
    <mergeCell ref="M42:N43"/>
    <mergeCell ref="M44:N44"/>
    <mergeCell ref="M45:N45"/>
    <mergeCell ref="M33:N33"/>
    <mergeCell ref="M34:N34"/>
    <mergeCell ref="M35:N35"/>
    <mergeCell ref="M36:N36"/>
    <mergeCell ref="M37:N37"/>
    <mergeCell ref="M38:N38"/>
    <mergeCell ref="M27:N27"/>
    <mergeCell ref="M28:N28"/>
    <mergeCell ref="M29:N29"/>
    <mergeCell ref="M30:N30"/>
    <mergeCell ref="M31:N31"/>
    <mergeCell ref="M32:N32"/>
    <mergeCell ref="M21:N21"/>
    <mergeCell ref="M22:N22"/>
    <mergeCell ref="M23:N23"/>
    <mergeCell ref="M24:N24"/>
    <mergeCell ref="M25:N25"/>
    <mergeCell ref="M26:N26"/>
    <mergeCell ref="M15:N15"/>
    <mergeCell ref="M16:N16"/>
    <mergeCell ref="M17:N17"/>
    <mergeCell ref="M18:N18"/>
    <mergeCell ref="M19:N19"/>
    <mergeCell ref="M20:N20"/>
    <mergeCell ref="M9:N9"/>
    <mergeCell ref="M10:N10"/>
    <mergeCell ref="M11:N11"/>
    <mergeCell ref="M12:N12"/>
    <mergeCell ref="M13:N13"/>
    <mergeCell ref="M14:N14"/>
    <mergeCell ref="O5:O6"/>
    <mergeCell ref="P5:P6"/>
    <mergeCell ref="M7:N7"/>
    <mergeCell ref="M8:N8"/>
    <mergeCell ref="E5:E6"/>
    <mergeCell ref="F5:F6"/>
    <mergeCell ref="G5:G6"/>
    <mergeCell ref="H5:H6"/>
    <mergeCell ref="I5:I6"/>
    <mergeCell ref="J5:J6"/>
    <mergeCell ref="A1:N1"/>
    <mergeCell ref="A2:N2"/>
    <mergeCell ref="A3:C3"/>
    <mergeCell ref="A4:A6"/>
    <mergeCell ref="B4:B6"/>
    <mergeCell ref="C4:C6"/>
    <mergeCell ref="D4:G4"/>
    <mergeCell ref="H4:L4"/>
    <mergeCell ref="M4:N6"/>
    <mergeCell ref="D5:D6"/>
    <mergeCell ref="K5:K6"/>
    <mergeCell ref="L5:L6"/>
  </mergeCells>
  <pageMargins left="0" right="0" top="0.94488188976377963" bottom="0.39370078740157483" header="0.31496062992125984" footer="0.31496062992125984"/>
  <pageSetup paperSize="9" scale="78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V247"/>
  <sheetViews>
    <sheetView workbookViewId="0">
      <pane xSplit="10" ySplit="15" topLeftCell="K16" activePane="bottomRight" state="frozen"/>
      <selection pane="topRight" activeCell="J1" sqref="J1"/>
      <selection pane="bottomLeft" activeCell="A16" sqref="A16"/>
      <selection pane="bottomRight" activeCell="F144" sqref="F144"/>
    </sheetView>
  </sheetViews>
  <sheetFormatPr defaultRowHeight="15"/>
  <cols>
    <col min="1" max="1" width="6.5703125" customWidth="1"/>
    <col min="2" max="2" width="35" customWidth="1"/>
    <col min="3" max="3" width="13.140625" customWidth="1"/>
    <col min="4" max="4" width="14.5703125" customWidth="1"/>
    <col min="5" max="5" width="13" customWidth="1"/>
    <col min="6" max="6" width="14.5703125" style="60" customWidth="1"/>
    <col min="7" max="8" width="15" customWidth="1"/>
    <col min="9" max="9" width="14.7109375" style="60" customWidth="1"/>
    <col min="10" max="11" width="15" customWidth="1"/>
    <col min="12" max="12" width="10.7109375" customWidth="1"/>
    <col min="13" max="13" width="14.85546875" hidden="1" customWidth="1"/>
    <col min="14" max="14" width="6" hidden="1" customWidth="1"/>
    <col min="15" max="15" width="11.85546875" customWidth="1"/>
    <col min="16" max="16" width="9.7109375" customWidth="1"/>
    <col min="17" max="17" width="11.140625" customWidth="1"/>
    <col min="18" max="18" width="13.42578125" customWidth="1"/>
    <col min="19" max="19" width="12.85546875" customWidth="1"/>
    <col min="20" max="20" width="13.28515625" customWidth="1"/>
    <col min="21" max="21" width="13.7109375" customWidth="1"/>
    <col min="22" max="22" width="11.85546875" customWidth="1"/>
    <col min="23" max="27" width="9.140625" customWidth="1"/>
  </cols>
  <sheetData>
    <row r="1" spans="1:22" ht="54" customHeight="1">
      <c r="A1" s="241" t="s">
        <v>226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00"/>
      <c r="P1" s="200"/>
      <c r="Q1" s="200"/>
    </row>
    <row r="2" spans="1:22" ht="42.75" customHeight="1">
      <c r="A2" s="242" t="s">
        <v>351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01"/>
      <c r="P2" s="201"/>
      <c r="Q2" s="201"/>
      <c r="T2" s="30"/>
    </row>
    <row r="3" spans="1:22" ht="1.5" customHeight="1">
      <c r="A3" s="243"/>
      <c r="B3" s="243"/>
      <c r="C3" s="243"/>
      <c r="D3" s="202"/>
      <c r="E3" s="202"/>
      <c r="F3" s="202"/>
      <c r="G3" s="202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22" ht="18.75">
      <c r="A4" s="244" t="s">
        <v>0</v>
      </c>
      <c r="B4" s="247" t="s">
        <v>1</v>
      </c>
      <c r="C4" s="244" t="s">
        <v>217</v>
      </c>
      <c r="D4" s="250" t="s">
        <v>304</v>
      </c>
      <c r="E4" s="251"/>
      <c r="F4" s="251"/>
      <c r="G4" s="252"/>
      <c r="H4" s="250" t="s">
        <v>227</v>
      </c>
      <c r="I4" s="251"/>
      <c r="J4" s="251"/>
      <c r="K4" s="251"/>
      <c r="L4" s="252"/>
      <c r="M4" s="253" t="s">
        <v>239</v>
      </c>
      <c r="N4" s="254"/>
      <c r="O4" s="121"/>
      <c r="P4" s="121"/>
      <c r="Q4" s="112"/>
    </row>
    <row r="5" spans="1:22" ht="15" customHeight="1">
      <c r="A5" s="245"/>
      <c r="B5" s="248"/>
      <c r="C5" s="245"/>
      <c r="D5" s="237" t="s">
        <v>305</v>
      </c>
      <c r="E5" s="237" t="s">
        <v>306</v>
      </c>
      <c r="F5" s="237" t="s">
        <v>229</v>
      </c>
      <c r="G5" s="237" t="s">
        <v>219</v>
      </c>
      <c r="H5" s="237" t="s">
        <v>305</v>
      </c>
      <c r="I5" s="237" t="s">
        <v>306</v>
      </c>
      <c r="J5" s="237" t="s">
        <v>229</v>
      </c>
      <c r="K5" s="237" t="s">
        <v>341</v>
      </c>
      <c r="L5" s="237" t="s">
        <v>342</v>
      </c>
      <c r="M5" s="255"/>
      <c r="N5" s="256"/>
      <c r="O5" s="237" t="s">
        <v>329</v>
      </c>
      <c r="P5" s="237" t="s">
        <v>330</v>
      </c>
      <c r="Q5" s="112"/>
      <c r="T5" s="30">
        <f>F78+F81+F84</f>
        <v>0</v>
      </c>
    </row>
    <row r="6" spans="1:22" ht="41.25" customHeight="1">
      <c r="A6" s="246"/>
      <c r="B6" s="249"/>
      <c r="C6" s="246"/>
      <c r="D6" s="238"/>
      <c r="E6" s="238"/>
      <c r="F6" s="238"/>
      <c r="G6" s="238"/>
      <c r="H6" s="238"/>
      <c r="I6" s="238"/>
      <c r="J6" s="238"/>
      <c r="K6" s="238"/>
      <c r="L6" s="238"/>
      <c r="M6" s="257"/>
      <c r="N6" s="258"/>
      <c r="O6" s="238"/>
      <c r="P6" s="238"/>
      <c r="Q6" s="112"/>
    </row>
    <row r="7" spans="1:22" ht="15.75" customHeight="1">
      <c r="A7" s="35">
        <v>1</v>
      </c>
      <c r="B7" s="35">
        <v>2</v>
      </c>
      <c r="C7" s="35">
        <v>3</v>
      </c>
      <c r="D7" s="35"/>
      <c r="E7" s="35"/>
      <c r="F7" s="35"/>
      <c r="G7" s="35"/>
      <c r="H7" s="35">
        <v>4</v>
      </c>
      <c r="I7" s="35">
        <v>5</v>
      </c>
      <c r="J7" s="35">
        <v>6</v>
      </c>
      <c r="K7" s="35"/>
      <c r="L7" s="35">
        <v>7</v>
      </c>
      <c r="M7" s="239">
        <v>8</v>
      </c>
      <c r="N7" s="240"/>
      <c r="O7" s="119"/>
      <c r="P7" s="120"/>
      <c r="Q7" s="113"/>
      <c r="R7" s="30">
        <f>J8-R8</f>
        <v>485398.81749999989</v>
      </c>
      <c r="S7">
        <v>272681.63099999999</v>
      </c>
      <c r="T7" s="30">
        <f>J8-S7</f>
        <v>486039.2724999999</v>
      </c>
    </row>
    <row r="8" spans="1:22" ht="39" customHeight="1">
      <c r="A8" s="206" t="s">
        <v>2</v>
      </c>
      <c r="B8" s="6" t="s">
        <v>3</v>
      </c>
      <c r="C8" s="206" t="s">
        <v>4</v>
      </c>
      <c r="D8" s="7">
        <f>D9+D87+D93+D95+D97</f>
        <v>73170.115000000005</v>
      </c>
      <c r="E8" s="21">
        <f>E9+E87+E93+E95+E97</f>
        <v>68097.582999999999</v>
      </c>
      <c r="F8" s="7">
        <f>F9+F87+F93+F95+F97</f>
        <v>69123.687999999995</v>
      </c>
      <c r="G8" s="7">
        <f>F8-E8</f>
        <v>1026.1049999999959</v>
      </c>
      <c r="H8" s="7">
        <f>H9+H87+H93+H95+H97</f>
        <v>778353.59400000004</v>
      </c>
      <c r="I8" s="21">
        <f>I9+I87+I93+I95+I97</f>
        <v>656667.82999999996</v>
      </c>
      <c r="J8" s="7">
        <f>J9+J87+J93+J95+J97</f>
        <v>758720.9034999999</v>
      </c>
      <c r="K8" s="71">
        <f>J8-I8</f>
        <v>102053.07349999994</v>
      </c>
      <c r="L8" s="21">
        <f>K8/I8*100</f>
        <v>15.54104965062777</v>
      </c>
      <c r="M8" s="220"/>
      <c r="N8" s="221"/>
      <c r="O8" s="122">
        <f>J8-H8</f>
        <v>-19632.690500000142</v>
      </c>
      <c r="P8" s="123">
        <f>O8/H8*100</f>
        <v>-2.5223356905319489</v>
      </c>
      <c r="Q8" s="118"/>
      <c r="R8">
        <f>640.455+272681.631</f>
        <v>273322.08600000001</v>
      </c>
      <c r="S8">
        <f>D8*5</f>
        <v>365850.57500000001</v>
      </c>
      <c r="T8" s="44">
        <f>E8+апр!I8</f>
        <v>340487.91499999998</v>
      </c>
      <c r="U8" s="30">
        <f>F8+апр!J8</f>
        <v>342935.14049999986</v>
      </c>
      <c r="V8" s="30">
        <f>J8-U8</f>
        <v>415785.76300000004</v>
      </c>
    </row>
    <row r="9" spans="1:22" ht="17.25" customHeight="1">
      <c r="A9" s="206" t="s">
        <v>5</v>
      </c>
      <c r="B9" s="6" t="s">
        <v>6</v>
      </c>
      <c r="C9" s="206" t="s">
        <v>4</v>
      </c>
      <c r="D9" s="7">
        <f>D10+D37+D72</f>
        <v>35732.106</v>
      </c>
      <c r="E9" s="21">
        <f>E10+E37+E72</f>
        <v>32135.084000000003</v>
      </c>
      <c r="F9" s="7">
        <f>F10+F37+F72</f>
        <v>28991.26</v>
      </c>
      <c r="G9" s="7">
        <f>F9-E9</f>
        <v>-3143.8240000000042</v>
      </c>
      <c r="H9" s="7">
        <f>H10+H37+H72</f>
        <v>366535.495</v>
      </c>
      <c r="I9" s="21">
        <f>I10+I37+I72</f>
        <v>297044.17300000001</v>
      </c>
      <c r="J9" s="7">
        <f>J10+J37+J72</f>
        <v>369719.96400000004</v>
      </c>
      <c r="K9" s="21">
        <f>J9-I9</f>
        <v>72675.791000000027</v>
      </c>
      <c r="L9" s="21">
        <f>K9/I9*100</f>
        <v>24.466324407582309</v>
      </c>
      <c r="M9" s="220"/>
      <c r="N9" s="221"/>
      <c r="O9" s="122">
        <f t="shared" ref="O9:O72" si="0">J9-H9</f>
        <v>3184.469000000041</v>
      </c>
      <c r="P9" s="123">
        <f t="shared" ref="P9:P72" si="1">O9/H9*100</f>
        <v>0.86880235159763752</v>
      </c>
      <c r="Q9" s="114"/>
      <c r="S9">
        <f t="shared" ref="S9:S72" si="2">D9*5</f>
        <v>178660.53</v>
      </c>
      <c r="T9" s="44">
        <f>E9+апр!I9</f>
        <v>160675.42000000001</v>
      </c>
      <c r="U9" s="30">
        <f>F9+апр!J9</f>
        <v>167958.28200000001</v>
      </c>
    </row>
    <row r="10" spans="1:22" ht="17.25" customHeight="1">
      <c r="A10" s="8" t="s">
        <v>7</v>
      </c>
      <c r="B10" s="9" t="s">
        <v>8</v>
      </c>
      <c r="C10" s="8" t="s">
        <v>4</v>
      </c>
      <c r="D10" s="10">
        <f>D11+D30+D35</f>
        <v>7601.0440000000008</v>
      </c>
      <c r="E10" s="10">
        <f>E11+E30+E35</f>
        <v>5895.3339999999998</v>
      </c>
      <c r="F10" s="10">
        <f>F11+F30+F35</f>
        <v>3985.2429999999999</v>
      </c>
      <c r="G10" s="10">
        <f>F10-E10</f>
        <v>-1910.0909999999999</v>
      </c>
      <c r="H10" s="10">
        <f>H11+H30+H35</f>
        <v>83611.484000000011</v>
      </c>
      <c r="I10" s="10">
        <f>I11+I30+I35</f>
        <v>58953.34</v>
      </c>
      <c r="J10" s="10">
        <f>J11+J30+J35</f>
        <v>71282.947</v>
      </c>
      <c r="K10" s="10">
        <f>J10-I10</f>
        <v>12329.607000000004</v>
      </c>
      <c r="L10" s="16">
        <f>K10/I10*100</f>
        <v>20.91417890826882</v>
      </c>
      <c r="M10" s="220"/>
      <c r="N10" s="221"/>
      <c r="O10" s="122">
        <f t="shared" si="0"/>
        <v>-12328.537000000011</v>
      </c>
      <c r="P10" s="123">
        <f t="shared" si="1"/>
        <v>-14.745028326491621</v>
      </c>
      <c r="Q10" s="114"/>
      <c r="S10">
        <f t="shared" si="2"/>
        <v>38005.22</v>
      </c>
      <c r="T10" s="44">
        <f>E10+апр!I10</f>
        <v>29476.67</v>
      </c>
      <c r="U10" s="30">
        <f>F10+апр!J10</f>
        <v>26687.954999999998</v>
      </c>
    </row>
    <row r="11" spans="1:22" ht="17.25" customHeight="1">
      <c r="A11" s="8" t="s">
        <v>9</v>
      </c>
      <c r="B11" s="9" t="s">
        <v>10</v>
      </c>
      <c r="C11" s="8" t="s">
        <v>4</v>
      </c>
      <c r="D11" s="10">
        <f>D12+D15+D18+D21+D24+D27</f>
        <v>5032.2450000000008</v>
      </c>
      <c r="E11" s="8">
        <v>4970.0829999999996</v>
      </c>
      <c r="F11" s="10">
        <f>F12+F15+F18+F21+F24+F27</f>
        <v>3640.72</v>
      </c>
      <c r="G11" s="10">
        <f t="shared" ref="G11:G74" si="3">F11-E11</f>
        <v>-1329.3629999999998</v>
      </c>
      <c r="H11" s="10">
        <f>H12+H15+H18+H21+H24+H27</f>
        <v>55354.695</v>
      </c>
      <c r="I11" s="8">
        <f>E11+сентябрь!I11</f>
        <v>49700.829999999994</v>
      </c>
      <c r="J11" s="10">
        <f>J12+J15+J18+J21+J24+J27</f>
        <v>49000.108999999997</v>
      </c>
      <c r="K11" s="10">
        <f t="shared" ref="K11:K74" si="4">J11-I11</f>
        <v>-700.72099999999773</v>
      </c>
      <c r="L11" s="16">
        <f t="shared" ref="L11:L72" si="5">K11/I11*100</f>
        <v>-1.4098778632067066</v>
      </c>
      <c r="M11" s="220"/>
      <c r="N11" s="221"/>
      <c r="O11" s="122">
        <f t="shared" si="0"/>
        <v>-6354.586000000003</v>
      </c>
      <c r="P11" s="123">
        <f t="shared" si="1"/>
        <v>-11.479759756602403</v>
      </c>
      <c r="Q11" s="114"/>
      <c r="S11">
        <f t="shared" si="2"/>
        <v>25161.225000000006</v>
      </c>
      <c r="T11" s="44">
        <f>E11+апр!I11</f>
        <v>24850.414999999997</v>
      </c>
      <c r="U11" s="30">
        <f>F11+апр!J11</f>
        <v>15387.135</v>
      </c>
    </row>
    <row r="12" spans="1:22" ht="18.75" customHeight="1">
      <c r="A12" s="8" t="s">
        <v>11</v>
      </c>
      <c r="B12" s="9" t="s">
        <v>12</v>
      </c>
      <c r="C12" s="8" t="s">
        <v>4</v>
      </c>
      <c r="D12" s="10">
        <v>852.13199999999995</v>
      </c>
      <c r="E12" s="8"/>
      <c r="F12" s="54">
        <v>1020</v>
      </c>
      <c r="G12" s="10">
        <f t="shared" si="3"/>
        <v>1020</v>
      </c>
      <c r="H12" s="10">
        <f>D12+октябрь!H12</f>
        <v>9373.4519999999975</v>
      </c>
      <c r="I12" s="8"/>
      <c r="J12" s="183">
        <f>F12+октябрь!J12</f>
        <v>14071.636</v>
      </c>
      <c r="K12" s="10">
        <f t="shared" si="4"/>
        <v>14071.636</v>
      </c>
      <c r="L12" s="16"/>
      <c r="M12" s="222" t="s">
        <v>297</v>
      </c>
      <c r="N12" s="223"/>
      <c r="O12" s="122">
        <f t="shared" si="0"/>
        <v>4698.1840000000029</v>
      </c>
      <c r="P12" s="123">
        <f t="shared" si="1"/>
        <v>50.122238850745745</v>
      </c>
      <c r="S12">
        <f t="shared" si="2"/>
        <v>4260.66</v>
      </c>
      <c r="T12" s="44">
        <f>E12+апр!I12</f>
        <v>0</v>
      </c>
      <c r="U12" s="30">
        <f>F12+апр!J12</f>
        <v>3339.59</v>
      </c>
    </row>
    <row r="13" spans="1:22" ht="17.25" customHeight="1">
      <c r="A13" s="8"/>
      <c r="B13" s="12" t="s">
        <v>13</v>
      </c>
      <c r="C13" s="13" t="s">
        <v>14</v>
      </c>
      <c r="D13" s="14">
        <v>3667</v>
      </c>
      <c r="E13" s="13"/>
      <c r="F13" s="8"/>
      <c r="G13" s="10">
        <f t="shared" si="3"/>
        <v>0</v>
      </c>
      <c r="H13" s="10">
        <f>D13+октябрь!H13</f>
        <v>40337</v>
      </c>
      <c r="I13" s="8"/>
      <c r="J13" s="183">
        <f>F13+октябрь!J13</f>
        <v>34.588999999999999</v>
      </c>
      <c r="K13" s="10">
        <f t="shared" si="4"/>
        <v>34.588999999999999</v>
      </c>
      <c r="L13" s="16"/>
      <c r="M13" s="220"/>
      <c r="N13" s="221"/>
      <c r="O13" s="122">
        <f t="shared" si="0"/>
        <v>-40302.411</v>
      </c>
      <c r="P13" s="123">
        <f t="shared" si="1"/>
        <v>-99.914249944219947</v>
      </c>
      <c r="Q13" s="114"/>
      <c r="S13">
        <f t="shared" si="2"/>
        <v>18335</v>
      </c>
      <c r="T13" s="44">
        <f>E13+апр!I13</f>
        <v>0</v>
      </c>
      <c r="U13" s="30">
        <f>F13+апр!J13</f>
        <v>7641</v>
      </c>
    </row>
    <row r="14" spans="1:22" ht="17.25" customHeight="1">
      <c r="A14" s="15"/>
      <c r="B14" s="12" t="s">
        <v>15</v>
      </c>
      <c r="C14" s="13" t="s">
        <v>16</v>
      </c>
      <c r="D14" s="16">
        <f>D12/D13*1000</f>
        <v>232.37851104445048</v>
      </c>
      <c r="E14" s="16"/>
      <c r="F14" s="16" t="e">
        <f t="shared" ref="F14" si="6">F12/F13*1000</f>
        <v>#DIV/0!</v>
      </c>
      <c r="G14" s="10" t="e">
        <f t="shared" si="3"/>
        <v>#DIV/0!</v>
      </c>
      <c r="H14" s="16">
        <f>H12/H13*1000</f>
        <v>232.37851104445045</v>
      </c>
      <c r="I14" s="16"/>
      <c r="J14" s="16">
        <f t="shared" ref="J14" si="7">J12/J13*1000</f>
        <v>406824.0191968545</v>
      </c>
      <c r="K14" s="10">
        <f t="shared" si="4"/>
        <v>406824.0191968545</v>
      </c>
      <c r="L14" s="16"/>
      <c r="M14" s="220"/>
      <c r="N14" s="221"/>
      <c r="O14" s="122">
        <f t="shared" si="0"/>
        <v>406591.64068581007</v>
      </c>
      <c r="P14" s="123">
        <f t="shared" si="1"/>
        <v>174969.55241615922</v>
      </c>
      <c r="Q14" s="114"/>
      <c r="S14">
        <f t="shared" si="2"/>
        <v>1161.8925552222524</v>
      </c>
      <c r="T14" s="44">
        <f>E14+апр!I14</f>
        <v>0</v>
      </c>
      <c r="U14" s="30" t="e">
        <f>F14+апр!J14</f>
        <v>#DIV/0!</v>
      </c>
    </row>
    <row r="15" spans="1:22" ht="17.25" customHeight="1">
      <c r="A15" s="8" t="s">
        <v>17</v>
      </c>
      <c r="B15" s="9" t="s">
        <v>18</v>
      </c>
      <c r="C15" s="8" t="s">
        <v>4</v>
      </c>
      <c r="D15" s="10">
        <v>2808.576</v>
      </c>
      <c r="E15" s="8"/>
      <c r="F15" s="54">
        <v>1764.62</v>
      </c>
      <c r="G15" s="10">
        <f t="shared" si="3"/>
        <v>1764.62</v>
      </c>
      <c r="H15" s="10">
        <f>D15+октябрь!H15</f>
        <v>30894.336000000007</v>
      </c>
      <c r="I15" s="8"/>
      <c r="J15" s="183">
        <f>F15+октябрь!J15</f>
        <v>22387.879000000001</v>
      </c>
      <c r="K15" s="10">
        <f t="shared" si="4"/>
        <v>22387.879000000001</v>
      </c>
      <c r="L15" s="16"/>
      <c r="M15" s="220"/>
      <c r="N15" s="221"/>
      <c r="O15" s="122">
        <f t="shared" si="0"/>
        <v>-8506.4570000000058</v>
      </c>
      <c r="P15" s="123">
        <f t="shared" si="1"/>
        <v>-27.534034070193332</v>
      </c>
      <c r="Q15" s="115">
        <f>6457.287+14165.973</f>
        <v>20623.260000000002</v>
      </c>
      <c r="S15">
        <f t="shared" si="2"/>
        <v>14042.880000000001</v>
      </c>
      <c r="T15" s="44">
        <f>E15+апр!I15</f>
        <v>0</v>
      </c>
      <c r="U15" s="30">
        <f>F15+апр!J15</f>
        <v>6735.4250000000002</v>
      </c>
    </row>
    <row r="16" spans="1:22" ht="17.25" customHeight="1">
      <c r="A16" s="8"/>
      <c r="B16" s="12" t="s">
        <v>13</v>
      </c>
      <c r="C16" s="13" t="s">
        <v>14</v>
      </c>
      <c r="D16" s="14">
        <v>15000</v>
      </c>
      <c r="E16" s="13"/>
      <c r="F16" s="8"/>
      <c r="G16" s="10">
        <f t="shared" si="3"/>
        <v>0</v>
      </c>
      <c r="H16" s="10">
        <f>D16+октябрь!H16</f>
        <v>165000</v>
      </c>
      <c r="I16" s="8"/>
      <c r="J16" s="183">
        <f>F16+октябрь!J16</f>
        <v>158204</v>
      </c>
      <c r="K16" s="10">
        <f t="shared" si="4"/>
        <v>158204</v>
      </c>
      <c r="L16" s="16"/>
      <c r="M16" s="220"/>
      <c r="N16" s="221"/>
      <c r="O16" s="122">
        <f t="shared" si="0"/>
        <v>-6796</v>
      </c>
      <c r="P16" s="123">
        <f t="shared" si="1"/>
        <v>-4.1187878787878791</v>
      </c>
      <c r="Q16" s="114"/>
      <c r="S16">
        <f t="shared" si="2"/>
        <v>75000</v>
      </c>
      <c r="T16" s="44">
        <f>E16+апр!I16</f>
        <v>0</v>
      </c>
      <c r="U16" s="30">
        <f>F16+апр!J16</f>
        <v>39326</v>
      </c>
    </row>
    <row r="17" spans="1:21" ht="17.25" customHeight="1">
      <c r="A17" s="8"/>
      <c r="B17" s="12" t="s">
        <v>15</v>
      </c>
      <c r="C17" s="13" t="s">
        <v>16</v>
      </c>
      <c r="D17" s="16">
        <f>D15/D16*1000</f>
        <v>187.23840000000001</v>
      </c>
      <c r="E17" s="16"/>
      <c r="F17" s="16" t="e">
        <f t="shared" ref="F17" si="8">F15/F16*1000</f>
        <v>#DIV/0!</v>
      </c>
      <c r="G17" s="10" t="e">
        <f t="shared" si="3"/>
        <v>#DIV/0!</v>
      </c>
      <c r="H17" s="16">
        <f>H15/H16*1000</f>
        <v>187.23840000000001</v>
      </c>
      <c r="I17" s="8"/>
      <c r="J17" s="16">
        <f t="shared" ref="J17" si="9">J15/J16*1000</f>
        <v>141.51272407777302</v>
      </c>
      <c r="K17" s="10">
        <f t="shared" si="4"/>
        <v>141.51272407777302</v>
      </c>
      <c r="L17" s="16"/>
      <c r="M17" s="220"/>
      <c r="N17" s="221"/>
      <c r="O17" s="122">
        <f t="shared" si="0"/>
        <v>-45.725675922226998</v>
      </c>
      <c r="P17" s="123">
        <f t="shared" si="1"/>
        <v>-24.42109947651069</v>
      </c>
      <c r="Q17" s="114"/>
      <c r="S17">
        <f t="shared" si="2"/>
        <v>936.19200000000001</v>
      </c>
      <c r="T17" s="44">
        <f>E17+апр!I17</f>
        <v>0</v>
      </c>
      <c r="U17" s="30" t="e">
        <f>F17+апр!J17</f>
        <v>#DIV/0!</v>
      </c>
    </row>
    <row r="18" spans="1:21" ht="17.25" customHeight="1">
      <c r="A18" s="8" t="s">
        <v>19</v>
      </c>
      <c r="B18" s="9" t="s">
        <v>20</v>
      </c>
      <c r="C18" s="8" t="s">
        <v>4</v>
      </c>
      <c r="D18" s="10">
        <v>241.64599999999999</v>
      </c>
      <c r="E18" s="8"/>
      <c r="F18" s="54">
        <v>52.5</v>
      </c>
      <c r="G18" s="10">
        <f t="shared" si="3"/>
        <v>52.5</v>
      </c>
      <c r="H18" s="10">
        <f>D18+октябрь!H18</f>
        <v>2658.1060000000002</v>
      </c>
      <c r="I18" s="8"/>
      <c r="J18" s="183">
        <f>F18+октябрь!J18</f>
        <v>1160.96</v>
      </c>
      <c r="K18" s="10">
        <f t="shared" si="4"/>
        <v>1160.96</v>
      </c>
      <c r="L18" s="16"/>
      <c r="M18" s="220"/>
      <c r="N18" s="221"/>
      <c r="O18" s="122">
        <f t="shared" si="0"/>
        <v>-1497.1460000000002</v>
      </c>
      <c r="P18" s="123">
        <f t="shared" si="1"/>
        <v>-56.323788441845437</v>
      </c>
      <c r="Q18" s="114"/>
      <c r="S18">
        <f t="shared" si="2"/>
        <v>1208.23</v>
      </c>
      <c r="T18" s="44">
        <f>E18+апр!I18</f>
        <v>0</v>
      </c>
      <c r="U18" s="30">
        <f>F18+апр!J18</f>
        <v>198.46</v>
      </c>
    </row>
    <row r="19" spans="1:21" ht="17.25" customHeight="1">
      <c r="A19" s="8"/>
      <c r="B19" s="12" t="s">
        <v>13</v>
      </c>
      <c r="C19" s="13" t="s">
        <v>14</v>
      </c>
      <c r="D19" s="14">
        <v>1025</v>
      </c>
      <c r="E19" s="13"/>
      <c r="F19" s="8"/>
      <c r="G19" s="10">
        <f t="shared" si="3"/>
        <v>0</v>
      </c>
      <c r="H19" s="10">
        <f>D19+октябрь!H19</f>
        <v>11275</v>
      </c>
      <c r="I19" s="8"/>
      <c r="J19" s="183">
        <v>3040</v>
      </c>
      <c r="K19" s="10">
        <f t="shared" si="4"/>
        <v>3040</v>
      </c>
      <c r="L19" s="16"/>
      <c r="M19" s="220"/>
      <c r="N19" s="221"/>
      <c r="O19" s="122">
        <f t="shared" si="0"/>
        <v>-8235</v>
      </c>
      <c r="P19" s="123">
        <f t="shared" si="1"/>
        <v>-73.037694013303764</v>
      </c>
      <c r="Q19" s="114"/>
      <c r="S19">
        <f t="shared" si="2"/>
        <v>5125</v>
      </c>
      <c r="T19" s="44">
        <f>E19+апр!I19</f>
        <v>0</v>
      </c>
      <c r="U19" s="30">
        <f>F19+апр!J19</f>
        <v>290</v>
      </c>
    </row>
    <row r="20" spans="1:21" ht="17.25" customHeight="1">
      <c r="A20" s="8"/>
      <c r="B20" s="12" t="s">
        <v>15</v>
      </c>
      <c r="C20" s="13" t="s">
        <v>16</v>
      </c>
      <c r="D20" s="16">
        <f>D18/D19*1000</f>
        <v>235.75219512195119</v>
      </c>
      <c r="E20" s="16"/>
      <c r="F20" s="16" t="e">
        <f>F18/F19*1000</f>
        <v>#DIV/0!</v>
      </c>
      <c r="G20" s="10" t="e">
        <f t="shared" si="3"/>
        <v>#DIV/0!</v>
      </c>
      <c r="H20" s="16">
        <f>H18/H19*1000</f>
        <v>235.75219512195125</v>
      </c>
      <c r="I20" s="8"/>
      <c r="J20" s="16">
        <f t="shared" ref="J20" si="10">J18/J19*1000</f>
        <v>381.89473684210526</v>
      </c>
      <c r="K20" s="10">
        <f t="shared" si="4"/>
        <v>381.89473684210526</v>
      </c>
      <c r="L20" s="16"/>
      <c r="M20" s="220"/>
      <c r="N20" s="221"/>
      <c r="O20" s="122">
        <f t="shared" si="0"/>
        <v>146.14254172015401</v>
      </c>
      <c r="P20" s="123">
        <f t="shared" si="1"/>
        <v>61.989896486247588</v>
      </c>
      <c r="Q20" s="114"/>
      <c r="S20">
        <f t="shared" si="2"/>
        <v>1178.7609756097559</v>
      </c>
      <c r="T20" s="44">
        <f>E20+апр!I20</f>
        <v>0</v>
      </c>
      <c r="U20" s="30" t="e">
        <f>F20+апр!J20</f>
        <v>#DIV/0!</v>
      </c>
    </row>
    <row r="21" spans="1:21" ht="17.25" customHeight="1">
      <c r="A21" s="8" t="s">
        <v>21</v>
      </c>
      <c r="B21" s="9" t="s">
        <v>22</v>
      </c>
      <c r="C21" s="8" t="s">
        <v>4</v>
      </c>
      <c r="D21" s="10">
        <v>750.73</v>
      </c>
      <c r="E21" s="8"/>
      <c r="F21" s="54">
        <v>803.6</v>
      </c>
      <c r="G21" s="10">
        <f t="shared" si="3"/>
        <v>803.6</v>
      </c>
      <c r="H21" s="10">
        <f>D21+октябрь!H21</f>
        <v>8258.0299999999988</v>
      </c>
      <c r="I21" s="8"/>
      <c r="J21" s="183">
        <f>F21+сентябрь!J21</f>
        <v>9528.2199999999993</v>
      </c>
      <c r="K21" s="10">
        <f t="shared" si="4"/>
        <v>9528.2199999999993</v>
      </c>
      <c r="L21" s="16"/>
      <c r="M21" s="220"/>
      <c r="N21" s="221"/>
      <c r="O21" s="122">
        <f t="shared" si="0"/>
        <v>1270.1900000000005</v>
      </c>
      <c r="P21" s="123">
        <f t="shared" si="1"/>
        <v>15.381271320157481</v>
      </c>
      <c r="Q21" s="114"/>
      <c r="S21">
        <f t="shared" si="2"/>
        <v>3753.65</v>
      </c>
      <c r="T21" s="44">
        <f>E21+апр!I21</f>
        <v>0</v>
      </c>
      <c r="U21" s="30">
        <f>F21+апр!J21</f>
        <v>4697.82</v>
      </c>
    </row>
    <row r="22" spans="1:21" ht="17.25" customHeight="1">
      <c r="A22" s="8"/>
      <c r="B22" s="12" t="s">
        <v>13</v>
      </c>
      <c r="C22" s="13" t="s">
        <v>14</v>
      </c>
      <c r="D22" s="14">
        <v>5883</v>
      </c>
      <c r="E22" s="13"/>
      <c r="F22" s="8"/>
      <c r="G22" s="10">
        <f t="shared" si="3"/>
        <v>0</v>
      </c>
      <c r="H22" s="10">
        <f>D22+октябрь!H22</f>
        <v>64713</v>
      </c>
      <c r="I22" s="8"/>
      <c r="J22" s="183">
        <v>56390</v>
      </c>
      <c r="K22" s="10">
        <f t="shared" si="4"/>
        <v>56390</v>
      </c>
      <c r="L22" s="16"/>
      <c r="M22" s="220"/>
      <c r="N22" s="221"/>
      <c r="O22" s="122">
        <f t="shared" si="0"/>
        <v>-8323</v>
      </c>
      <c r="P22" s="123">
        <f t="shared" si="1"/>
        <v>-12.861403427441163</v>
      </c>
      <c r="Q22" s="114"/>
      <c r="S22">
        <f t="shared" si="2"/>
        <v>29415</v>
      </c>
      <c r="T22" s="44">
        <f>E22+апр!I22</f>
        <v>0</v>
      </c>
      <c r="U22" s="30">
        <f>F22+апр!J22</f>
        <v>22790</v>
      </c>
    </row>
    <row r="23" spans="1:21" ht="17.25" customHeight="1">
      <c r="A23" s="8"/>
      <c r="B23" s="12" t="s">
        <v>15</v>
      </c>
      <c r="C23" s="13" t="s">
        <v>16</v>
      </c>
      <c r="D23" s="16">
        <f>D21/D22*1000</f>
        <v>127.61006289308177</v>
      </c>
      <c r="E23" s="16" t="e">
        <f t="shared" ref="E23:F23" si="11">E21/E22*1000</f>
        <v>#DIV/0!</v>
      </c>
      <c r="F23" s="16" t="e">
        <f t="shared" si="11"/>
        <v>#DIV/0!</v>
      </c>
      <c r="G23" s="10" t="e">
        <f t="shared" si="3"/>
        <v>#DIV/0!</v>
      </c>
      <c r="H23" s="16">
        <f>H21/H22*1000</f>
        <v>127.61006289308175</v>
      </c>
      <c r="I23" s="8"/>
      <c r="J23" s="16">
        <f t="shared" ref="J23" si="12">J21/J22*1000</f>
        <v>168.97003014718919</v>
      </c>
      <c r="K23" s="10">
        <f t="shared" si="4"/>
        <v>168.97003014718919</v>
      </c>
      <c r="L23" s="16"/>
      <c r="M23" s="220"/>
      <c r="N23" s="221"/>
      <c r="O23" s="122">
        <f t="shared" si="0"/>
        <v>41.359967254107445</v>
      </c>
      <c r="P23" s="123">
        <f t="shared" si="1"/>
        <v>32.411211401690906</v>
      </c>
      <c r="Q23" s="114"/>
      <c r="S23">
        <f t="shared" si="2"/>
        <v>638.05031446540886</v>
      </c>
      <c r="T23" s="44" t="e">
        <f>E23+апр!I23</f>
        <v>#DIV/0!</v>
      </c>
      <c r="U23" s="30" t="e">
        <f>F23+апр!J23</f>
        <v>#DIV/0!</v>
      </c>
    </row>
    <row r="24" spans="1:21" ht="17.25" customHeight="1">
      <c r="A24" s="8" t="s">
        <v>23</v>
      </c>
      <c r="B24" s="9" t="s">
        <v>24</v>
      </c>
      <c r="C24" s="8" t="s">
        <v>4</v>
      </c>
      <c r="D24" s="10">
        <v>165.005</v>
      </c>
      <c r="E24" s="8"/>
      <c r="F24" s="54"/>
      <c r="G24" s="10">
        <f t="shared" si="3"/>
        <v>0</v>
      </c>
      <c r="H24" s="10">
        <f>D24+октябрь!H24</f>
        <v>1815.0550000000003</v>
      </c>
      <c r="I24" s="8"/>
      <c r="J24" s="183">
        <f>F24+сентябрь!J24</f>
        <v>483.41399999999999</v>
      </c>
      <c r="K24" s="10">
        <f t="shared" si="4"/>
        <v>483.41399999999999</v>
      </c>
      <c r="L24" s="16"/>
      <c r="M24" s="220"/>
      <c r="N24" s="221"/>
      <c r="O24" s="122">
        <f t="shared" si="0"/>
        <v>-1331.6410000000003</v>
      </c>
      <c r="P24" s="123">
        <f t="shared" si="1"/>
        <v>-73.366426912683096</v>
      </c>
      <c r="Q24" s="114"/>
      <c r="S24">
        <f t="shared" si="2"/>
        <v>825.02499999999998</v>
      </c>
      <c r="T24" s="44">
        <f>E24+апр!I24</f>
        <v>0</v>
      </c>
      <c r="U24" s="30">
        <f>F24+апр!J24</f>
        <v>415.84</v>
      </c>
    </row>
    <row r="25" spans="1:21" ht="17.25" customHeight="1">
      <c r="A25" s="8"/>
      <c r="B25" s="12" t="s">
        <v>13</v>
      </c>
      <c r="C25" s="13" t="s">
        <v>14</v>
      </c>
      <c r="D25" s="14">
        <v>251</v>
      </c>
      <c r="E25" s="13"/>
      <c r="F25" s="8"/>
      <c r="G25" s="10">
        <f t="shared" si="3"/>
        <v>0</v>
      </c>
      <c r="H25" s="10">
        <f>D25+октябрь!H25</f>
        <v>2761</v>
      </c>
      <c r="I25" s="8"/>
      <c r="J25" s="183">
        <f>F25+сентябрь!J25</f>
        <v>930</v>
      </c>
      <c r="K25" s="10">
        <f t="shared" si="4"/>
        <v>930</v>
      </c>
      <c r="L25" s="16"/>
      <c r="M25" s="220"/>
      <c r="N25" s="221"/>
      <c r="O25" s="122">
        <f t="shared" si="0"/>
        <v>-1831</v>
      </c>
      <c r="P25" s="123">
        <f t="shared" si="1"/>
        <v>-66.316551973922486</v>
      </c>
      <c r="Q25" s="114"/>
      <c r="S25">
        <f t="shared" si="2"/>
        <v>1255</v>
      </c>
      <c r="T25" s="44">
        <f>E25+апр!I25</f>
        <v>0</v>
      </c>
      <c r="U25" s="30">
        <f>F25+апр!J25</f>
        <v>800</v>
      </c>
    </row>
    <row r="26" spans="1:21" ht="17.25" customHeight="1">
      <c r="A26" s="8"/>
      <c r="B26" s="12" t="s">
        <v>15</v>
      </c>
      <c r="C26" s="13" t="s">
        <v>16</v>
      </c>
      <c r="D26" s="16">
        <f>D24/D25*1000</f>
        <v>657.39043824701196</v>
      </c>
      <c r="E26" s="16" t="e">
        <f t="shared" ref="E26:F26" si="13">E24/E25*1000</f>
        <v>#DIV/0!</v>
      </c>
      <c r="F26" s="16" t="e">
        <f t="shared" si="13"/>
        <v>#DIV/0!</v>
      </c>
      <c r="G26" s="10" t="e">
        <f t="shared" si="3"/>
        <v>#DIV/0!</v>
      </c>
      <c r="H26" s="16">
        <f>H24/H25*1000</f>
        <v>657.39043824701207</v>
      </c>
      <c r="I26" s="16"/>
      <c r="J26" s="16">
        <f t="shared" ref="J26" si="14">J24/J25*1000</f>
        <v>519.80000000000007</v>
      </c>
      <c r="K26" s="16"/>
      <c r="L26" s="16"/>
      <c r="M26" s="220"/>
      <c r="N26" s="221"/>
      <c r="O26" s="122">
        <f t="shared" si="0"/>
        <v>-137.590438247012</v>
      </c>
      <c r="P26" s="123">
        <f t="shared" si="1"/>
        <v>-20.929790006363447</v>
      </c>
      <c r="Q26" s="114"/>
      <c r="S26">
        <f t="shared" si="2"/>
        <v>3286.9521912350597</v>
      </c>
      <c r="T26" s="44" t="e">
        <f>E26+апр!I26</f>
        <v>#DIV/0!</v>
      </c>
      <c r="U26" s="30" t="e">
        <f>F26+апр!J26</f>
        <v>#DIV/0!</v>
      </c>
    </row>
    <row r="27" spans="1:21" ht="17.25" customHeight="1">
      <c r="A27" s="8" t="s">
        <v>23</v>
      </c>
      <c r="B27" s="9" t="s">
        <v>25</v>
      </c>
      <c r="C27" s="8" t="s">
        <v>4</v>
      </c>
      <c r="D27" s="10">
        <v>214.15600000000001</v>
      </c>
      <c r="E27" s="8"/>
      <c r="F27" s="54"/>
      <c r="G27" s="10">
        <f t="shared" si="3"/>
        <v>0</v>
      </c>
      <c r="H27" s="10">
        <f>D27+октябрь!H27</f>
        <v>2355.7159999999999</v>
      </c>
      <c r="I27" s="8"/>
      <c r="J27" s="183">
        <f>F27+сентябрь!J27</f>
        <v>1368</v>
      </c>
      <c r="K27" s="10">
        <f t="shared" si="4"/>
        <v>1368</v>
      </c>
      <c r="L27" s="16"/>
      <c r="M27" s="220"/>
      <c r="N27" s="221"/>
      <c r="O27" s="122">
        <f t="shared" si="0"/>
        <v>-987.71599999999989</v>
      </c>
      <c r="P27" s="123">
        <f t="shared" si="1"/>
        <v>-41.928483739126442</v>
      </c>
      <c r="Q27" s="114"/>
      <c r="S27">
        <f t="shared" si="2"/>
        <v>1070.78</v>
      </c>
      <c r="T27" s="44">
        <f>E27+апр!I27</f>
        <v>0</v>
      </c>
      <c r="U27" s="30">
        <f>F27+апр!J27</f>
        <v>0</v>
      </c>
    </row>
    <row r="28" spans="1:21" ht="17.25" customHeight="1">
      <c r="A28" s="8"/>
      <c r="B28" s="12" t="s">
        <v>13</v>
      </c>
      <c r="C28" s="13" t="s">
        <v>14</v>
      </c>
      <c r="D28" s="14">
        <v>238</v>
      </c>
      <c r="E28" s="13"/>
      <c r="F28" s="8"/>
      <c r="G28" s="10">
        <f t="shared" si="3"/>
        <v>0</v>
      </c>
      <c r="H28" s="10">
        <f>D28+октябрь!H28</f>
        <v>2618</v>
      </c>
      <c r="I28" s="8"/>
      <c r="J28" s="183">
        <f>F28+сентябрь!J28</f>
        <v>1710</v>
      </c>
      <c r="K28" s="10">
        <f t="shared" si="4"/>
        <v>1710</v>
      </c>
      <c r="L28" s="16"/>
      <c r="M28" s="220"/>
      <c r="N28" s="221"/>
      <c r="O28" s="122">
        <f t="shared" si="0"/>
        <v>-908</v>
      </c>
      <c r="P28" s="123">
        <f t="shared" si="1"/>
        <v>-34.682964094728803</v>
      </c>
      <c r="Q28" s="114"/>
      <c r="S28">
        <f t="shared" si="2"/>
        <v>1190</v>
      </c>
      <c r="T28" s="44">
        <f>E28+апр!I28</f>
        <v>0</v>
      </c>
      <c r="U28" s="30">
        <f>F28+апр!J28</f>
        <v>0</v>
      </c>
    </row>
    <row r="29" spans="1:21" ht="17.25" customHeight="1">
      <c r="A29" s="8"/>
      <c r="B29" s="12" t="s">
        <v>15</v>
      </c>
      <c r="C29" s="13" t="s">
        <v>16</v>
      </c>
      <c r="D29" s="16">
        <f>D27/D28*1000</f>
        <v>899.81512605042019</v>
      </c>
      <c r="E29" s="13"/>
      <c r="F29" s="16" t="e">
        <f t="shared" ref="F29" si="15">F27/F28*1000</f>
        <v>#DIV/0!</v>
      </c>
      <c r="G29" s="10" t="e">
        <f t="shared" si="3"/>
        <v>#DIV/0!</v>
      </c>
      <c r="H29" s="16">
        <f>H27/H28*1000</f>
        <v>899.81512605042008</v>
      </c>
      <c r="I29" s="16"/>
      <c r="J29" s="16">
        <f t="shared" ref="J29" si="16">J27/J28*1000</f>
        <v>800</v>
      </c>
      <c r="K29" s="10">
        <f t="shared" si="4"/>
        <v>800</v>
      </c>
      <c r="L29" s="16"/>
      <c r="M29" s="220"/>
      <c r="N29" s="221"/>
      <c r="O29" s="122">
        <f t="shared" si="0"/>
        <v>-99.815126050420076</v>
      </c>
      <c r="P29" s="123">
        <f t="shared" si="1"/>
        <v>-11.09284820411288</v>
      </c>
      <c r="Q29" s="114"/>
      <c r="S29">
        <f t="shared" si="2"/>
        <v>4499.0756302521013</v>
      </c>
      <c r="T29" s="44">
        <f>E29+апр!I29</f>
        <v>0</v>
      </c>
      <c r="U29" s="30" t="e">
        <f>F29+апр!J29</f>
        <v>#DIV/0!</v>
      </c>
    </row>
    <row r="30" spans="1:21" ht="17.25" customHeight="1">
      <c r="A30" s="18" t="s">
        <v>26</v>
      </c>
      <c r="B30" s="9" t="s">
        <v>27</v>
      </c>
      <c r="C30" s="8" t="s">
        <v>4</v>
      </c>
      <c r="D30" s="10">
        <f t="shared" ref="D30" si="17">D31+D32+D33+D34</f>
        <v>2406.0839999999998</v>
      </c>
      <c r="E30" s="8">
        <v>762.50099999999998</v>
      </c>
      <c r="F30" s="10">
        <f>F31+F32+F33+F34</f>
        <v>344.52300000000002</v>
      </c>
      <c r="G30" s="10">
        <f t="shared" si="3"/>
        <v>-417.97799999999995</v>
      </c>
      <c r="H30" s="10">
        <f t="shared" ref="H30" si="18">H31+H32+H33+H34</f>
        <v>26466.924000000003</v>
      </c>
      <c r="I30" s="8">
        <f>E30+сентябрь!I30</f>
        <v>7625.0100000000011</v>
      </c>
      <c r="J30" s="10">
        <f t="shared" ref="J30" si="19">J31+J32+J33+J34</f>
        <v>19206.818000000003</v>
      </c>
      <c r="K30" s="10">
        <f t="shared" si="4"/>
        <v>11581.808000000001</v>
      </c>
      <c r="L30" s="16">
        <f t="shared" si="5"/>
        <v>151.89236473132493</v>
      </c>
      <c r="M30" s="220"/>
      <c r="N30" s="221"/>
      <c r="O30" s="122">
        <f t="shared" si="0"/>
        <v>-7260.1059999999998</v>
      </c>
      <c r="P30" s="123">
        <f t="shared" si="1"/>
        <v>-27.430864274216372</v>
      </c>
      <c r="Q30" s="114"/>
      <c r="S30">
        <f t="shared" si="2"/>
        <v>12030.419999999998</v>
      </c>
      <c r="T30" s="44">
        <f>E30+апр!I30</f>
        <v>3812.5050000000001</v>
      </c>
      <c r="U30" s="30">
        <f>F30+апр!J30</f>
        <v>9517.271999999999</v>
      </c>
    </row>
    <row r="31" spans="1:21" ht="35.25" customHeight="1">
      <c r="A31" s="18" t="s">
        <v>28</v>
      </c>
      <c r="B31" s="9" t="s">
        <v>29</v>
      </c>
      <c r="C31" s="8" t="s">
        <v>4</v>
      </c>
      <c r="D31" s="10">
        <v>2288.5219999999999</v>
      </c>
      <c r="E31" s="8"/>
      <c r="F31" s="55">
        <v>111.15</v>
      </c>
      <c r="G31" s="10">
        <f t="shared" si="3"/>
        <v>111.15</v>
      </c>
      <c r="H31" s="10">
        <f>D31+октябрь!H31</f>
        <v>25173.742000000006</v>
      </c>
      <c r="I31" s="8"/>
      <c r="J31" s="183">
        <v>18030.900000000001</v>
      </c>
      <c r="K31" s="10">
        <f t="shared" si="4"/>
        <v>18030.900000000001</v>
      </c>
      <c r="L31" s="16"/>
      <c r="M31" s="220"/>
      <c r="N31" s="221"/>
      <c r="O31" s="122">
        <f t="shared" si="0"/>
        <v>-7142.8420000000042</v>
      </c>
      <c r="P31" s="123">
        <f t="shared" si="1"/>
        <v>-28.374176552695275</v>
      </c>
      <c r="Q31" s="114">
        <f>1684.27+16346.673</f>
        <v>18030.942999999999</v>
      </c>
      <c r="S31">
        <f t="shared" si="2"/>
        <v>11442.61</v>
      </c>
      <c r="T31" s="44">
        <f>E31+апр!I31</f>
        <v>0</v>
      </c>
      <c r="U31" s="30">
        <f>F31+апр!J31</f>
        <v>8884.5849999999991</v>
      </c>
    </row>
    <row r="32" spans="1:21" ht="51.75" customHeight="1">
      <c r="A32" s="18" t="s">
        <v>30</v>
      </c>
      <c r="B32" s="9" t="s">
        <v>31</v>
      </c>
      <c r="C32" s="8" t="s">
        <v>4</v>
      </c>
      <c r="D32" s="10">
        <v>60.337000000000003</v>
      </c>
      <c r="E32" s="8"/>
      <c r="F32" s="54">
        <v>4.0999999999999996</v>
      </c>
      <c r="G32" s="10">
        <f t="shared" si="3"/>
        <v>4.0999999999999996</v>
      </c>
      <c r="H32" s="10">
        <f>D32+октябрь!H32</f>
        <v>663.70699999999999</v>
      </c>
      <c r="I32" s="8"/>
      <c r="J32" s="183">
        <v>834.13699999999994</v>
      </c>
      <c r="K32" s="10">
        <f t="shared" si="4"/>
        <v>834.13699999999994</v>
      </c>
      <c r="L32" s="16"/>
      <c r="M32" s="222" t="s">
        <v>285</v>
      </c>
      <c r="N32" s="223"/>
      <c r="O32" s="122">
        <f t="shared" si="0"/>
        <v>170.42999999999995</v>
      </c>
      <c r="P32" s="123">
        <f t="shared" si="1"/>
        <v>25.678499699415546</v>
      </c>
      <c r="Q32" s="115">
        <f>774.896+59.241</f>
        <v>834.13699999999994</v>
      </c>
      <c r="S32">
        <f t="shared" si="2"/>
        <v>301.685</v>
      </c>
      <c r="T32" s="44">
        <f>E32+апр!I32</f>
        <v>0</v>
      </c>
      <c r="U32" s="30">
        <f>F32+апр!J32</f>
        <v>272.13</v>
      </c>
    </row>
    <row r="33" spans="1:21" ht="17.25" customHeight="1">
      <c r="A33" s="18" t="s">
        <v>32</v>
      </c>
      <c r="B33" s="9" t="s">
        <v>33</v>
      </c>
      <c r="C33" s="8" t="s">
        <v>4</v>
      </c>
      <c r="D33" s="10">
        <v>19.736999999999998</v>
      </c>
      <c r="E33" s="8"/>
      <c r="F33" s="55">
        <v>204.81700000000001</v>
      </c>
      <c r="G33" s="10">
        <f t="shared" si="3"/>
        <v>204.81700000000001</v>
      </c>
      <c r="H33" s="10">
        <f>D33+октябрь!H33</f>
        <v>217.10699999999997</v>
      </c>
      <c r="I33" s="8"/>
      <c r="J33" s="183">
        <f>161.884+54.317</f>
        <v>216.20099999999999</v>
      </c>
      <c r="K33" s="10">
        <f t="shared" si="4"/>
        <v>216.20099999999999</v>
      </c>
      <c r="L33" s="16"/>
      <c r="M33" s="220"/>
      <c r="N33" s="221"/>
      <c r="O33" s="122">
        <f t="shared" si="0"/>
        <v>-0.90599999999997749</v>
      </c>
      <c r="P33" s="123">
        <f t="shared" si="1"/>
        <v>-0.4173057524630609</v>
      </c>
      <c r="Q33" s="114"/>
      <c r="S33">
        <f t="shared" si="2"/>
        <v>98.684999999999988</v>
      </c>
      <c r="T33" s="44">
        <f>E33+апр!I33</f>
        <v>0</v>
      </c>
      <c r="U33" s="30">
        <f>F33+апр!J33</f>
        <v>254.34300000000002</v>
      </c>
    </row>
    <row r="34" spans="1:21" ht="33" customHeight="1">
      <c r="A34" s="18" t="s">
        <v>34</v>
      </c>
      <c r="B34" s="9" t="s">
        <v>35</v>
      </c>
      <c r="C34" s="8" t="s">
        <v>4</v>
      </c>
      <c r="D34" s="10">
        <v>37.488</v>
      </c>
      <c r="E34" s="8"/>
      <c r="F34" s="55">
        <v>24.456</v>
      </c>
      <c r="G34" s="10">
        <f t="shared" si="3"/>
        <v>24.456</v>
      </c>
      <c r="H34" s="10">
        <f>D34+октябрь!H34</f>
        <v>412.36799999999999</v>
      </c>
      <c r="I34" s="8"/>
      <c r="J34" s="183">
        <f>F34+сентябрь!J34</f>
        <v>125.58000000000003</v>
      </c>
      <c r="K34" s="10">
        <f t="shared" si="4"/>
        <v>125.58000000000003</v>
      </c>
      <c r="L34" s="16"/>
      <c r="M34" s="220"/>
      <c r="N34" s="221"/>
      <c r="O34" s="122">
        <f t="shared" si="0"/>
        <v>-286.78799999999995</v>
      </c>
      <c r="P34" s="123">
        <f t="shared" si="1"/>
        <v>-69.546618554301006</v>
      </c>
      <c r="Q34" s="114">
        <f>47.574+87.868</f>
        <v>135.44200000000001</v>
      </c>
      <c r="S34">
        <f t="shared" si="2"/>
        <v>187.44</v>
      </c>
      <c r="T34" s="44">
        <f>E34+апр!I34</f>
        <v>0</v>
      </c>
      <c r="U34" s="30">
        <f>F34+апр!J34</f>
        <v>106.21400000000001</v>
      </c>
    </row>
    <row r="35" spans="1:21" ht="17.25" customHeight="1">
      <c r="A35" s="18" t="s">
        <v>36</v>
      </c>
      <c r="B35" s="9" t="s">
        <v>37</v>
      </c>
      <c r="C35" s="8" t="s">
        <v>4</v>
      </c>
      <c r="D35" s="10">
        <f t="shared" ref="D35:J35" si="20">D36</f>
        <v>162.715</v>
      </c>
      <c r="E35" s="10">
        <f t="shared" si="20"/>
        <v>162.75</v>
      </c>
      <c r="F35" s="10">
        <f t="shared" si="20"/>
        <v>0</v>
      </c>
      <c r="G35" s="10">
        <f t="shared" si="3"/>
        <v>-162.75</v>
      </c>
      <c r="H35" s="10">
        <f t="shared" si="20"/>
        <v>1789.8649999999998</v>
      </c>
      <c r="I35" s="10">
        <f t="shared" si="20"/>
        <v>1627.5</v>
      </c>
      <c r="J35" s="10">
        <f t="shared" si="20"/>
        <v>3076.02</v>
      </c>
      <c r="K35" s="10">
        <f t="shared" si="4"/>
        <v>1448.52</v>
      </c>
      <c r="L35" s="16">
        <f t="shared" si="5"/>
        <v>89.002764976958531</v>
      </c>
      <c r="M35" s="220"/>
      <c r="N35" s="221"/>
      <c r="O35" s="122">
        <f t="shared" si="0"/>
        <v>1286.1550000000002</v>
      </c>
      <c r="P35" s="123">
        <f t="shared" si="1"/>
        <v>71.857654068882312</v>
      </c>
      <c r="Q35" s="114"/>
      <c r="S35">
        <f t="shared" si="2"/>
        <v>813.57500000000005</v>
      </c>
      <c r="T35" s="44">
        <f>E35+апр!I35</f>
        <v>813.75</v>
      </c>
      <c r="U35" s="30">
        <f>F35+апр!J35</f>
        <v>1783.548</v>
      </c>
    </row>
    <row r="36" spans="1:21" ht="17.25" customHeight="1">
      <c r="A36" s="8" t="s">
        <v>38</v>
      </c>
      <c r="B36" s="9" t="s">
        <v>39</v>
      </c>
      <c r="C36" s="8" t="s">
        <v>4</v>
      </c>
      <c r="D36" s="10">
        <v>162.715</v>
      </c>
      <c r="E36" s="8">
        <v>162.75</v>
      </c>
      <c r="F36" s="54"/>
      <c r="G36" s="10">
        <f t="shared" si="3"/>
        <v>-162.75</v>
      </c>
      <c r="H36" s="10">
        <f>D36+октябрь!H36</f>
        <v>1789.8649999999998</v>
      </c>
      <c r="I36" s="8">
        <f>E36+сентябрь!I36</f>
        <v>1627.5</v>
      </c>
      <c r="J36" s="183">
        <v>3076.02</v>
      </c>
      <c r="K36" s="10">
        <f t="shared" si="4"/>
        <v>1448.52</v>
      </c>
      <c r="L36" s="16">
        <f t="shared" si="5"/>
        <v>89.002764976958531</v>
      </c>
      <c r="M36" s="220"/>
      <c r="N36" s="221"/>
      <c r="O36" s="122">
        <f t="shared" si="0"/>
        <v>1286.1550000000002</v>
      </c>
      <c r="P36" s="123">
        <f t="shared" si="1"/>
        <v>71.857654068882312</v>
      </c>
      <c r="Q36" s="114">
        <f>2566.013+510.005</f>
        <v>3076.018</v>
      </c>
      <c r="S36">
        <f t="shared" si="2"/>
        <v>813.57500000000005</v>
      </c>
      <c r="T36" s="44">
        <f>E36+апр!I36</f>
        <v>813.75</v>
      </c>
      <c r="U36" s="30">
        <f>F36+апр!J36</f>
        <v>1783.548</v>
      </c>
    </row>
    <row r="37" spans="1:21" ht="17.25" customHeight="1">
      <c r="A37" s="18" t="s">
        <v>40</v>
      </c>
      <c r="B37" s="9" t="s">
        <v>41</v>
      </c>
      <c r="C37" s="8" t="s">
        <v>4</v>
      </c>
      <c r="D37" s="10">
        <f>D38+D41+D48+D51</f>
        <v>1613.3909999999998</v>
      </c>
      <c r="E37" s="8">
        <v>1933.0830000000001</v>
      </c>
      <c r="F37" s="10">
        <f>F38+F41+F48+F51</f>
        <v>1908.395</v>
      </c>
      <c r="G37" s="10">
        <f t="shared" si="3"/>
        <v>-24.688000000000102</v>
      </c>
      <c r="H37" s="10">
        <f>H38+H41+H48+H51</f>
        <v>17747.300999999999</v>
      </c>
      <c r="I37" s="8">
        <f>E37+сентябрь!I37</f>
        <v>19330.830000000002</v>
      </c>
      <c r="J37" s="10">
        <f>J38+J41+J48+J51</f>
        <v>19152.017</v>
      </c>
      <c r="K37" s="10">
        <f t="shared" si="4"/>
        <v>-178.81300000000192</v>
      </c>
      <c r="L37" s="16">
        <f t="shared" si="5"/>
        <v>-0.92501460102852229</v>
      </c>
      <c r="M37" s="220"/>
      <c r="N37" s="221"/>
      <c r="O37" s="122">
        <f t="shared" si="0"/>
        <v>1404.7160000000003</v>
      </c>
      <c r="P37" s="123">
        <f t="shared" si="1"/>
        <v>7.9150964983351573</v>
      </c>
      <c r="Q37" s="114"/>
      <c r="S37">
        <f t="shared" si="2"/>
        <v>8066.954999999999</v>
      </c>
      <c r="T37" s="44">
        <f>E37+апр!I37</f>
        <v>9665.4150000000009</v>
      </c>
      <c r="U37" s="30">
        <f>F37+апр!J37</f>
        <v>11960.127</v>
      </c>
    </row>
    <row r="38" spans="1:21" ht="17.25" customHeight="1">
      <c r="A38" s="18" t="s">
        <v>42</v>
      </c>
      <c r="B38" s="9" t="s">
        <v>43</v>
      </c>
      <c r="C38" s="8" t="s">
        <v>4</v>
      </c>
      <c r="D38" s="10">
        <v>707.32500000000005</v>
      </c>
      <c r="E38" s="8">
        <v>707.33299999999997</v>
      </c>
      <c r="F38" s="55">
        <v>617.76</v>
      </c>
      <c r="G38" s="10">
        <f t="shared" si="3"/>
        <v>-89.572999999999979</v>
      </c>
      <c r="H38" s="10">
        <f>D38+октябрь!H38</f>
        <v>7780.5749999999989</v>
      </c>
      <c r="I38" s="8">
        <f>E38+сентябрь!I38</f>
        <v>7073.3299999999981</v>
      </c>
      <c r="J38" s="183">
        <f>F38+сентябрь!J38</f>
        <v>6270.9679999999998</v>
      </c>
      <c r="K38" s="10">
        <f t="shared" si="4"/>
        <v>-802.36199999999826</v>
      </c>
      <c r="L38" s="16">
        <f t="shared" si="5"/>
        <v>-11.34348319674041</v>
      </c>
      <c r="M38" s="220"/>
      <c r="N38" s="221"/>
      <c r="O38" s="122">
        <f t="shared" si="0"/>
        <v>-1509.6069999999991</v>
      </c>
      <c r="P38" s="123">
        <f t="shared" si="1"/>
        <v>-19.402254974728724</v>
      </c>
      <c r="Q38" s="114"/>
      <c r="S38">
        <f t="shared" si="2"/>
        <v>3536.625</v>
      </c>
      <c r="T38" s="44">
        <f>E38+апр!I38</f>
        <v>3536.665</v>
      </c>
      <c r="U38" s="30">
        <f>F38+апр!J38</f>
        <v>6165.1260000000002</v>
      </c>
    </row>
    <row r="39" spans="1:21" ht="17.25" customHeight="1">
      <c r="A39" s="8"/>
      <c r="B39" s="12" t="s">
        <v>13</v>
      </c>
      <c r="C39" s="13" t="s">
        <v>44</v>
      </c>
      <c r="D39" s="14">
        <v>87</v>
      </c>
      <c r="E39" s="13"/>
      <c r="F39" s="8"/>
      <c r="G39" s="10">
        <f t="shared" si="3"/>
        <v>0</v>
      </c>
      <c r="H39" s="10">
        <f>D39+октябрь!H39</f>
        <v>957</v>
      </c>
      <c r="I39" s="8"/>
      <c r="J39" s="183">
        <f>F39+сентябрь!J39</f>
        <v>908</v>
      </c>
      <c r="K39" s="10">
        <f t="shared" si="4"/>
        <v>908</v>
      </c>
      <c r="L39" s="16"/>
      <c r="M39" s="220"/>
      <c r="N39" s="221"/>
      <c r="O39" s="122">
        <f t="shared" si="0"/>
        <v>-49</v>
      </c>
      <c r="P39" s="123">
        <f t="shared" si="1"/>
        <v>-5.1201671891327063</v>
      </c>
      <c r="Q39" s="114"/>
      <c r="S39">
        <f t="shared" si="2"/>
        <v>435</v>
      </c>
      <c r="T39" s="44">
        <f>E39+апр!I39</f>
        <v>0</v>
      </c>
      <c r="U39" s="30">
        <f>F39+апр!J39</f>
        <v>891</v>
      </c>
    </row>
    <row r="40" spans="1:21" ht="17.25" customHeight="1">
      <c r="A40" s="8"/>
      <c r="B40" s="12" t="s">
        <v>15</v>
      </c>
      <c r="C40" s="13" t="s">
        <v>16</v>
      </c>
      <c r="D40" s="16">
        <f>D38/D39*1000</f>
        <v>8130.1724137931051</v>
      </c>
      <c r="E40" s="16"/>
      <c r="F40" s="16" t="e">
        <f t="shared" ref="F40" si="21">F38/F39*1000</f>
        <v>#DIV/0!</v>
      </c>
      <c r="G40" s="10" t="e">
        <f t="shared" si="3"/>
        <v>#DIV/0!</v>
      </c>
      <c r="H40" s="16">
        <f>H38/H39*1000</f>
        <v>8130.1724137931033</v>
      </c>
      <c r="I40" s="16"/>
      <c r="J40" s="16">
        <f t="shared" ref="J40" si="22">J38/J39*1000</f>
        <v>6906.3524229074883</v>
      </c>
      <c r="K40" s="10">
        <f t="shared" si="4"/>
        <v>6906.3524229074883</v>
      </c>
      <c r="L40" s="16"/>
      <c r="M40" s="220"/>
      <c r="N40" s="221"/>
      <c r="O40" s="122">
        <f t="shared" si="0"/>
        <v>-1223.819990885615</v>
      </c>
      <c r="P40" s="123">
        <f t="shared" si="1"/>
        <v>-15.052817192527975</v>
      </c>
      <c r="Q40" s="114"/>
      <c r="S40">
        <f t="shared" si="2"/>
        <v>40650.862068965522</v>
      </c>
      <c r="T40" s="44">
        <f>E40+апр!I40</f>
        <v>0</v>
      </c>
      <c r="U40" s="30" t="e">
        <f>F40+апр!J40</f>
        <v>#DIV/0!</v>
      </c>
    </row>
    <row r="41" spans="1:21" ht="17.25" customHeight="1">
      <c r="A41" s="18" t="s">
        <v>45</v>
      </c>
      <c r="B41" s="9" t="s">
        <v>46</v>
      </c>
      <c r="C41" s="8" t="s">
        <v>4</v>
      </c>
      <c r="D41" s="10">
        <f t="shared" ref="D41:F41" si="23">D42+D45</f>
        <v>315.00200000000001</v>
      </c>
      <c r="E41" s="10">
        <f t="shared" si="23"/>
        <v>0</v>
      </c>
      <c r="F41" s="54">
        <f t="shared" si="23"/>
        <v>400.411</v>
      </c>
      <c r="G41" s="10">
        <f t="shared" si="3"/>
        <v>400.411</v>
      </c>
      <c r="H41" s="10">
        <f t="shared" ref="H41:J41" si="24">H42+H45</f>
        <v>3465.0219999999999</v>
      </c>
      <c r="I41" s="10">
        <f t="shared" si="24"/>
        <v>0</v>
      </c>
      <c r="J41" s="10">
        <f t="shared" si="24"/>
        <v>3485.8110000000001</v>
      </c>
      <c r="K41" s="10">
        <f t="shared" si="4"/>
        <v>3485.8110000000001</v>
      </c>
      <c r="L41" s="16"/>
      <c r="M41" s="220"/>
      <c r="N41" s="221"/>
      <c r="O41" s="122">
        <f t="shared" si="0"/>
        <v>20.789000000000215</v>
      </c>
      <c r="P41" s="123">
        <f t="shared" si="1"/>
        <v>0.59996733065476104</v>
      </c>
      <c r="Q41" s="114"/>
      <c r="S41">
        <f t="shared" si="2"/>
        <v>1575.01</v>
      </c>
      <c r="T41" s="44">
        <f>E41+апр!I41</f>
        <v>0</v>
      </c>
      <c r="U41" s="30">
        <f>F41+апр!J41</f>
        <v>1837.4690000000001</v>
      </c>
    </row>
    <row r="42" spans="1:21" ht="16.5" customHeight="1">
      <c r="A42" s="8"/>
      <c r="B42" s="9" t="s">
        <v>47</v>
      </c>
      <c r="C42" s="8" t="s">
        <v>4</v>
      </c>
      <c r="D42" s="10">
        <v>152.298</v>
      </c>
      <c r="E42" s="8"/>
      <c r="F42" s="8"/>
      <c r="G42" s="10">
        <f t="shared" si="3"/>
        <v>0</v>
      </c>
      <c r="H42" s="10">
        <f>D42+октябрь!H42</f>
        <v>1675.278</v>
      </c>
      <c r="I42" s="8"/>
      <c r="J42" s="54">
        <f>F42+сентябрь!J42</f>
        <v>0</v>
      </c>
      <c r="K42" s="10">
        <f t="shared" si="4"/>
        <v>0</v>
      </c>
      <c r="L42" s="16"/>
      <c r="M42" s="233" t="s">
        <v>286</v>
      </c>
      <c r="N42" s="234"/>
      <c r="O42" s="122">
        <f t="shared" si="0"/>
        <v>-1675.278</v>
      </c>
      <c r="P42" s="123">
        <f t="shared" si="1"/>
        <v>-100</v>
      </c>
      <c r="Q42" s="115"/>
      <c r="S42">
        <f t="shared" si="2"/>
        <v>761.49</v>
      </c>
      <c r="T42" s="44">
        <f>E42+апр!I42</f>
        <v>0</v>
      </c>
      <c r="U42" s="30">
        <f>F42+апр!J42</f>
        <v>0</v>
      </c>
    </row>
    <row r="43" spans="1:21" ht="17.25" customHeight="1">
      <c r="A43" s="8"/>
      <c r="B43" s="12" t="s">
        <v>48</v>
      </c>
      <c r="C43" s="13" t="s">
        <v>49</v>
      </c>
      <c r="D43" s="14">
        <v>1917</v>
      </c>
      <c r="E43" s="13"/>
      <c r="F43" s="8"/>
      <c r="G43" s="10">
        <f t="shared" si="3"/>
        <v>0</v>
      </c>
      <c r="H43" s="10">
        <f>D43+октябрь!H43</f>
        <v>21087</v>
      </c>
      <c r="I43" s="8"/>
      <c r="J43" s="54">
        <f>F43+сентябрь!J43</f>
        <v>0</v>
      </c>
      <c r="K43" s="10">
        <f t="shared" si="4"/>
        <v>0</v>
      </c>
      <c r="L43" s="16"/>
      <c r="M43" s="235"/>
      <c r="N43" s="236"/>
      <c r="O43" s="122">
        <f t="shared" si="0"/>
        <v>-21087</v>
      </c>
      <c r="P43" s="123">
        <f t="shared" si="1"/>
        <v>-100</v>
      </c>
      <c r="Q43" s="115"/>
      <c r="S43">
        <f t="shared" si="2"/>
        <v>9585</v>
      </c>
      <c r="T43" s="44">
        <f>E43+апр!I43</f>
        <v>0</v>
      </c>
      <c r="U43" s="30">
        <f>F43+апр!J43</f>
        <v>0</v>
      </c>
    </row>
    <row r="44" spans="1:21" ht="17.25" customHeight="1">
      <c r="A44" s="8"/>
      <c r="B44" s="12" t="s">
        <v>15</v>
      </c>
      <c r="C44" s="13" t="s">
        <v>16</v>
      </c>
      <c r="D44" s="16">
        <f>D42/D43*1000</f>
        <v>79.44600938967136</v>
      </c>
      <c r="E44" s="13"/>
      <c r="F44" s="8"/>
      <c r="G44" s="10">
        <f t="shared" si="3"/>
        <v>0</v>
      </c>
      <c r="H44" s="16">
        <f>H42/H43*1000</f>
        <v>79.44600938967136</v>
      </c>
      <c r="I44" s="16"/>
      <c r="J44" s="16" t="e">
        <f t="shared" ref="J44" si="25">J42/J43*1000</f>
        <v>#DIV/0!</v>
      </c>
      <c r="K44" s="10" t="e">
        <f t="shared" si="4"/>
        <v>#DIV/0!</v>
      </c>
      <c r="L44" s="16"/>
      <c r="M44" s="220"/>
      <c r="N44" s="221"/>
      <c r="O44" s="122" t="e">
        <f t="shared" si="0"/>
        <v>#DIV/0!</v>
      </c>
      <c r="P44" s="123" t="e">
        <f t="shared" si="1"/>
        <v>#DIV/0!</v>
      </c>
      <c r="Q44" s="114"/>
      <c r="S44">
        <f t="shared" si="2"/>
        <v>397.2300469483568</v>
      </c>
      <c r="T44" s="44">
        <f>E44+апр!I44</f>
        <v>0</v>
      </c>
      <c r="U44" s="30" t="e">
        <f>F44+апр!J44</f>
        <v>#DIV/0!</v>
      </c>
    </row>
    <row r="45" spans="1:21" ht="17.25" customHeight="1">
      <c r="A45" s="8"/>
      <c r="B45" s="19" t="s">
        <v>50</v>
      </c>
      <c r="C45" s="8" t="s">
        <v>4</v>
      </c>
      <c r="D45" s="10">
        <v>162.70400000000001</v>
      </c>
      <c r="E45" s="8"/>
      <c r="F45" s="54">
        <v>400.411</v>
      </c>
      <c r="G45" s="10">
        <f t="shared" si="3"/>
        <v>400.411</v>
      </c>
      <c r="H45" s="10">
        <f>D45+октябрь!H45</f>
        <v>1789.7439999999997</v>
      </c>
      <c r="I45" s="8">
        <f>E45+август!I45</f>
        <v>0</v>
      </c>
      <c r="J45" s="183">
        <v>3485.8110000000001</v>
      </c>
      <c r="K45" s="10">
        <f t="shared" si="4"/>
        <v>3485.8110000000001</v>
      </c>
      <c r="L45" s="16"/>
      <c r="M45" s="220"/>
      <c r="N45" s="221"/>
      <c r="O45" s="122">
        <f t="shared" si="0"/>
        <v>1696.0670000000005</v>
      </c>
      <c r="P45" s="123">
        <f t="shared" si="1"/>
        <v>94.765899480596147</v>
      </c>
      <c r="Q45" s="114"/>
      <c r="S45">
        <f t="shared" si="2"/>
        <v>813.52</v>
      </c>
      <c r="T45" s="44">
        <f>E45+апр!I45</f>
        <v>0</v>
      </c>
      <c r="U45" s="30">
        <f>F45+апр!J45</f>
        <v>1837.4690000000001</v>
      </c>
    </row>
    <row r="46" spans="1:21" ht="17.25" customHeight="1">
      <c r="A46" s="8"/>
      <c r="B46" s="12" t="s">
        <v>51</v>
      </c>
      <c r="C46" s="13" t="s">
        <v>49</v>
      </c>
      <c r="D46" s="14">
        <v>1417</v>
      </c>
      <c r="E46" s="13"/>
      <c r="F46" s="8"/>
      <c r="G46" s="10">
        <f t="shared" si="3"/>
        <v>0</v>
      </c>
      <c r="H46" s="10">
        <f>D46+октябрь!H46</f>
        <v>15587</v>
      </c>
      <c r="I46" s="8"/>
      <c r="J46" s="183">
        <v>24520</v>
      </c>
      <c r="K46" s="10">
        <f t="shared" si="4"/>
        <v>24520</v>
      </c>
      <c r="L46" s="16"/>
      <c r="M46" s="220"/>
      <c r="N46" s="221"/>
      <c r="O46" s="122">
        <f t="shared" si="0"/>
        <v>8933</v>
      </c>
      <c r="P46" s="123">
        <f t="shared" si="1"/>
        <v>57.310579328927957</v>
      </c>
      <c r="Q46" s="114"/>
      <c r="S46">
        <f t="shared" si="2"/>
        <v>7085</v>
      </c>
      <c r="T46" s="44">
        <f>E46+апр!I46</f>
        <v>0</v>
      </c>
      <c r="U46" s="30">
        <f>F46+апр!J46</f>
        <v>10122</v>
      </c>
    </row>
    <row r="47" spans="1:21" ht="17.25" customHeight="1">
      <c r="A47" s="8"/>
      <c r="B47" s="12" t="s">
        <v>15</v>
      </c>
      <c r="C47" s="13" t="s">
        <v>16</v>
      </c>
      <c r="D47" s="16">
        <f>D45/D46*1000</f>
        <v>114.82286520818631</v>
      </c>
      <c r="E47" s="16"/>
      <c r="F47" s="16" t="e">
        <f t="shared" ref="F47" si="26">F45/F46*1000</f>
        <v>#DIV/0!</v>
      </c>
      <c r="G47" s="10" t="e">
        <f t="shared" si="3"/>
        <v>#DIV/0!</v>
      </c>
      <c r="H47" s="16">
        <f>H45/H46*1000</f>
        <v>114.82286520818629</v>
      </c>
      <c r="I47" s="16"/>
      <c r="J47" s="16">
        <f t="shared" ref="J47" si="27">J45/J46*1000</f>
        <v>142.16194942903755</v>
      </c>
      <c r="K47" s="10">
        <f t="shared" si="4"/>
        <v>142.16194942903755</v>
      </c>
      <c r="L47" s="16"/>
      <c r="M47" s="220"/>
      <c r="N47" s="221"/>
      <c r="O47" s="122">
        <f t="shared" si="0"/>
        <v>27.339084220851262</v>
      </c>
      <c r="P47" s="123">
        <f t="shared" si="1"/>
        <v>23.809790995271317</v>
      </c>
      <c r="Q47" s="114"/>
      <c r="S47">
        <f t="shared" si="2"/>
        <v>574.11432604093159</v>
      </c>
      <c r="T47" s="44">
        <f>E47+апр!I47</f>
        <v>0</v>
      </c>
      <c r="U47" s="30" t="e">
        <f>F47+апр!J47</f>
        <v>#DIV/0!</v>
      </c>
    </row>
    <row r="48" spans="1:21" ht="17.25" customHeight="1">
      <c r="A48" s="18" t="s">
        <v>52</v>
      </c>
      <c r="B48" s="9" t="s">
        <v>53</v>
      </c>
      <c r="C48" s="8" t="s">
        <v>4</v>
      </c>
      <c r="D48" s="10">
        <v>515.60799999999995</v>
      </c>
      <c r="E48" s="8"/>
      <c r="F48" s="55">
        <f>626.755+152.007</f>
        <v>778.76199999999994</v>
      </c>
      <c r="G48" s="10">
        <f t="shared" si="3"/>
        <v>778.76199999999994</v>
      </c>
      <c r="H48" s="10">
        <f>D48+октябрь!H48</f>
        <v>5671.688000000001</v>
      </c>
      <c r="I48" s="8"/>
      <c r="J48" s="183">
        <v>8703.7379999999994</v>
      </c>
      <c r="K48" s="10">
        <f t="shared" si="4"/>
        <v>8703.7379999999994</v>
      </c>
      <c r="L48" s="16"/>
      <c r="M48" s="220"/>
      <c r="N48" s="221"/>
      <c r="O48" s="122">
        <f t="shared" si="0"/>
        <v>3032.0499999999984</v>
      </c>
      <c r="P48" s="123">
        <f t="shared" si="1"/>
        <v>53.459393393994837</v>
      </c>
      <c r="Q48" s="114"/>
      <c r="S48">
        <f t="shared" si="2"/>
        <v>2578.04</v>
      </c>
      <c r="T48" s="44">
        <f>E48+апр!I48</f>
        <v>0</v>
      </c>
      <c r="U48" s="30">
        <f>F48+апр!J48</f>
        <v>3724.9210000000003</v>
      </c>
    </row>
    <row r="49" spans="1:21" ht="17.25" customHeight="1">
      <c r="A49" s="8"/>
      <c r="B49" s="12" t="s">
        <v>13</v>
      </c>
      <c r="C49" s="13" t="s">
        <v>49</v>
      </c>
      <c r="D49" s="14">
        <v>5833</v>
      </c>
      <c r="E49" s="13"/>
      <c r="F49" s="8"/>
      <c r="G49" s="10">
        <f t="shared" si="3"/>
        <v>0</v>
      </c>
      <c r="H49" s="10">
        <f>D49+октябрь!H49</f>
        <v>64163</v>
      </c>
      <c r="I49" s="8"/>
      <c r="J49" s="183">
        <v>55844</v>
      </c>
      <c r="K49" s="10">
        <f t="shared" si="4"/>
        <v>55844</v>
      </c>
      <c r="L49" s="16"/>
      <c r="M49" s="220"/>
      <c r="N49" s="221"/>
      <c r="O49" s="122">
        <f t="shared" si="0"/>
        <v>-8319</v>
      </c>
      <c r="P49" s="123">
        <f t="shared" si="1"/>
        <v>-12.965416205601359</v>
      </c>
      <c r="Q49" s="114"/>
      <c r="S49">
        <f t="shared" si="2"/>
        <v>29165</v>
      </c>
      <c r="T49" s="44">
        <f>E49+апр!I49</f>
        <v>0</v>
      </c>
      <c r="U49" s="30">
        <f>F49+апр!J49</f>
        <v>18323</v>
      </c>
    </row>
    <row r="50" spans="1:21" ht="17.25" customHeight="1">
      <c r="A50" s="8"/>
      <c r="B50" s="12" t="s">
        <v>15</v>
      </c>
      <c r="C50" s="13" t="s">
        <v>16</v>
      </c>
      <c r="D50" s="16">
        <f>D48/D49*1000</f>
        <v>88.394993999657117</v>
      </c>
      <c r="E50" s="16"/>
      <c r="F50" s="16" t="e">
        <f t="shared" ref="F50" si="28">F48/F49*1000</f>
        <v>#DIV/0!</v>
      </c>
      <c r="G50" s="10" t="e">
        <f t="shared" si="3"/>
        <v>#DIV/0!</v>
      </c>
      <c r="H50" s="16">
        <f>H48/H49*1000</f>
        <v>88.394993999657146</v>
      </c>
      <c r="I50" s="16"/>
      <c r="J50" s="16">
        <f t="shared" ref="J50" si="29">J48/J49*1000</f>
        <v>155.8580689062388</v>
      </c>
      <c r="K50" s="10">
        <f t="shared" si="4"/>
        <v>155.8580689062388</v>
      </c>
      <c r="L50" s="16"/>
      <c r="M50" s="220"/>
      <c r="N50" s="221"/>
      <c r="O50" s="122">
        <f t="shared" si="0"/>
        <v>67.463074906581653</v>
      </c>
      <c r="P50" s="123">
        <f t="shared" si="1"/>
        <v>76.320017519140634</v>
      </c>
      <c r="Q50" s="114"/>
      <c r="S50">
        <f t="shared" si="2"/>
        <v>441.97496999828559</v>
      </c>
      <c r="T50" s="44">
        <f>E50+апр!I50</f>
        <v>0</v>
      </c>
      <c r="U50" s="30" t="e">
        <f>F50+апр!J50</f>
        <v>#DIV/0!</v>
      </c>
    </row>
    <row r="51" spans="1:21" ht="17.25" customHeight="1">
      <c r="A51" s="18" t="s">
        <v>54</v>
      </c>
      <c r="B51" s="20" t="s">
        <v>55</v>
      </c>
      <c r="C51" s="8" t="s">
        <v>4</v>
      </c>
      <c r="D51" s="10">
        <f t="shared" ref="D51:F52" si="30">D54+D57+D60+D63+D66+D69</f>
        <v>75.456000000000003</v>
      </c>
      <c r="E51" s="10"/>
      <c r="F51" s="10">
        <f t="shared" si="30"/>
        <v>111.462</v>
      </c>
      <c r="G51" s="10">
        <f t="shared" si="3"/>
        <v>111.462</v>
      </c>
      <c r="H51" s="10">
        <f t="shared" ref="H51:H52" si="31">H54+H57+H60+H63+H66+H69</f>
        <v>830.01599999999996</v>
      </c>
      <c r="I51" s="10"/>
      <c r="J51" s="10">
        <f t="shared" ref="J51:J52" si="32">J54+J57+J60+J63+J66+J69</f>
        <v>691.5</v>
      </c>
      <c r="K51" s="10">
        <f t="shared" si="4"/>
        <v>691.5</v>
      </c>
      <c r="L51" s="16"/>
      <c r="M51" s="220"/>
      <c r="N51" s="221"/>
      <c r="O51" s="122">
        <f t="shared" si="0"/>
        <v>-138.51599999999996</v>
      </c>
      <c r="P51" s="123">
        <f t="shared" si="1"/>
        <v>-16.688352995604898</v>
      </c>
      <c r="Q51" s="114"/>
      <c r="S51">
        <f t="shared" si="2"/>
        <v>377.28000000000003</v>
      </c>
      <c r="T51" s="44">
        <f>E51+апр!I51</f>
        <v>0</v>
      </c>
      <c r="U51" s="30">
        <f>F51+апр!J51</f>
        <v>232.61099999999999</v>
      </c>
    </row>
    <row r="52" spans="1:21" ht="17.25" customHeight="1">
      <c r="A52" s="8"/>
      <c r="B52" s="19" t="s">
        <v>13</v>
      </c>
      <c r="C52" s="13" t="s">
        <v>49</v>
      </c>
      <c r="D52" s="14">
        <f t="shared" si="30"/>
        <v>177</v>
      </c>
      <c r="E52" s="13"/>
      <c r="F52" s="14">
        <f t="shared" si="30"/>
        <v>0</v>
      </c>
      <c r="G52" s="10">
        <f t="shared" si="3"/>
        <v>0</v>
      </c>
      <c r="H52" s="14">
        <f t="shared" si="31"/>
        <v>1947</v>
      </c>
      <c r="I52" s="8"/>
      <c r="J52" s="14">
        <f t="shared" si="32"/>
        <v>1181.02</v>
      </c>
      <c r="K52" s="10">
        <f t="shared" si="4"/>
        <v>1181.02</v>
      </c>
      <c r="L52" s="16"/>
      <c r="M52" s="220"/>
      <c r="N52" s="221"/>
      <c r="O52" s="122">
        <f t="shared" si="0"/>
        <v>-765.98</v>
      </c>
      <c r="P52" s="123">
        <f t="shared" si="1"/>
        <v>-39.341551104262969</v>
      </c>
      <c r="Q52" s="114"/>
      <c r="S52">
        <f t="shared" si="2"/>
        <v>885</v>
      </c>
      <c r="T52" s="44">
        <f>E52+апр!I52</f>
        <v>0</v>
      </c>
      <c r="U52" s="30">
        <f>F52+апр!J52</f>
        <v>219.07499999999999</v>
      </c>
    </row>
    <row r="53" spans="1:21" ht="17.25" customHeight="1">
      <c r="A53" s="8"/>
      <c r="B53" s="19" t="s">
        <v>15</v>
      </c>
      <c r="C53" s="13" t="s">
        <v>16</v>
      </c>
      <c r="D53" s="16">
        <f>D51/D52*1000</f>
        <v>426.30508474576271</v>
      </c>
      <c r="E53" s="16"/>
      <c r="F53" s="16" t="e">
        <f t="shared" ref="F53" si="33">F51/F52*1000</f>
        <v>#DIV/0!</v>
      </c>
      <c r="G53" s="10" t="e">
        <f t="shared" si="3"/>
        <v>#DIV/0!</v>
      </c>
      <c r="H53" s="16">
        <f>H51/H52*1000</f>
        <v>426.30508474576266</v>
      </c>
      <c r="I53" s="16"/>
      <c r="J53" s="16">
        <f t="shared" ref="J53" si="34">J51/J52*1000</f>
        <v>585.51082962185228</v>
      </c>
      <c r="K53" s="10">
        <f t="shared" si="4"/>
        <v>585.51082962185228</v>
      </c>
      <c r="L53" s="16"/>
      <c r="M53" s="220"/>
      <c r="N53" s="221"/>
      <c r="O53" s="122">
        <f t="shared" si="0"/>
        <v>159.20574487608962</v>
      </c>
      <c r="P53" s="123">
        <f t="shared" si="1"/>
        <v>37.345495180062379</v>
      </c>
      <c r="Q53" s="114"/>
      <c r="S53">
        <f t="shared" si="2"/>
        <v>2131.5254237288136</v>
      </c>
      <c r="T53" s="44">
        <f>E53+апр!I53</f>
        <v>0</v>
      </c>
      <c r="U53" s="30" t="e">
        <f>F53+апр!J53</f>
        <v>#DIV/0!</v>
      </c>
    </row>
    <row r="54" spans="1:21" ht="17.25" customHeight="1">
      <c r="A54" s="8"/>
      <c r="B54" s="20" t="s">
        <v>56</v>
      </c>
      <c r="C54" s="8" t="s">
        <v>4</v>
      </c>
      <c r="D54" s="10">
        <v>7.8079999999999998</v>
      </c>
      <c r="E54" s="8"/>
      <c r="F54" s="55">
        <v>14.061999999999999</v>
      </c>
      <c r="G54" s="10">
        <f t="shared" si="3"/>
        <v>14.061999999999999</v>
      </c>
      <c r="H54" s="10">
        <f>D54+октябрь!H54</f>
        <v>85.887999999999977</v>
      </c>
      <c r="I54" s="8"/>
      <c r="J54" s="183">
        <f>F54+сентябрь!J54</f>
        <v>52.720999999999997</v>
      </c>
      <c r="K54" s="10">
        <f t="shared" si="4"/>
        <v>52.720999999999997</v>
      </c>
      <c r="L54" s="16"/>
      <c r="M54" s="220"/>
      <c r="N54" s="221"/>
      <c r="O54" s="122">
        <f t="shared" si="0"/>
        <v>-33.16699999999998</v>
      </c>
      <c r="P54" s="123">
        <f t="shared" si="1"/>
        <v>-38.616570417287619</v>
      </c>
      <c r="Q54" s="114"/>
      <c r="S54">
        <f t="shared" si="2"/>
        <v>39.04</v>
      </c>
      <c r="T54" s="44">
        <f>E54+апр!I54</f>
        <v>0</v>
      </c>
      <c r="U54" s="30">
        <f>F54+апр!J54</f>
        <v>27.665999999999997</v>
      </c>
    </row>
    <row r="55" spans="1:21" ht="17.25" customHeight="1">
      <c r="A55" s="8"/>
      <c r="B55" s="12" t="s">
        <v>13</v>
      </c>
      <c r="C55" s="13" t="s">
        <v>49</v>
      </c>
      <c r="D55" s="14">
        <v>31</v>
      </c>
      <c r="E55" s="13"/>
      <c r="F55" s="8"/>
      <c r="G55" s="10">
        <f t="shared" si="3"/>
        <v>0</v>
      </c>
      <c r="H55" s="10">
        <f>D55+октябрь!H55</f>
        <v>341</v>
      </c>
      <c r="I55" s="8"/>
      <c r="J55" s="183">
        <v>95</v>
      </c>
      <c r="K55" s="10">
        <f t="shared" si="4"/>
        <v>95</v>
      </c>
      <c r="L55" s="16"/>
      <c r="M55" s="220"/>
      <c r="N55" s="221"/>
      <c r="O55" s="122">
        <f t="shared" si="0"/>
        <v>-246</v>
      </c>
      <c r="P55" s="123">
        <f t="shared" si="1"/>
        <v>-72.140762463343108</v>
      </c>
      <c r="Q55" s="114"/>
      <c r="S55">
        <f t="shared" si="2"/>
        <v>155</v>
      </c>
      <c r="T55" s="44">
        <f>E55+апр!I55</f>
        <v>0</v>
      </c>
      <c r="U55" s="30">
        <f>F55+апр!J55</f>
        <v>25</v>
      </c>
    </row>
    <row r="56" spans="1:21" ht="17.25" customHeight="1">
      <c r="A56" s="8"/>
      <c r="B56" s="12" t="s">
        <v>15</v>
      </c>
      <c r="C56" s="13" t="s">
        <v>16</v>
      </c>
      <c r="D56" s="16">
        <f>D54/D55*1000</f>
        <v>251.87096774193546</v>
      </c>
      <c r="E56" s="16"/>
      <c r="F56" s="16" t="e">
        <f t="shared" ref="F56" si="35">F54/F55*1000</f>
        <v>#DIV/0!</v>
      </c>
      <c r="G56" s="10" t="e">
        <f t="shared" si="3"/>
        <v>#DIV/0!</v>
      </c>
      <c r="H56" s="16">
        <f>H54/H55*1000</f>
        <v>251.8709677419354</v>
      </c>
      <c r="I56" s="16"/>
      <c r="J56" s="16">
        <f t="shared" ref="J56" si="36">J54/J55*1000</f>
        <v>554.95789473684215</v>
      </c>
      <c r="K56" s="10">
        <f t="shared" si="4"/>
        <v>554.95789473684215</v>
      </c>
      <c r="L56" s="16"/>
      <c r="M56" s="220"/>
      <c r="N56" s="221"/>
      <c r="O56" s="122">
        <f t="shared" si="0"/>
        <v>303.08692699490678</v>
      </c>
      <c r="P56" s="123">
        <f t="shared" si="1"/>
        <v>120.33420513373608</v>
      </c>
      <c r="Q56" s="114"/>
      <c r="S56">
        <f t="shared" si="2"/>
        <v>1259.3548387096773</v>
      </c>
      <c r="T56" s="44">
        <f>E56+апр!I56</f>
        <v>0</v>
      </c>
      <c r="U56" s="30" t="e">
        <f>F56+апр!J56</f>
        <v>#DIV/0!</v>
      </c>
    </row>
    <row r="57" spans="1:21" ht="17.25" customHeight="1">
      <c r="A57" s="8"/>
      <c r="B57" s="20" t="s">
        <v>57</v>
      </c>
      <c r="C57" s="8" t="s">
        <v>4</v>
      </c>
      <c r="D57" s="10">
        <v>13.96</v>
      </c>
      <c r="E57" s="8"/>
      <c r="F57" s="55"/>
      <c r="G57" s="10">
        <f t="shared" si="3"/>
        <v>0</v>
      </c>
      <c r="H57" s="10">
        <f>D57+октябрь!H57</f>
        <v>153.56000000000006</v>
      </c>
      <c r="I57" s="8"/>
      <c r="J57" s="183">
        <f>F57+сентябрь!J57</f>
        <v>116.25</v>
      </c>
      <c r="K57" s="10">
        <f t="shared" si="4"/>
        <v>116.25</v>
      </c>
      <c r="L57" s="16"/>
      <c r="M57" s="233" t="s">
        <v>291</v>
      </c>
      <c r="N57" s="234"/>
      <c r="O57" s="122">
        <f t="shared" si="0"/>
        <v>-37.310000000000059</v>
      </c>
      <c r="P57" s="123">
        <f t="shared" si="1"/>
        <v>-24.296691846835142</v>
      </c>
      <c r="Q57" s="115"/>
      <c r="S57">
        <f t="shared" si="2"/>
        <v>69.800000000000011</v>
      </c>
      <c r="T57" s="44">
        <f>E57+апр!I57</f>
        <v>0</v>
      </c>
      <c r="U57" s="30">
        <f>F57+апр!J57</f>
        <v>0</v>
      </c>
    </row>
    <row r="58" spans="1:21" ht="17.25" customHeight="1">
      <c r="A58" s="8"/>
      <c r="B58" s="12" t="s">
        <v>13</v>
      </c>
      <c r="C58" s="13" t="s">
        <v>49</v>
      </c>
      <c r="D58" s="14">
        <v>33</v>
      </c>
      <c r="E58" s="13"/>
      <c r="F58" s="8"/>
      <c r="G58" s="10">
        <f t="shared" si="3"/>
        <v>0</v>
      </c>
      <c r="H58" s="10">
        <f>D58+октябрь!H58</f>
        <v>363</v>
      </c>
      <c r="I58" s="8"/>
      <c r="J58" s="183">
        <f>F58+сентябрь!J58</f>
        <v>300</v>
      </c>
      <c r="K58" s="10">
        <f t="shared" si="4"/>
        <v>300</v>
      </c>
      <c r="L58" s="16"/>
      <c r="M58" s="235"/>
      <c r="N58" s="236"/>
      <c r="O58" s="122">
        <f t="shared" si="0"/>
        <v>-63</v>
      </c>
      <c r="P58" s="123">
        <f t="shared" si="1"/>
        <v>-17.355371900826448</v>
      </c>
      <c r="Q58" s="115"/>
      <c r="S58">
        <f t="shared" si="2"/>
        <v>165</v>
      </c>
      <c r="T58" s="44">
        <f>E58+апр!I58</f>
        <v>0</v>
      </c>
      <c r="U58" s="30">
        <f>F58+апр!J58</f>
        <v>0</v>
      </c>
    </row>
    <row r="59" spans="1:21" ht="17.25" customHeight="1">
      <c r="A59" s="8"/>
      <c r="B59" s="12" t="s">
        <v>15</v>
      </c>
      <c r="C59" s="13" t="s">
        <v>16</v>
      </c>
      <c r="D59" s="16">
        <f>D57/D58*1000</f>
        <v>423.03030303030306</v>
      </c>
      <c r="E59" s="13"/>
      <c r="F59" s="16" t="e">
        <f t="shared" ref="F59" si="37">F57/F58*1000</f>
        <v>#DIV/0!</v>
      </c>
      <c r="G59" s="10" t="e">
        <f t="shared" si="3"/>
        <v>#DIV/0!</v>
      </c>
      <c r="H59" s="16">
        <f>H57/H58*1000</f>
        <v>423.03030303030317</v>
      </c>
      <c r="I59" s="8"/>
      <c r="J59" s="13"/>
      <c r="K59" s="10">
        <f t="shared" si="4"/>
        <v>0</v>
      </c>
      <c r="L59" s="16"/>
      <c r="M59" s="220"/>
      <c r="N59" s="221"/>
      <c r="O59" s="122">
        <f t="shared" si="0"/>
        <v>-423.03030303030317</v>
      </c>
      <c r="P59" s="123">
        <f t="shared" si="1"/>
        <v>-100</v>
      </c>
      <c r="Q59" s="114"/>
      <c r="S59">
        <f t="shared" si="2"/>
        <v>2115.1515151515155</v>
      </c>
      <c r="T59" s="44">
        <f>E59+апр!I59</f>
        <v>0</v>
      </c>
      <c r="U59" s="30" t="e">
        <f>F59+апр!J59</f>
        <v>#DIV/0!</v>
      </c>
    </row>
    <row r="60" spans="1:21" ht="17.25" customHeight="1">
      <c r="A60" s="8"/>
      <c r="B60" s="20" t="s">
        <v>58</v>
      </c>
      <c r="C60" s="8" t="s">
        <v>4</v>
      </c>
      <c r="D60" s="10">
        <v>28.585000000000001</v>
      </c>
      <c r="E60" s="8"/>
      <c r="F60" s="55">
        <v>85</v>
      </c>
      <c r="G60" s="10">
        <f t="shared" si="3"/>
        <v>85</v>
      </c>
      <c r="H60" s="10">
        <f>D60+октябрь!H60</f>
        <v>314.435</v>
      </c>
      <c r="I60" s="8"/>
      <c r="J60" s="183">
        <f>F60+сентябрь!J60</f>
        <v>353.59399999999999</v>
      </c>
      <c r="K60" s="10">
        <f t="shared" si="4"/>
        <v>353.59399999999999</v>
      </c>
      <c r="L60" s="16"/>
      <c r="M60" s="233" t="s">
        <v>291</v>
      </c>
      <c r="N60" s="234"/>
      <c r="O60" s="122">
        <f t="shared" si="0"/>
        <v>39.158999999999992</v>
      </c>
      <c r="P60" s="123">
        <f t="shared" si="1"/>
        <v>12.453766279199197</v>
      </c>
      <c r="Q60" s="115"/>
      <c r="S60">
        <f t="shared" si="2"/>
        <v>142.92500000000001</v>
      </c>
      <c r="T60" s="44">
        <f>E60+апр!I60</f>
        <v>0</v>
      </c>
      <c r="U60" s="30">
        <f>F60+апр!J60</f>
        <v>142.375</v>
      </c>
    </row>
    <row r="61" spans="1:21" ht="17.25" customHeight="1">
      <c r="A61" s="8"/>
      <c r="B61" s="12" t="s">
        <v>13</v>
      </c>
      <c r="C61" s="13" t="s">
        <v>49</v>
      </c>
      <c r="D61" s="14">
        <v>70</v>
      </c>
      <c r="E61" s="13"/>
      <c r="F61" s="8"/>
      <c r="G61" s="10">
        <f t="shared" si="3"/>
        <v>0</v>
      </c>
      <c r="H61" s="10">
        <f>D61+октябрь!H61</f>
        <v>770</v>
      </c>
      <c r="I61" s="8"/>
      <c r="J61" s="183">
        <v>540</v>
      </c>
      <c r="K61" s="10">
        <f t="shared" si="4"/>
        <v>540</v>
      </c>
      <c r="L61" s="16"/>
      <c r="M61" s="235"/>
      <c r="N61" s="236"/>
      <c r="O61" s="122">
        <f t="shared" si="0"/>
        <v>-230</v>
      </c>
      <c r="P61" s="123">
        <f t="shared" si="1"/>
        <v>-29.870129870129869</v>
      </c>
      <c r="Q61" s="115"/>
      <c r="S61">
        <f t="shared" si="2"/>
        <v>350</v>
      </c>
      <c r="T61" s="44">
        <f>E61+апр!I61</f>
        <v>0</v>
      </c>
      <c r="U61" s="30">
        <f>F61+апр!J61</f>
        <v>108</v>
      </c>
    </row>
    <row r="62" spans="1:21" ht="17.25" customHeight="1">
      <c r="A62" s="8"/>
      <c r="B62" s="12" t="s">
        <v>15</v>
      </c>
      <c r="C62" s="13" t="s">
        <v>16</v>
      </c>
      <c r="D62" s="16">
        <f>D60/D61*1000</f>
        <v>408.35714285714289</v>
      </c>
      <c r="E62" s="16"/>
      <c r="F62" s="16" t="e">
        <f t="shared" ref="F62" si="38">F60/F61*1000</f>
        <v>#DIV/0!</v>
      </c>
      <c r="G62" s="10" t="e">
        <f t="shared" si="3"/>
        <v>#DIV/0!</v>
      </c>
      <c r="H62" s="16">
        <f>H60/H61*1000</f>
        <v>408.35714285714289</v>
      </c>
      <c r="I62" s="16"/>
      <c r="J62" s="16">
        <f t="shared" ref="J62" si="39">J60/J61*1000</f>
        <v>654.80370370370372</v>
      </c>
      <c r="K62" s="10">
        <f t="shared" si="4"/>
        <v>654.80370370370372</v>
      </c>
      <c r="L62" s="16"/>
      <c r="M62" s="220"/>
      <c r="N62" s="221"/>
      <c r="O62" s="122">
        <f t="shared" si="0"/>
        <v>246.44656084656083</v>
      </c>
      <c r="P62" s="123">
        <f t="shared" si="1"/>
        <v>60.350740805524772</v>
      </c>
      <c r="Q62" s="114"/>
      <c r="S62">
        <f t="shared" si="2"/>
        <v>2041.7857142857144</v>
      </c>
      <c r="T62" s="44">
        <f>E62+апр!I62</f>
        <v>0</v>
      </c>
      <c r="U62" s="30" t="e">
        <f>F62+апр!J62</f>
        <v>#DIV/0!</v>
      </c>
    </row>
    <row r="63" spans="1:21" ht="17.25" customHeight="1">
      <c r="A63" s="8"/>
      <c r="B63" s="20" t="s">
        <v>220</v>
      </c>
      <c r="C63" s="8" t="s">
        <v>4</v>
      </c>
      <c r="D63" s="10">
        <v>12.234</v>
      </c>
      <c r="E63" s="8"/>
      <c r="F63" s="54"/>
      <c r="G63" s="10">
        <f t="shared" si="3"/>
        <v>0</v>
      </c>
      <c r="H63" s="10">
        <f>D63+октябрь!H63</f>
        <v>134.57399999999998</v>
      </c>
      <c r="I63" s="8"/>
      <c r="J63" s="183">
        <f>F63+сентябрь!J63</f>
        <v>52.059999999999995</v>
      </c>
      <c r="K63" s="10">
        <f t="shared" si="4"/>
        <v>52.059999999999995</v>
      </c>
      <c r="L63" s="16"/>
      <c r="M63" s="220"/>
      <c r="N63" s="221"/>
      <c r="O63" s="122">
        <f t="shared" si="0"/>
        <v>-82.513999999999982</v>
      </c>
      <c r="P63" s="123">
        <f t="shared" si="1"/>
        <v>-61.314964257583185</v>
      </c>
      <c r="Q63" s="114"/>
      <c r="S63">
        <f t="shared" si="2"/>
        <v>61.17</v>
      </c>
      <c r="T63" s="44">
        <f>E63+апр!I63</f>
        <v>0</v>
      </c>
      <c r="U63" s="30">
        <f>F63+апр!J63</f>
        <v>8.66</v>
      </c>
    </row>
    <row r="64" spans="1:21" ht="17.25" customHeight="1">
      <c r="A64" s="8"/>
      <c r="B64" s="12" t="s">
        <v>13</v>
      </c>
      <c r="C64" s="13" t="s">
        <v>49</v>
      </c>
      <c r="D64" s="14">
        <v>23</v>
      </c>
      <c r="E64" s="13"/>
      <c r="F64" s="8"/>
      <c r="G64" s="10">
        <f t="shared" si="3"/>
        <v>0</v>
      </c>
      <c r="H64" s="10">
        <f>D64+октябрь!H64</f>
        <v>253</v>
      </c>
      <c r="I64" s="8"/>
      <c r="J64" s="183">
        <f>F64+сентябрь!J64</f>
        <v>120</v>
      </c>
      <c r="K64" s="10">
        <f t="shared" si="4"/>
        <v>120</v>
      </c>
      <c r="L64" s="16"/>
      <c r="M64" s="220"/>
      <c r="N64" s="221"/>
      <c r="O64" s="122">
        <f t="shared" si="0"/>
        <v>-133</v>
      </c>
      <c r="P64" s="123">
        <f t="shared" si="1"/>
        <v>-52.569169960474305</v>
      </c>
      <c r="Q64" s="114"/>
      <c r="S64">
        <f t="shared" si="2"/>
        <v>115</v>
      </c>
      <c r="T64" s="44">
        <f>E64+апр!I64</f>
        <v>0</v>
      </c>
      <c r="U64" s="30">
        <f>F64+апр!J64</f>
        <v>20</v>
      </c>
    </row>
    <row r="65" spans="1:21" ht="17.25" customHeight="1">
      <c r="A65" s="8"/>
      <c r="B65" s="12" t="s">
        <v>15</v>
      </c>
      <c r="C65" s="13" t="s">
        <v>16</v>
      </c>
      <c r="D65" s="16">
        <f>D63/D64*1000</f>
        <v>531.91304347826087</v>
      </c>
      <c r="E65" s="16"/>
      <c r="F65" s="16" t="e">
        <f t="shared" ref="F65" si="40">F63/F64*1000</f>
        <v>#DIV/0!</v>
      </c>
      <c r="G65" s="10" t="e">
        <f t="shared" si="3"/>
        <v>#DIV/0!</v>
      </c>
      <c r="H65" s="16">
        <f>H63/H64*1000</f>
        <v>531.91304347826087</v>
      </c>
      <c r="I65" s="16"/>
      <c r="J65" s="16">
        <f t="shared" ref="J65" si="41">J63/J64*1000</f>
        <v>433.83333333333331</v>
      </c>
      <c r="K65" s="10">
        <f t="shared" si="4"/>
        <v>433.83333333333331</v>
      </c>
      <c r="L65" s="16"/>
      <c r="M65" s="220"/>
      <c r="N65" s="221"/>
      <c r="O65" s="122">
        <f t="shared" si="0"/>
        <v>-98.07971014492756</v>
      </c>
      <c r="P65" s="123">
        <f t="shared" si="1"/>
        <v>-18.439049643071225</v>
      </c>
      <c r="Q65" s="114"/>
      <c r="S65">
        <f t="shared" si="2"/>
        <v>2659.5652173913045</v>
      </c>
      <c r="T65" s="44">
        <f>E65+апр!I65</f>
        <v>0</v>
      </c>
      <c r="U65" s="30" t="e">
        <f>F65+апр!J65</f>
        <v>#DIV/0!</v>
      </c>
    </row>
    <row r="66" spans="1:21" ht="17.25" customHeight="1">
      <c r="A66" s="8"/>
      <c r="B66" s="9" t="s">
        <v>59</v>
      </c>
      <c r="C66" s="8" t="s">
        <v>4</v>
      </c>
      <c r="D66" s="10">
        <v>2.8610000000000002</v>
      </c>
      <c r="E66" s="8"/>
      <c r="F66" s="8"/>
      <c r="G66" s="10">
        <f t="shared" si="3"/>
        <v>0</v>
      </c>
      <c r="H66" s="10">
        <f>D66+октябрь!H66</f>
        <v>31.471000000000004</v>
      </c>
      <c r="I66" s="8"/>
      <c r="J66" s="54">
        <f>F66+сентябрь!J66</f>
        <v>0</v>
      </c>
      <c r="K66" s="10">
        <f t="shared" si="4"/>
        <v>0</v>
      </c>
      <c r="L66" s="16"/>
      <c r="M66" s="220"/>
      <c r="N66" s="221"/>
      <c r="O66" s="122">
        <f t="shared" si="0"/>
        <v>-31.471000000000004</v>
      </c>
      <c r="P66" s="123">
        <f t="shared" si="1"/>
        <v>-100</v>
      </c>
      <c r="Q66" s="114"/>
      <c r="S66">
        <f t="shared" si="2"/>
        <v>14.305000000000001</v>
      </c>
      <c r="T66" s="44">
        <f>E66+апр!I66</f>
        <v>0</v>
      </c>
      <c r="U66" s="30">
        <f>F66+апр!J66</f>
        <v>0</v>
      </c>
    </row>
    <row r="67" spans="1:21" ht="17.25" customHeight="1">
      <c r="A67" s="8"/>
      <c r="B67" s="12" t="s">
        <v>13</v>
      </c>
      <c r="C67" s="13" t="s">
        <v>49</v>
      </c>
      <c r="D67" s="14">
        <v>2</v>
      </c>
      <c r="E67" s="13"/>
      <c r="F67" s="8"/>
      <c r="G67" s="10">
        <f t="shared" si="3"/>
        <v>0</v>
      </c>
      <c r="H67" s="10">
        <f>D67+октябрь!H67</f>
        <v>22</v>
      </c>
      <c r="I67" s="8"/>
      <c r="J67" s="54">
        <f>F67+сентябрь!J67</f>
        <v>0</v>
      </c>
      <c r="K67" s="10">
        <f t="shared" si="4"/>
        <v>0</v>
      </c>
      <c r="L67" s="16"/>
      <c r="M67" s="220"/>
      <c r="N67" s="221"/>
      <c r="O67" s="122">
        <f t="shared" si="0"/>
        <v>-22</v>
      </c>
      <c r="P67" s="123">
        <f t="shared" si="1"/>
        <v>-100</v>
      </c>
      <c r="Q67" s="114"/>
      <c r="S67">
        <f t="shared" si="2"/>
        <v>10</v>
      </c>
      <c r="T67" s="44">
        <f>E67+апр!I67</f>
        <v>0</v>
      </c>
      <c r="U67" s="30">
        <f>F67+апр!J67</f>
        <v>0</v>
      </c>
    </row>
    <row r="68" spans="1:21" ht="17.25" customHeight="1">
      <c r="A68" s="8"/>
      <c r="B68" s="12" t="s">
        <v>15</v>
      </c>
      <c r="C68" s="13" t="s">
        <v>16</v>
      </c>
      <c r="D68" s="16">
        <f>D66/D67*1000</f>
        <v>1430.5</v>
      </c>
      <c r="E68" s="13"/>
      <c r="F68" s="8"/>
      <c r="G68" s="10">
        <f t="shared" si="3"/>
        <v>0</v>
      </c>
      <c r="H68" s="16">
        <f>H66/H67*1000</f>
        <v>1430.5</v>
      </c>
      <c r="I68" s="16"/>
      <c r="J68" s="16" t="e">
        <f t="shared" ref="J68" si="42">J66/J67*1000</f>
        <v>#DIV/0!</v>
      </c>
      <c r="K68" s="10" t="e">
        <f t="shared" si="4"/>
        <v>#DIV/0!</v>
      </c>
      <c r="L68" s="16"/>
      <c r="M68" s="220"/>
      <c r="N68" s="221"/>
      <c r="O68" s="122" t="e">
        <f t="shared" si="0"/>
        <v>#DIV/0!</v>
      </c>
      <c r="P68" s="123" t="e">
        <f t="shared" si="1"/>
        <v>#DIV/0!</v>
      </c>
      <c r="Q68" s="114"/>
      <c r="S68">
        <f t="shared" si="2"/>
        <v>7152.5</v>
      </c>
      <c r="T68" s="44">
        <f>E68+апр!I68</f>
        <v>0</v>
      </c>
      <c r="U68" s="30" t="e">
        <f>F68+апр!J68</f>
        <v>#DIV/0!</v>
      </c>
    </row>
    <row r="69" spans="1:21" ht="17.25" customHeight="1">
      <c r="A69" s="8"/>
      <c r="B69" s="20" t="s">
        <v>60</v>
      </c>
      <c r="C69" s="8" t="s">
        <v>4</v>
      </c>
      <c r="D69" s="10">
        <v>10.007999999999999</v>
      </c>
      <c r="E69" s="8"/>
      <c r="F69" s="54">
        <v>12.4</v>
      </c>
      <c r="G69" s="10">
        <f t="shared" si="3"/>
        <v>12.4</v>
      </c>
      <c r="H69" s="10">
        <f>D69+октябрь!H69</f>
        <v>110.08799999999997</v>
      </c>
      <c r="I69" s="8"/>
      <c r="J69" s="183">
        <v>116.875</v>
      </c>
      <c r="K69" s="10">
        <f t="shared" si="4"/>
        <v>116.875</v>
      </c>
      <c r="L69" s="16"/>
      <c r="M69" s="233" t="s">
        <v>292</v>
      </c>
      <c r="N69" s="234"/>
      <c r="O69" s="122">
        <f t="shared" si="0"/>
        <v>6.7870000000000346</v>
      </c>
      <c r="P69" s="123">
        <f t="shared" si="1"/>
        <v>6.1650679456435187</v>
      </c>
      <c r="Q69" s="115"/>
      <c r="S69">
        <f t="shared" si="2"/>
        <v>50.039999999999992</v>
      </c>
      <c r="T69" s="44">
        <f>E69+апр!I69</f>
        <v>0</v>
      </c>
      <c r="U69" s="30">
        <f>F69+апр!J69</f>
        <v>53.910000000000004</v>
      </c>
    </row>
    <row r="70" spans="1:21" ht="17.25" customHeight="1">
      <c r="A70" s="8"/>
      <c r="B70" s="12" t="s">
        <v>13</v>
      </c>
      <c r="C70" s="13" t="s">
        <v>61</v>
      </c>
      <c r="D70" s="14">
        <v>18</v>
      </c>
      <c r="E70" s="13"/>
      <c r="F70" s="10"/>
      <c r="G70" s="10">
        <f t="shared" si="3"/>
        <v>0</v>
      </c>
      <c r="H70" s="10">
        <f>D70+октябрь!H70</f>
        <v>198</v>
      </c>
      <c r="I70" s="8"/>
      <c r="J70" s="183">
        <v>126.02</v>
      </c>
      <c r="K70" s="10">
        <f t="shared" si="4"/>
        <v>126.02</v>
      </c>
      <c r="L70" s="16"/>
      <c r="M70" s="235"/>
      <c r="N70" s="236"/>
      <c r="O70" s="122">
        <f t="shared" si="0"/>
        <v>-71.98</v>
      </c>
      <c r="P70" s="123">
        <f t="shared" si="1"/>
        <v>-36.353535353535356</v>
      </c>
      <c r="Q70" s="115"/>
      <c r="S70">
        <f t="shared" si="2"/>
        <v>90</v>
      </c>
      <c r="T70" s="44">
        <f>E70+апр!I70</f>
        <v>0</v>
      </c>
      <c r="U70" s="30">
        <f>F70+апр!J70</f>
        <v>66.075000000000003</v>
      </c>
    </row>
    <row r="71" spans="1:21" ht="17.25" customHeight="1">
      <c r="A71" s="8"/>
      <c r="B71" s="12" t="s">
        <v>15</v>
      </c>
      <c r="C71" s="13" t="s">
        <v>16</v>
      </c>
      <c r="D71" s="16">
        <f>D69/D70*1000</f>
        <v>555.99999999999989</v>
      </c>
      <c r="E71" s="16"/>
      <c r="F71" s="16" t="e">
        <f>F69/F70*1000</f>
        <v>#DIV/0!</v>
      </c>
      <c r="G71" s="10" t="e">
        <f t="shared" si="3"/>
        <v>#DIV/0!</v>
      </c>
      <c r="H71" s="16">
        <f>H69/H70*1000</f>
        <v>555.99999999999977</v>
      </c>
      <c r="I71" s="16"/>
      <c r="J71" s="16">
        <f t="shared" ref="J71" si="43">J69/J70*1000</f>
        <v>927.43215362640854</v>
      </c>
      <c r="K71" s="10">
        <f t="shared" si="4"/>
        <v>927.43215362640854</v>
      </c>
      <c r="L71" s="16"/>
      <c r="M71" s="220"/>
      <c r="N71" s="221"/>
      <c r="O71" s="122">
        <f t="shared" si="0"/>
        <v>371.43215362640876</v>
      </c>
      <c r="P71" s="123">
        <f t="shared" si="1"/>
        <v>66.804344177411679</v>
      </c>
      <c r="Q71" s="114"/>
      <c r="S71">
        <f t="shared" si="2"/>
        <v>2779.9999999999995</v>
      </c>
      <c r="T71" s="44">
        <f>E71+апр!I71</f>
        <v>0</v>
      </c>
      <c r="U71" s="30" t="e">
        <f>F71+апр!J71</f>
        <v>#DIV/0!</v>
      </c>
    </row>
    <row r="72" spans="1:21" ht="17.25" customHeight="1">
      <c r="A72" s="18" t="s">
        <v>62</v>
      </c>
      <c r="B72" s="20" t="s">
        <v>63</v>
      </c>
      <c r="C72" s="8" t="s">
        <v>4</v>
      </c>
      <c r="D72" s="10">
        <f>D73</f>
        <v>26517.671000000002</v>
      </c>
      <c r="E72" s="8">
        <v>24306.667000000001</v>
      </c>
      <c r="F72" s="10">
        <f>F73</f>
        <v>23097.621999999999</v>
      </c>
      <c r="G72" s="10">
        <f t="shared" si="3"/>
        <v>-1209.0450000000019</v>
      </c>
      <c r="H72" s="10">
        <f>H73</f>
        <v>265176.70999999996</v>
      </c>
      <c r="I72" s="8">
        <f>E72+август!I72</f>
        <v>218760.00300000003</v>
      </c>
      <c r="J72" s="183">
        <v>279285</v>
      </c>
      <c r="K72" s="10">
        <f t="shared" si="4"/>
        <v>60524.996999999974</v>
      </c>
      <c r="L72" s="16">
        <f t="shared" si="5"/>
        <v>27.66730488662499</v>
      </c>
      <c r="M72" s="220"/>
      <c r="N72" s="221"/>
      <c r="O72" s="122">
        <f t="shared" si="0"/>
        <v>14108.290000000037</v>
      </c>
      <c r="P72" s="123">
        <f t="shared" si="1"/>
        <v>5.3203352587035413</v>
      </c>
      <c r="Q72" s="114">
        <f>83974.595+195310.293</f>
        <v>279284.88800000004</v>
      </c>
      <c r="S72">
        <f t="shared" si="2"/>
        <v>132588.35500000001</v>
      </c>
      <c r="T72" s="44">
        <f>E72+апр!I72</f>
        <v>121533.33500000001</v>
      </c>
      <c r="U72" s="30">
        <f>F72+апр!J72</f>
        <v>129310.20000000001</v>
      </c>
    </row>
    <row r="73" spans="1:21" ht="17.25" customHeight="1">
      <c r="A73" s="8"/>
      <c r="B73" s="28" t="s">
        <v>64</v>
      </c>
      <c r="C73" s="8" t="s">
        <v>4</v>
      </c>
      <c r="D73" s="10">
        <f>D75+D78+D81+D84</f>
        <v>26517.671000000002</v>
      </c>
      <c r="E73" s="10">
        <f t="shared" ref="E73:F73" si="44">E75+E78+E81+E84</f>
        <v>0</v>
      </c>
      <c r="F73" s="54">
        <f t="shared" si="44"/>
        <v>23097.621999999999</v>
      </c>
      <c r="G73" s="10">
        <f t="shared" si="3"/>
        <v>23097.621999999999</v>
      </c>
      <c r="H73" s="10">
        <f>H75+H78+H81+H84</f>
        <v>265176.70999999996</v>
      </c>
      <c r="I73" s="10">
        <f t="shared" ref="I73:J74" si="45">I75+I78+I81+I84</f>
        <v>0</v>
      </c>
      <c r="J73" s="10">
        <f t="shared" si="45"/>
        <v>248140.573</v>
      </c>
      <c r="K73" s="10">
        <f t="shared" si="4"/>
        <v>248140.573</v>
      </c>
      <c r="L73" s="16"/>
      <c r="M73" s="220"/>
      <c r="N73" s="221"/>
      <c r="O73" s="122">
        <f t="shared" ref="O73:O87" si="46">J73-H73</f>
        <v>-17036.136999999959</v>
      </c>
      <c r="P73" s="123">
        <f t="shared" ref="P73:P87" si="47">O73/H73*100</f>
        <v>-6.4244469282388943</v>
      </c>
      <c r="Q73" s="114"/>
      <c r="S73">
        <f t="shared" ref="S73:S136" si="48">D73*5</f>
        <v>132588.35500000001</v>
      </c>
      <c r="T73" s="44">
        <f>E73+апр!I73</f>
        <v>0</v>
      </c>
      <c r="U73" s="30">
        <f>F73+апр!J73</f>
        <v>102078.107</v>
      </c>
    </row>
    <row r="74" spans="1:21" ht="17.25" customHeight="1">
      <c r="A74" s="8"/>
      <c r="B74" s="28" t="s">
        <v>65</v>
      </c>
      <c r="C74" s="22" t="s">
        <v>66</v>
      </c>
      <c r="D74" s="14">
        <f t="shared" ref="D74:F74" si="49">D76+D79+D82+D85</f>
        <v>1280770</v>
      </c>
      <c r="E74" s="14">
        <f t="shared" si="49"/>
        <v>0</v>
      </c>
      <c r="F74" s="14">
        <f t="shared" si="49"/>
        <v>0</v>
      </c>
      <c r="G74" s="14">
        <f t="shared" si="3"/>
        <v>0</v>
      </c>
      <c r="H74" s="14">
        <f t="shared" ref="H74" si="50">H76+H79+H82+H85</f>
        <v>12807700</v>
      </c>
      <c r="I74" s="59"/>
      <c r="J74" s="14">
        <f t="shared" si="45"/>
        <v>8181135.54</v>
      </c>
      <c r="K74" s="10">
        <f t="shared" si="4"/>
        <v>8181135.54</v>
      </c>
      <c r="L74" s="16"/>
      <c r="M74" s="220"/>
      <c r="N74" s="221"/>
      <c r="O74" s="122">
        <f t="shared" si="46"/>
        <v>-4626564.46</v>
      </c>
      <c r="P74" s="123">
        <f t="shared" si="47"/>
        <v>-36.123304418435787</v>
      </c>
      <c r="Q74" s="114"/>
      <c r="S74">
        <f t="shared" si="48"/>
        <v>6403850</v>
      </c>
      <c r="T74" s="44">
        <f>E74+апр!I74</f>
        <v>0</v>
      </c>
      <c r="U74" s="30">
        <f>F74+апр!J74</f>
        <v>3853106.19</v>
      </c>
    </row>
    <row r="75" spans="1:21" ht="36" customHeight="1">
      <c r="A75" s="8"/>
      <c r="B75" s="12" t="s">
        <v>67</v>
      </c>
      <c r="C75" s="8" t="s">
        <v>4</v>
      </c>
      <c r="D75" s="10">
        <v>1338.4829999999999</v>
      </c>
      <c r="E75" s="8"/>
      <c r="F75" s="55">
        <v>23097.621999999999</v>
      </c>
      <c r="G75" s="10">
        <f t="shared" ref="G75:G145" si="51">F75-E75</f>
        <v>23097.621999999999</v>
      </c>
      <c r="H75" s="10">
        <f>D75+сентябрь!H75</f>
        <v>13384.83</v>
      </c>
      <c r="I75" s="8"/>
      <c r="J75" s="54">
        <f>F75+сентябрь!J75</f>
        <v>62977.857999999993</v>
      </c>
      <c r="K75" s="10">
        <f t="shared" ref="K75:K146" si="52">J75-I75</f>
        <v>62977.857999999993</v>
      </c>
      <c r="L75" s="16"/>
      <c r="M75" s="220"/>
      <c r="N75" s="221"/>
      <c r="O75" s="122">
        <f t="shared" si="46"/>
        <v>49593.027999999991</v>
      </c>
      <c r="P75" s="123">
        <f t="shared" si="47"/>
        <v>370.51668194515725</v>
      </c>
      <c r="Q75" s="114"/>
      <c r="S75">
        <f t="shared" si="48"/>
        <v>6692.415</v>
      </c>
      <c r="T75" s="44">
        <f>E75+апр!I75</f>
        <v>0</v>
      </c>
      <c r="U75" s="30">
        <f>F75+апр!J75</f>
        <v>29724.795999999998</v>
      </c>
    </row>
    <row r="76" spans="1:21" ht="17.25" customHeight="1">
      <c r="A76" s="8"/>
      <c r="B76" s="12" t="s">
        <v>68</v>
      </c>
      <c r="C76" s="22" t="s">
        <v>66</v>
      </c>
      <c r="D76" s="14">
        <v>68465</v>
      </c>
      <c r="E76" s="22"/>
      <c r="F76" s="59"/>
      <c r="G76" s="14">
        <f t="shared" si="51"/>
        <v>0</v>
      </c>
      <c r="H76" s="10">
        <f>D76+сентябрь!H76</f>
        <v>684650</v>
      </c>
      <c r="I76" s="59"/>
      <c r="J76" s="54">
        <f>F76+сентябрь!J76</f>
        <v>654748.54</v>
      </c>
      <c r="K76" s="10">
        <f t="shared" si="52"/>
        <v>654748.54</v>
      </c>
      <c r="L76" s="16"/>
      <c r="M76" s="220"/>
      <c r="N76" s="221"/>
      <c r="O76" s="122">
        <f t="shared" si="46"/>
        <v>-29901.459999999963</v>
      </c>
      <c r="P76" s="123">
        <f t="shared" si="47"/>
        <v>-4.3674081647557097</v>
      </c>
      <c r="Q76" s="114"/>
      <c r="S76">
        <f t="shared" si="48"/>
        <v>342325</v>
      </c>
      <c r="T76" s="44">
        <f>E76+апр!I76</f>
        <v>0</v>
      </c>
      <c r="U76" s="30">
        <f>F76+апр!J76</f>
        <v>345435.19</v>
      </c>
    </row>
    <row r="77" spans="1:21" ht="17.25" customHeight="1">
      <c r="A77" s="8"/>
      <c r="B77" s="12" t="s">
        <v>15</v>
      </c>
      <c r="C77" s="13" t="s">
        <v>16</v>
      </c>
      <c r="D77" s="16">
        <f>D75/D76*1000</f>
        <v>19.54988680347623</v>
      </c>
      <c r="E77" s="16"/>
      <c r="F77" s="16" t="e">
        <f t="shared" ref="F77" si="53">F75/F76*1000</f>
        <v>#DIV/0!</v>
      </c>
      <c r="G77" s="10" t="e">
        <f t="shared" si="51"/>
        <v>#DIV/0!</v>
      </c>
      <c r="H77" s="16">
        <f>H75/H76*1000</f>
        <v>19.54988680347623</v>
      </c>
      <c r="I77" s="8"/>
      <c r="J77" s="13"/>
      <c r="K77" s="10">
        <f t="shared" si="52"/>
        <v>0</v>
      </c>
      <c r="L77" s="16"/>
      <c r="M77" s="220"/>
      <c r="N77" s="221"/>
      <c r="O77" s="122">
        <f t="shared" si="46"/>
        <v>-19.54988680347623</v>
      </c>
      <c r="P77" s="123">
        <f t="shared" si="47"/>
        <v>-100</v>
      </c>
      <c r="Q77" s="114"/>
      <c r="S77">
        <f t="shared" si="48"/>
        <v>97.749434017381148</v>
      </c>
      <c r="T77" s="44">
        <f>E77+апр!I77</f>
        <v>0</v>
      </c>
      <c r="U77" s="30" t="e">
        <f>F77+апр!J77</f>
        <v>#DIV/0!</v>
      </c>
    </row>
    <row r="78" spans="1:21" ht="55.5" customHeight="1">
      <c r="A78" s="8"/>
      <c r="B78" s="12" t="s">
        <v>69</v>
      </c>
      <c r="C78" s="8" t="s">
        <v>4</v>
      </c>
      <c r="D78" s="10">
        <v>1253.6469999999999</v>
      </c>
      <c r="E78" s="8"/>
      <c r="F78" s="54"/>
      <c r="G78" s="10">
        <f t="shared" si="51"/>
        <v>0</v>
      </c>
      <c r="H78" s="10">
        <f>D78+сентябрь!H78</f>
        <v>12536.470000000001</v>
      </c>
      <c r="I78" s="8"/>
      <c r="J78" s="54">
        <f>F78+сентябрь!J78</f>
        <v>12540.125</v>
      </c>
      <c r="K78" s="10">
        <f t="shared" si="52"/>
        <v>12540.125</v>
      </c>
      <c r="L78" s="16"/>
      <c r="M78" s="220"/>
      <c r="N78" s="221"/>
      <c r="O78" s="122">
        <f t="shared" si="46"/>
        <v>3.6549999999988358</v>
      </c>
      <c r="P78" s="123">
        <f t="shared" si="47"/>
        <v>2.9154937554182598E-2</v>
      </c>
      <c r="Q78" s="114"/>
      <c r="S78">
        <f t="shared" si="48"/>
        <v>6268.2349999999997</v>
      </c>
      <c r="T78" s="44">
        <f>E78+апр!I78</f>
        <v>0</v>
      </c>
      <c r="U78" s="30">
        <f>F78+апр!J78</f>
        <v>5054.1839999999993</v>
      </c>
    </row>
    <row r="79" spans="1:21" ht="17.25" customHeight="1">
      <c r="A79" s="8"/>
      <c r="B79" s="12" t="s">
        <v>68</v>
      </c>
      <c r="C79" s="22" t="s">
        <v>66</v>
      </c>
      <c r="D79" s="14">
        <v>63799</v>
      </c>
      <c r="E79" s="22"/>
      <c r="F79" s="59"/>
      <c r="G79" s="14">
        <f t="shared" si="51"/>
        <v>0</v>
      </c>
      <c r="H79" s="10">
        <f>D79+сентябрь!H79</f>
        <v>637990</v>
      </c>
      <c r="I79" s="59"/>
      <c r="J79" s="54">
        <f>F79+сентябрь!J79</f>
        <v>581324</v>
      </c>
      <c r="K79" s="10">
        <f t="shared" si="52"/>
        <v>581324</v>
      </c>
      <c r="L79" s="16"/>
      <c r="M79" s="220"/>
      <c r="N79" s="221"/>
      <c r="O79" s="122">
        <f t="shared" si="46"/>
        <v>-56666</v>
      </c>
      <c r="P79" s="123">
        <f t="shared" si="47"/>
        <v>-8.8819573974513712</v>
      </c>
      <c r="Q79" s="114"/>
      <c r="S79">
        <f t="shared" si="48"/>
        <v>318995</v>
      </c>
      <c r="T79" s="44">
        <f>E79+апр!I79</f>
        <v>0</v>
      </c>
      <c r="U79" s="30">
        <f>F79+апр!J79</f>
        <v>255996</v>
      </c>
    </row>
    <row r="80" spans="1:21" ht="17.25" customHeight="1">
      <c r="A80" s="8"/>
      <c r="B80" s="12" t="s">
        <v>15</v>
      </c>
      <c r="C80" s="13" t="s">
        <v>16</v>
      </c>
      <c r="D80" s="16">
        <f>D78/D79*1000</f>
        <v>19.649947491339987</v>
      </c>
      <c r="E80" s="16"/>
      <c r="F80" s="16" t="e">
        <f t="shared" ref="F80" si="54">F78/F79*1000</f>
        <v>#DIV/0!</v>
      </c>
      <c r="G80" s="10" t="e">
        <f t="shared" si="51"/>
        <v>#DIV/0!</v>
      </c>
      <c r="H80" s="16">
        <f>H78/H79*1000</f>
        <v>19.64994749133999</v>
      </c>
      <c r="I80" s="8"/>
      <c r="J80" s="13"/>
      <c r="K80" s="10">
        <f t="shared" si="52"/>
        <v>0</v>
      </c>
      <c r="L80" s="16"/>
      <c r="M80" s="220"/>
      <c r="N80" s="221"/>
      <c r="O80" s="122">
        <f t="shared" si="46"/>
        <v>-19.64994749133999</v>
      </c>
      <c r="P80" s="123">
        <f t="shared" si="47"/>
        <v>-100</v>
      </c>
      <c r="Q80" s="114"/>
      <c r="S80">
        <f t="shared" si="48"/>
        <v>98.249737456699933</v>
      </c>
      <c r="T80" s="44">
        <f>E80+апр!I80</f>
        <v>0</v>
      </c>
      <c r="U80" s="30" t="e">
        <f>F80+апр!J80</f>
        <v>#DIV/0!</v>
      </c>
    </row>
    <row r="81" spans="1:21" ht="36" customHeight="1">
      <c r="A81" s="8"/>
      <c r="B81" s="12" t="s">
        <v>70</v>
      </c>
      <c r="C81" s="8" t="s">
        <v>4</v>
      </c>
      <c r="D81" s="10">
        <v>3651.203</v>
      </c>
      <c r="E81" s="8"/>
      <c r="F81" s="55"/>
      <c r="G81" s="10">
        <f t="shared" si="51"/>
        <v>0</v>
      </c>
      <c r="H81" s="10">
        <f>D81+сентябрь!H81</f>
        <v>36512.030000000006</v>
      </c>
      <c r="I81" s="8"/>
      <c r="J81" s="54">
        <f>F81+сентябрь!J81</f>
        <v>25405.175999999999</v>
      </c>
      <c r="K81" s="10">
        <f t="shared" si="52"/>
        <v>25405.175999999999</v>
      </c>
      <c r="L81" s="16"/>
      <c r="M81" s="220"/>
      <c r="N81" s="221"/>
      <c r="O81" s="122">
        <f t="shared" si="46"/>
        <v>-11106.854000000007</v>
      </c>
      <c r="P81" s="123">
        <f t="shared" si="47"/>
        <v>-30.419710982928105</v>
      </c>
      <c r="Q81" s="114"/>
      <c r="S81">
        <f t="shared" si="48"/>
        <v>18256.014999999999</v>
      </c>
      <c r="T81" s="44">
        <f>E81+апр!I81</f>
        <v>0</v>
      </c>
      <c r="U81" s="30">
        <f>F81+апр!J81</f>
        <v>12694.096</v>
      </c>
    </row>
    <row r="82" spans="1:21" ht="17.25" customHeight="1">
      <c r="A82" s="8"/>
      <c r="B82" s="12" t="s">
        <v>68</v>
      </c>
      <c r="C82" s="22" t="s">
        <v>66</v>
      </c>
      <c r="D82" s="14">
        <v>185812</v>
      </c>
      <c r="E82" s="22"/>
      <c r="F82" s="59"/>
      <c r="G82" s="14">
        <v>5230.0569999999998</v>
      </c>
      <c r="H82" s="10">
        <f>D82+сентябрь!H82</f>
        <v>1858120</v>
      </c>
      <c r="I82" s="59"/>
      <c r="J82" s="54">
        <f>F82+сентябрь!J82</f>
        <v>1097895</v>
      </c>
      <c r="K82" s="10">
        <f t="shared" si="52"/>
        <v>1097895</v>
      </c>
      <c r="L82" s="16"/>
      <c r="M82" s="220"/>
      <c r="N82" s="221"/>
      <c r="O82" s="122">
        <f t="shared" si="46"/>
        <v>-760225</v>
      </c>
      <c r="P82" s="123">
        <f t="shared" si="47"/>
        <v>-40.913665425268555</v>
      </c>
      <c r="Q82" s="114"/>
      <c r="S82">
        <f t="shared" si="48"/>
        <v>929060</v>
      </c>
      <c r="T82" s="44">
        <f>E82+апр!I82</f>
        <v>0</v>
      </c>
      <c r="U82" s="30">
        <f>F82+апр!J82</f>
        <v>642739</v>
      </c>
    </row>
    <row r="83" spans="1:21" ht="17.25" customHeight="1">
      <c r="A83" s="8"/>
      <c r="B83" s="12" t="s">
        <v>15</v>
      </c>
      <c r="C83" s="13" t="s">
        <v>16</v>
      </c>
      <c r="D83" s="16">
        <f>D81/D82*1000</f>
        <v>19.64998493100553</v>
      </c>
      <c r="E83" s="16"/>
      <c r="F83" s="16" t="e">
        <f t="shared" ref="F83" si="55">F81/F82*1000</f>
        <v>#DIV/0!</v>
      </c>
      <c r="G83" s="10" t="e">
        <f t="shared" si="51"/>
        <v>#DIV/0!</v>
      </c>
      <c r="H83" s="16">
        <f>H81/H82*1000</f>
        <v>19.649984931005534</v>
      </c>
      <c r="I83" s="8"/>
      <c r="J83" s="13"/>
      <c r="K83" s="10">
        <f t="shared" si="52"/>
        <v>0</v>
      </c>
      <c r="L83" s="16"/>
      <c r="M83" s="220"/>
      <c r="N83" s="221"/>
      <c r="O83" s="122">
        <f t="shared" si="46"/>
        <v>-19.649984931005534</v>
      </c>
      <c r="P83" s="123">
        <f t="shared" si="47"/>
        <v>-100</v>
      </c>
      <c r="Q83" s="114"/>
      <c r="S83">
        <f t="shared" si="48"/>
        <v>98.249924655027655</v>
      </c>
      <c r="T83" s="44">
        <f>E83+апр!I83</f>
        <v>0</v>
      </c>
      <c r="U83" s="30" t="e">
        <f>F83+апр!J83</f>
        <v>#DIV/0!</v>
      </c>
    </row>
    <row r="84" spans="1:21" ht="17.25" customHeight="1">
      <c r="A84" s="8"/>
      <c r="B84" s="12" t="s">
        <v>71</v>
      </c>
      <c r="C84" s="8" t="s">
        <v>4</v>
      </c>
      <c r="D84" s="10">
        <v>20274.338</v>
      </c>
      <c r="E84" s="8"/>
      <c r="F84" s="55"/>
      <c r="G84" s="10">
        <f t="shared" si="51"/>
        <v>0</v>
      </c>
      <c r="H84" s="10">
        <f>D84+сентябрь!H84</f>
        <v>202743.37999999998</v>
      </c>
      <c r="I84" s="8"/>
      <c r="J84" s="54">
        <f>F84+сентябрь!J84</f>
        <v>147217.41400000002</v>
      </c>
      <c r="K84" s="10">
        <f t="shared" si="52"/>
        <v>147217.41400000002</v>
      </c>
      <c r="L84" s="16"/>
      <c r="M84" s="233" t="s">
        <v>297</v>
      </c>
      <c r="N84" s="234"/>
      <c r="O84" s="122">
        <f t="shared" si="46"/>
        <v>-55525.965999999957</v>
      </c>
      <c r="P84" s="123">
        <f t="shared" si="47"/>
        <v>-27.387313953234855</v>
      </c>
      <c r="Q84" s="115"/>
      <c r="S84">
        <f t="shared" si="48"/>
        <v>101371.69</v>
      </c>
      <c r="T84" s="44">
        <f>E84+апр!I84</f>
        <v>0</v>
      </c>
      <c r="U84" s="30">
        <f>F84+апр!J84</f>
        <v>54605.031000000003</v>
      </c>
    </row>
    <row r="85" spans="1:21" ht="26.25" customHeight="1">
      <c r="A85" s="8"/>
      <c r="B85" s="12" t="s">
        <v>68</v>
      </c>
      <c r="C85" s="22" t="s">
        <v>66</v>
      </c>
      <c r="D85" s="14">
        <v>962694</v>
      </c>
      <c r="E85" s="22"/>
      <c r="F85" s="59"/>
      <c r="G85" s="14">
        <f t="shared" si="51"/>
        <v>0</v>
      </c>
      <c r="H85" s="10">
        <f>D85+сентябрь!H85</f>
        <v>9626940</v>
      </c>
      <c r="I85" s="59"/>
      <c r="J85" s="54">
        <f>F85+сентябрь!J85</f>
        <v>5847168</v>
      </c>
      <c r="K85" s="10">
        <f t="shared" si="52"/>
        <v>5847168</v>
      </c>
      <c r="L85" s="16"/>
      <c r="M85" s="235"/>
      <c r="N85" s="236"/>
      <c r="O85" s="122">
        <f t="shared" si="46"/>
        <v>-3779772</v>
      </c>
      <c r="P85" s="123">
        <f t="shared" si="47"/>
        <v>-39.262444764379964</v>
      </c>
      <c r="Q85" s="115"/>
      <c r="S85">
        <f t="shared" si="48"/>
        <v>4813470</v>
      </c>
      <c r="T85" s="44">
        <f>E85+апр!I85</f>
        <v>0</v>
      </c>
      <c r="U85" s="30">
        <f>F85+апр!J85</f>
        <v>2608936</v>
      </c>
    </row>
    <row r="86" spans="1:21" ht="17.25" customHeight="1">
      <c r="A86" s="8"/>
      <c r="B86" s="12" t="s">
        <v>15</v>
      </c>
      <c r="C86" s="13" t="s">
        <v>16</v>
      </c>
      <c r="D86" s="16">
        <f>D84/D85*1000</f>
        <v>21.06000245145394</v>
      </c>
      <c r="E86" s="16"/>
      <c r="F86" s="16" t="e">
        <f t="shared" ref="F86" si="56">F84/F85*1000</f>
        <v>#DIV/0!</v>
      </c>
      <c r="G86" s="10" t="e">
        <f t="shared" si="51"/>
        <v>#DIV/0!</v>
      </c>
      <c r="H86" s="16">
        <f>H84/H85*1000</f>
        <v>21.060002451453936</v>
      </c>
      <c r="I86" s="8"/>
      <c r="J86" s="13"/>
      <c r="K86" s="10">
        <f t="shared" si="52"/>
        <v>0</v>
      </c>
      <c r="L86" s="16"/>
      <c r="M86" s="220"/>
      <c r="N86" s="221"/>
      <c r="O86" s="122">
        <f t="shared" si="46"/>
        <v>-21.060002451453936</v>
      </c>
      <c r="P86" s="123">
        <f t="shared" si="47"/>
        <v>-100</v>
      </c>
      <c r="Q86" s="114"/>
      <c r="S86">
        <f t="shared" si="48"/>
        <v>105.3000122572697</v>
      </c>
      <c r="T86" s="44">
        <f>E86+апр!I86</f>
        <v>0</v>
      </c>
      <c r="U86" s="30" t="e">
        <f>F86+апр!J86</f>
        <v>#DIV/0!</v>
      </c>
    </row>
    <row r="87" spans="1:21" ht="17.25" customHeight="1">
      <c r="A87" s="206" t="s">
        <v>72</v>
      </c>
      <c r="B87" s="6" t="s">
        <v>73</v>
      </c>
      <c r="C87" s="206" t="s">
        <v>4</v>
      </c>
      <c r="D87" s="7">
        <f>D88+D89+D90</f>
        <v>22015.745000000003</v>
      </c>
      <c r="E87" s="21">
        <f>E88+E89+E90+E91</f>
        <v>20888.748999999996</v>
      </c>
      <c r="F87" s="7">
        <f>F88+F89+F90+F91+F92</f>
        <v>19141.414999999997</v>
      </c>
      <c r="G87" s="16">
        <f t="shared" si="51"/>
        <v>-1747.3339999999989</v>
      </c>
      <c r="H87" s="7">
        <f>H88+H89+H90</f>
        <v>242173.19499999998</v>
      </c>
      <c r="I87" s="7">
        <f>I88+I89+I90+I91</f>
        <v>208887.48999999993</v>
      </c>
      <c r="J87" s="7">
        <f>J88+J89+J90+J91+J92</f>
        <v>211337.21699999998</v>
      </c>
      <c r="K87" s="10">
        <f t="shared" si="52"/>
        <v>2449.7270000000426</v>
      </c>
      <c r="L87" s="16">
        <f t="shared" ref="L87:L158" si="57">K87/I87*100</f>
        <v>1.172749502615041</v>
      </c>
      <c r="M87" s="220"/>
      <c r="N87" s="221"/>
      <c r="O87" s="122">
        <f t="shared" si="46"/>
        <v>-30835.978000000003</v>
      </c>
      <c r="P87" s="123">
        <f t="shared" si="47"/>
        <v>-12.733026873597636</v>
      </c>
      <c r="Q87" s="114"/>
      <c r="R87" s="30">
        <f>F88+март!J88+F92+F98+март!J92+март!J98</f>
        <v>75048.31</v>
      </c>
      <c r="S87">
        <f t="shared" si="48"/>
        <v>110078.72500000001</v>
      </c>
      <c r="T87" s="44">
        <f>E87+апр!I87</f>
        <v>104443.74499999998</v>
      </c>
      <c r="U87" s="30">
        <f>F87+апр!J87</f>
        <v>99719.09599999999</v>
      </c>
    </row>
    <row r="88" spans="1:21" ht="17.25" customHeight="1">
      <c r="A88" s="8" t="s">
        <v>74</v>
      </c>
      <c r="B88" s="9" t="s">
        <v>75</v>
      </c>
      <c r="C88" s="8" t="s">
        <v>4</v>
      </c>
      <c r="D88" s="10">
        <v>20032.525000000001</v>
      </c>
      <c r="E88" s="8">
        <v>18751.082999999999</v>
      </c>
      <c r="F88" s="54">
        <v>17454.337</v>
      </c>
      <c r="G88" s="16">
        <f t="shared" si="51"/>
        <v>-1296.7459999999992</v>
      </c>
      <c r="H88" s="10">
        <f>D88+октябрь!H88</f>
        <v>220357.77499999997</v>
      </c>
      <c r="I88" s="8">
        <f>E88+сентябрь!I88</f>
        <v>187510.82999999996</v>
      </c>
      <c r="J88" s="183">
        <f>17359.574+173475.451</f>
        <v>190835.02499999999</v>
      </c>
      <c r="K88" s="10">
        <f t="shared" si="52"/>
        <v>3324.1950000000361</v>
      </c>
      <c r="L88" s="16">
        <f>K88/I88*100</f>
        <v>1.7728016029794316</v>
      </c>
      <c r="M88" s="227"/>
      <c r="N88" s="228"/>
      <c r="O88" s="122">
        <f>J88-H88</f>
        <v>-29522.749999999971</v>
      </c>
      <c r="P88" s="123">
        <f>O88/H88*100</f>
        <v>-13.397643899789774</v>
      </c>
      <c r="Q88" s="116"/>
      <c r="R88" s="30">
        <f>J88+J92+J98</f>
        <v>197719.10499999998</v>
      </c>
      <c r="S88">
        <f t="shared" si="48"/>
        <v>100162.625</v>
      </c>
      <c r="T88" s="44">
        <f>E88+апр!I88</f>
        <v>93755.414999999994</v>
      </c>
      <c r="U88" s="30">
        <f>F88+апр!J88</f>
        <v>90029.209999999992</v>
      </c>
    </row>
    <row r="89" spans="1:21" ht="17.25" customHeight="1">
      <c r="A89" s="8" t="s">
        <v>76</v>
      </c>
      <c r="B89" s="9" t="s">
        <v>77</v>
      </c>
      <c r="C89" s="8" t="s">
        <v>4</v>
      </c>
      <c r="D89" s="10">
        <v>1101.788</v>
      </c>
      <c r="E89" s="8">
        <v>1012.583</v>
      </c>
      <c r="F89" s="54">
        <v>929.875</v>
      </c>
      <c r="G89" s="10">
        <f t="shared" si="51"/>
        <v>-82.70799999999997</v>
      </c>
      <c r="H89" s="10">
        <f>D89+октябрь!H89</f>
        <v>12119.668000000003</v>
      </c>
      <c r="I89" s="8">
        <f>E89+сентябрь!I89</f>
        <v>10125.83</v>
      </c>
      <c r="J89" s="183">
        <f>931+9402.141</f>
        <v>10333.141</v>
      </c>
      <c r="K89" s="10">
        <f t="shared" si="52"/>
        <v>207.31099999999969</v>
      </c>
      <c r="L89" s="16">
        <f t="shared" si="57"/>
        <v>2.0473482173806956</v>
      </c>
      <c r="M89" s="227"/>
      <c r="N89" s="228"/>
      <c r="O89" s="122">
        <f t="shared" ref="O89:O151" si="58">J89-H89</f>
        <v>-1786.5270000000037</v>
      </c>
      <c r="P89" s="123">
        <f t="shared" ref="P89:P151" si="59">O89/H89*100</f>
        <v>-14.740725571030518</v>
      </c>
      <c r="Q89" s="116"/>
      <c r="S89">
        <f t="shared" si="48"/>
        <v>5508.9400000000005</v>
      </c>
      <c r="T89" s="44">
        <f>E89+апр!I89</f>
        <v>5062.915</v>
      </c>
      <c r="U89" s="30">
        <f>F89+апр!J89</f>
        <v>5011.0730000000003</v>
      </c>
    </row>
    <row r="90" spans="1:21" ht="17.25" customHeight="1">
      <c r="A90" s="8" t="s">
        <v>308</v>
      </c>
      <c r="B90" s="9" t="s">
        <v>307</v>
      </c>
      <c r="C90" s="8" t="s">
        <v>4</v>
      </c>
      <c r="D90" s="10">
        <v>881.43200000000002</v>
      </c>
      <c r="E90" s="8">
        <v>843.83299999999997</v>
      </c>
      <c r="F90" s="55">
        <v>514.13900000000001</v>
      </c>
      <c r="G90" s="10">
        <f t="shared" si="51"/>
        <v>-329.69399999999996</v>
      </c>
      <c r="H90" s="10">
        <f>D90+октябрь!H90</f>
        <v>9695.7520000000004</v>
      </c>
      <c r="I90" s="8">
        <f>E90+сентябрь!I90</f>
        <v>8438.3299999999981</v>
      </c>
      <c r="J90" s="183">
        <f>5107.512+514.243</f>
        <v>5621.7550000000001</v>
      </c>
      <c r="K90" s="10">
        <f t="shared" si="52"/>
        <v>-2816.574999999998</v>
      </c>
      <c r="L90" s="16">
        <f t="shared" si="57"/>
        <v>-33.378346189352612</v>
      </c>
      <c r="M90" s="203"/>
      <c r="N90" s="204"/>
      <c r="O90" s="122">
        <f t="shared" si="58"/>
        <v>-4073.9970000000003</v>
      </c>
      <c r="P90" s="123">
        <f t="shared" si="59"/>
        <v>-42.018370519377974</v>
      </c>
      <c r="Q90" s="116"/>
      <c r="S90">
        <f t="shared" si="48"/>
        <v>4407.16</v>
      </c>
      <c r="T90" s="44">
        <f>E90+апр!I90</f>
        <v>4219.165</v>
      </c>
      <c r="U90" s="30">
        <f>F90+апр!J90</f>
        <v>2746.0910000000003</v>
      </c>
    </row>
    <row r="91" spans="1:21" ht="17.25" customHeight="1">
      <c r="A91" s="8" t="s">
        <v>309</v>
      </c>
      <c r="B91" s="9" t="s">
        <v>310</v>
      </c>
      <c r="C91" s="8" t="s">
        <v>4</v>
      </c>
      <c r="D91" s="10"/>
      <c r="E91" s="8">
        <v>281.25</v>
      </c>
      <c r="F91" s="55">
        <v>243.06399999999999</v>
      </c>
      <c r="G91" s="10">
        <f t="shared" si="51"/>
        <v>-38.186000000000007</v>
      </c>
      <c r="H91" s="10">
        <f>D91+октябрь!H91</f>
        <v>0</v>
      </c>
      <c r="I91" s="8">
        <f>E91+сентябрь!I91</f>
        <v>2812.5</v>
      </c>
      <c r="J91" s="183">
        <f>243.296+2420.757</f>
        <v>2664.0529999999999</v>
      </c>
      <c r="K91" s="10">
        <f t="shared" si="52"/>
        <v>-148.44700000000012</v>
      </c>
      <c r="L91" s="16">
        <f t="shared" si="57"/>
        <v>-5.2781155555555594</v>
      </c>
      <c r="M91" s="203"/>
      <c r="N91" s="204"/>
      <c r="O91" s="122">
        <f t="shared" si="58"/>
        <v>2664.0529999999999</v>
      </c>
      <c r="P91" s="123" t="e">
        <f t="shared" si="59"/>
        <v>#DIV/0!</v>
      </c>
      <c r="Q91" s="116"/>
      <c r="S91">
        <f t="shared" si="48"/>
        <v>0</v>
      </c>
      <c r="T91" s="44">
        <f>E91+апр!I91</f>
        <v>1406.25</v>
      </c>
      <c r="U91" s="30">
        <f>F91+апр!J91</f>
        <v>1301.8100000000002</v>
      </c>
    </row>
    <row r="92" spans="1:21" ht="17.25" customHeight="1">
      <c r="A92" s="8"/>
      <c r="B92" s="9" t="s">
        <v>316</v>
      </c>
      <c r="C92" s="8" t="s">
        <v>4</v>
      </c>
      <c r="D92" s="10"/>
      <c r="E92" s="8"/>
      <c r="F92" s="54"/>
      <c r="G92" s="10"/>
      <c r="H92" s="10">
        <f>D92+октябрь!H92</f>
        <v>0</v>
      </c>
      <c r="I92" s="8">
        <f>E92+сентябрь!I92</f>
        <v>0</v>
      </c>
      <c r="J92" s="183">
        <v>1883.2429999999999</v>
      </c>
      <c r="K92" s="10"/>
      <c r="L92" s="16"/>
      <c r="M92" s="203"/>
      <c r="N92" s="204"/>
      <c r="O92" s="122">
        <f t="shared" si="58"/>
        <v>1883.2429999999999</v>
      </c>
      <c r="P92" s="123" t="e">
        <f t="shared" si="59"/>
        <v>#DIV/0!</v>
      </c>
      <c r="Q92" s="116"/>
      <c r="S92">
        <f t="shared" si="48"/>
        <v>0</v>
      </c>
      <c r="T92" s="44">
        <f>E92+апр!I92</f>
        <v>0</v>
      </c>
      <c r="U92" s="30">
        <f>F92+апр!J92</f>
        <v>630.91199999999992</v>
      </c>
    </row>
    <row r="93" spans="1:21" ht="17.25" customHeight="1">
      <c r="A93" s="206" t="s">
        <v>78</v>
      </c>
      <c r="B93" s="6" t="s">
        <v>79</v>
      </c>
      <c r="C93" s="206" t="s">
        <v>4</v>
      </c>
      <c r="D93" s="7">
        <f>D94</f>
        <v>12258.85</v>
      </c>
      <c r="E93" s="21">
        <f>E94</f>
        <v>12219.75</v>
      </c>
      <c r="F93" s="7">
        <f>F94</f>
        <v>18923.352999999999</v>
      </c>
      <c r="G93" s="10">
        <f t="shared" si="51"/>
        <v>6703.6029999999992</v>
      </c>
      <c r="H93" s="7">
        <f>H94</f>
        <v>134847.35000000003</v>
      </c>
      <c r="I93" s="21">
        <f>I94</f>
        <v>122197.5</v>
      </c>
      <c r="J93" s="7">
        <f>J94</f>
        <v>148886.81899999999</v>
      </c>
      <c r="K93" s="10">
        <f t="shared" si="52"/>
        <v>26689.318999999989</v>
      </c>
      <c r="L93" s="16">
        <f t="shared" si="57"/>
        <v>21.841133411076321</v>
      </c>
      <c r="M93" s="220"/>
      <c r="N93" s="221"/>
      <c r="O93" s="122">
        <f t="shared" si="58"/>
        <v>14039.468999999954</v>
      </c>
      <c r="P93" s="123">
        <f t="shared" si="59"/>
        <v>10.41137923733759</v>
      </c>
      <c r="Q93" s="114"/>
      <c r="S93">
        <f t="shared" si="48"/>
        <v>61294.25</v>
      </c>
      <c r="T93" s="44">
        <f>E93+апр!I93</f>
        <v>61098.75</v>
      </c>
      <c r="U93" s="30">
        <f>F93+апр!J93</f>
        <v>63297.040999999997</v>
      </c>
    </row>
    <row r="94" spans="1:21" ht="17.25" customHeight="1">
      <c r="A94" s="23" t="s">
        <v>80</v>
      </c>
      <c r="B94" s="9" t="s">
        <v>81</v>
      </c>
      <c r="C94" s="8" t="s">
        <v>4</v>
      </c>
      <c r="D94" s="10">
        <v>12258.85</v>
      </c>
      <c r="E94" s="8">
        <v>12219.75</v>
      </c>
      <c r="F94" s="55">
        <v>18923.352999999999</v>
      </c>
      <c r="G94" s="10">
        <f t="shared" si="51"/>
        <v>6703.6029999999992</v>
      </c>
      <c r="H94" s="10">
        <f>D94+октябрь!H94</f>
        <v>134847.35000000003</v>
      </c>
      <c r="I94" s="8">
        <f>E94+сентябрь!I94</f>
        <v>122197.5</v>
      </c>
      <c r="J94" s="183">
        <v>148886.81899999999</v>
      </c>
      <c r="K94" s="10">
        <f t="shared" si="52"/>
        <v>26689.318999999989</v>
      </c>
      <c r="L94" s="16">
        <f t="shared" si="57"/>
        <v>21.841133411076321</v>
      </c>
      <c r="M94" s="220"/>
      <c r="N94" s="221"/>
      <c r="O94" s="122">
        <f t="shared" si="58"/>
        <v>14039.468999999954</v>
      </c>
      <c r="P94" s="123">
        <f t="shared" si="59"/>
        <v>10.41137923733759</v>
      </c>
      <c r="Q94" s="114"/>
      <c r="S94">
        <f t="shared" si="48"/>
        <v>61294.25</v>
      </c>
      <c r="T94" s="44">
        <f>E94+апр!I94</f>
        <v>61098.75</v>
      </c>
      <c r="U94" s="30">
        <f>F94+апр!J94</f>
        <v>63297.040999999997</v>
      </c>
    </row>
    <row r="95" spans="1:21" ht="17.25" customHeight="1">
      <c r="A95" s="206" t="s">
        <v>82</v>
      </c>
      <c r="B95" s="6" t="s">
        <v>83</v>
      </c>
      <c r="C95" s="206" t="s">
        <v>4</v>
      </c>
      <c r="D95" s="7">
        <f t="shared" ref="D95:J95" si="60">D96</f>
        <v>588.22500000000002</v>
      </c>
      <c r="E95" s="7">
        <f t="shared" si="60"/>
        <v>291.66699999999997</v>
      </c>
      <c r="F95" s="7">
        <f>F96</f>
        <v>645.04499999999996</v>
      </c>
      <c r="G95" s="10">
        <f t="shared" si="51"/>
        <v>353.37799999999999</v>
      </c>
      <c r="H95" s="7">
        <f t="shared" si="60"/>
        <v>6470.4750000000013</v>
      </c>
      <c r="I95" s="7">
        <f t="shared" si="60"/>
        <v>2916.6699999999996</v>
      </c>
      <c r="J95" s="7">
        <f t="shared" si="60"/>
        <v>2409.788</v>
      </c>
      <c r="K95" s="10">
        <f t="shared" si="52"/>
        <v>-506.88199999999961</v>
      </c>
      <c r="L95" s="16">
        <f t="shared" si="57"/>
        <v>-17.378791567095341</v>
      </c>
      <c r="M95" s="220"/>
      <c r="N95" s="221"/>
      <c r="O95" s="122">
        <f t="shared" si="58"/>
        <v>-4060.6870000000013</v>
      </c>
      <c r="P95" s="123">
        <f t="shared" si="59"/>
        <v>-62.757170068658027</v>
      </c>
      <c r="Q95" s="114"/>
      <c r="S95">
        <f t="shared" si="48"/>
        <v>2941.125</v>
      </c>
      <c r="T95" s="44">
        <f>E95+апр!I95</f>
        <v>1458.3349999999998</v>
      </c>
      <c r="U95" s="30">
        <f>F95+апр!J95</f>
        <v>645.81399999999996</v>
      </c>
    </row>
    <row r="96" spans="1:21" ht="54" customHeight="1">
      <c r="A96" s="8" t="s">
        <v>84</v>
      </c>
      <c r="B96" s="9" t="s">
        <v>85</v>
      </c>
      <c r="C96" s="8" t="s">
        <v>4</v>
      </c>
      <c r="D96" s="10">
        <v>588.22500000000002</v>
      </c>
      <c r="E96" s="8">
        <v>291.66699999999997</v>
      </c>
      <c r="F96" s="55">
        <v>645.04499999999996</v>
      </c>
      <c r="G96" s="10">
        <f t="shared" si="51"/>
        <v>353.37799999999999</v>
      </c>
      <c r="H96" s="10">
        <f>D96+октябрь!H96</f>
        <v>6470.4750000000013</v>
      </c>
      <c r="I96" s="8">
        <f>E96+сентябрь!I96</f>
        <v>2916.6699999999996</v>
      </c>
      <c r="J96" s="183">
        <f>2267.664+142.124</f>
        <v>2409.788</v>
      </c>
      <c r="K96" s="10">
        <f t="shared" si="52"/>
        <v>-506.88199999999961</v>
      </c>
      <c r="L96" s="16">
        <f t="shared" si="57"/>
        <v>-17.378791567095341</v>
      </c>
      <c r="M96" s="227" t="s">
        <v>299</v>
      </c>
      <c r="N96" s="228"/>
      <c r="O96" s="122">
        <f t="shared" si="58"/>
        <v>-4060.6870000000013</v>
      </c>
      <c r="P96" s="123">
        <f t="shared" si="59"/>
        <v>-62.757170068658027</v>
      </c>
      <c r="Q96" s="116"/>
      <c r="S96">
        <f t="shared" si="48"/>
        <v>2941.125</v>
      </c>
      <c r="T96" s="44">
        <f>E96+апр!I96</f>
        <v>1458.3349999999998</v>
      </c>
      <c r="U96" s="30">
        <f>F96+апр!J96</f>
        <v>645.81399999999996</v>
      </c>
    </row>
    <row r="97" spans="1:21" ht="17.25" customHeight="1">
      <c r="A97" s="206" t="s">
        <v>86</v>
      </c>
      <c r="B97" s="6" t="s">
        <v>87</v>
      </c>
      <c r="C97" s="206" t="s">
        <v>4</v>
      </c>
      <c r="D97" s="7">
        <f t="shared" ref="D97" si="61">D98+D99+D103+D104+D109+D110</f>
        <v>2575.1889999999999</v>
      </c>
      <c r="E97" s="7">
        <f>E98+E99+E103+E104+E109+E110</f>
        <v>2562.3330000000001</v>
      </c>
      <c r="F97" s="7">
        <f>F98+F99+F103+F104+F109+F110</f>
        <v>1422.615</v>
      </c>
      <c r="G97" s="10">
        <f t="shared" si="51"/>
        <v>-1139.7180000000001</v>
      </c>
      <c r="H97" s="7">
        <f t="shared" ref="H97" si="62">H98+H99+H103+H104+H109+H110</f>
        <v>28327.079000000005</v>
      </c>
      <c r="I97" s="7">
        <f>I98+I99+I103+I104+I109+I110</f>
        <v>25621.996999999999</v>
      </c>
      <c r="J97" s="7">
        <f>J98+J99+J103+J104+J109+J110</f>
        <v>26367.1155</v>
      </c>
      <c r="K97" s="10">
        <f t="shared" si="52"/>
        <v>745.11850000000049</v>
      </c>
      <c r="L97" s="16">
        <f t="shared" si="57"/>
        <v>2.9081203155241977</v>
      </c>
      <c r="M97" s="220"/>
      <c r="N97" s="221"/>
      <c r="O97" s="122">
        <f t="shared" si="58"/>
        <v>-1959.9635000000053</v>
      </c>
      <c r="P97" s="123">
        <f t="shared" si="59"/>
        <v>-6.9190455535496795</v>
      </c>
      <c r="Q97" s="114"/>
      <c r="S97">
        <f t="shared" si="48"/>
        <v>12875.945</v>
      </c>
      <c r="T97" s="44">
        <f>E97+апр!I97</f>
        <v>12811.665000000001</v>
      </c>
      <c r="U97" s="30">
        <f>F97+апр!J97</f>
        <v>11314.907499999999</v>
      </c>
    </row>
    <row r="98" spans="1:21" ht="17.25" customHeight="1">
      <c r="A98" s="8" t="s">
        <v>88</v>
      </c>
      <c r="B98" s="9" t="s">
        <v>89</v>
      </c>
      <c r="C98" s="8" t="s">
        <v>4</v>
      </c>
      <c r="D98" s="10">
        <v>626.41700000000003</v>
      </c>
      <c r="E98" s="8">
        <v>543.08299999999997</v>
      </c>
      <c r="F98" s="54"/>
      <c r="G98" s="10">
        <f t="shared" si="51"/>
        <v>-543.08299999999997</v>
      </c>
      <c r="H98" s="10">
        <f>D98+октябрь!H98</f>
        <v>6890.5870000000014</v>
      </c>
      <c r="I98" s="8">
        <f>E98+сентябрь!I98</f>
        <v>5430.829999999999</v>
      </c>
      <c r="J98" s="183">
        <f>F98+сентябрь!J98</f>
        <v>5000.8370000000004</v>
      </c>
      <c r="K98" s="10">
        <f t="shared" si="52"/>
        <v>-429.99299999999857</v>
      </c>
      <c r="L98" s="16">
        <f t="shared" si="57"/>
        <v>-7.9176295336071778</v>
      </c>
      <c r="M98" s="227" t="s">
        <v>298</v>
      </c>
      <c r="N98" s="228"/>
      <c r="O98" s="122">
        <f t="shared" si="58"/>
        <v>-1889.7500000000009</v>
      </c>
      <c r="P98" s="123">
        <f t="shared" si="59"/>
        <v>-27.425094552902397</v>
      </c>
      <c r="Q98" s="116"/>
      <c r="S98">
        <f t="shared" si="48"/>
        <v>3132.085</v>
      </c>
      <c r="T98" s="44">
        <f>E98+апр!I98</f>
        <v>2715.415</v>
      </c>
      <c r="U98" s="30">
        <f>F98+апр!J98</f>
        <v>2290.402</v>
      </c>
    </row>
    <row r="99" spans="1:21" ht="53.25" customHeight="1">
      <c r="A99" s="8" t="s">
        <v>90</v>
      </c>
      <c r="B99" s="20" t="s">
        <v>242</v>
      </c>
      <c r="C99" s="8" t="s">
        <v>4</v>
      </c>
      <c r="D99" s="10">
        <f t="shared" ref="D99" si="63">D100+D101+D102</f>
        <v>107.703</v>
      </c>
      <c r="E99" s="8">
        <v>107.667</v>
      </c>
      <c r="F99" s="10">
        <f>F100+F101+F102</f>
        <v>79.989999999999995</v>
      </c>
      <c r="G99" s="10">
        <f t="shared" si="51"/>
        <v>-27.677000000000007</v>
      </c>
      <c r="H99" s="10">
        <f t="shared" ref="H99" si="64">H100+H101+H102</f>
        <v>1184.7330000000002</v>
      </c>
      <c r="I99" s="8">
        <f>E99+сентябрь!I99</f>
        <v>1076.67</v>
      </c>
      <c r="J99" s="10">
        <f t="shared" ref="J99" si="65">J100+J101+J102</f>
        <v>799.98900000000003</v>
      </c>
      <c r="K99" s="10">
        <f t="shared" si="52"/>
        <v>-276.68100000000004</v>
      </c>
      <c r="L99" s="16">
        <f t="shared" si="57"/>
        <v>-25.697846136699269</v>
      </c>
      <c r="M99" s="220"/>
      <c r="N99" s="221"/>
      <c r="O99" s="122">
        <f t="shared" si="58"/>
        <v>-384.74400000000014</v>
      </c>
      <c r="P99" s="123">
        <f t="shared" si="59"/>
        <v>-32.475165290407219</v>
      </c>
      <c r="Q99" s="114"/>
      <c r="S99">
        <f t="shared" si="48"/>
        <v>538.51499999999999</v>
      </c>
      <c r="T99" s="44">
        <f>E99+апр!I99</f>
        <v>538.33500000000004</v>
      </c>
      <c r="U99" s="30">
        <f>F99+апр!J99</f>
        <v>79.989999999999995</v>
      </c>
    </row>
    <row r="100" spans="1:21" ht="17.25" customHeight="1">
      <c r="A100" s="8" t="s">
        <v>91</v>
      </c>
      <c r="B100" s="20" t="s">
        <v>92</v>
      </c>
      <c r="C100" s="8" t="s">
        <v>4</v>
      </c>
      <c r="D100" s="10">
        <v>45.448999999999998</v>
      </c>
      <c r="E100" s="8"/>
      <c r="F100" s="55"/>
      <c r="G100" s="10">
        <f t="shared" si="51"/>
        <v>0</v>
      </c>
      <c r="H100" s="10">
        <f>D100+октябрь!H100</f>
        <v>499.93900000000008</v>
      </c>
      <c r="I100" s="8"/>
      <c r="J100" s="183">
        <f>F100+сентябрь!J100</f>
        <v>0</v>
      </c>
      <c r="K100" s="10">
        <f t="shared" si="52"/>
        <v>0</v>
      </c>
      <c r="L100" s="16"/>
      <c r="M100" s="220"/>
      <c r="N100" s="221"/>
      <c r="O100" s="122">
        <f t="shared" si="58"/>
        <v>-499.93900000000008</v>
      </c>
      <c r="P100" s="123">
        <f t="shared" si="59"/>
        <v>-100</v>
      </c>
      <c r="Q100" s="114"/>
      <c r="S100">
        <f t="shared" si="48"/>
        <v>227.245</v>
      </c>
      <c r="T100" s="44">
        <f>E100+апр!I100</f>
        <v>0</v>
      </c>
      <c r="U100" s="30">
        <f>F100+апр!J100</f>
        <v>0</v>
      </c>
    </row>
    <row r="101" spans="1:21" ht="33.75" customHeight="1">
      <c r="A101" s="8" t="s">
        <v>93</v>
      </c>
      <c r="B101" s="20" t="s">
        <v>94</v>
      </c>
      <c r="C101" s="8" t="s">
        <v>4</v>
      </c>
      <c r="D101" s="10">
        <v>62.253999999999998</v>
      </c>
      <c r="E101" s="8"/>
      <c r="F101" s="55">
        <v>79.989999999999995</v>
      </c>
      <c r="G101" s="10">
        <f t="shared" si="51"/>
        <v>79.989999999999995</v>
      </c>
      <c r="H101" s="10">
        <f>D101+октябрь!H101</f>
        <v>684.7940000000001</v>
      </c>
      <c r="I101" s="8"/>
      <c r="J101" s="183">
        <f>379.989+420</f>
        <v>799.98900000000003</v>
      </c>
      <c r="K101" s="10">
        <f t="shared" si="52"/>
        <v>799.98900000000003</v>
      </c>
      <c r="L101" s="16"/>
      <c r="M101" s="220"/>
      <c r="N101" s="221"/>
      <c r="O101" s="122">
        <f t="shared" si="58"/>
        <v>115.19499999999994</v>
      </c>
      <c r="P101" s="123">
        <f t="shared" si="59"/>
        <v>16.821847154034632</v>
      </c>
      <c r="Q101" s="114"/>
      <c r="S101">
        <f t="shared" si="48"/>
        <v>311.27</v>
      </c>
      <c r="T101" s="44">
        <f>E101+апр!I101</f>
        <v>0</v>
      </c>
      <c r="U101" s="30">
        <f>F101+апр!J101</f>
        <v>79.989999999999995</v>
      </c>
    </row>
    <row r="102" spans="1:21" ht="33.75" customHeight="1">
      <c r="A102" s="8" t="s">
        <v>95</v>
      </c>
      <c r="B102" s="20" t="s">
        <v>96</v>
      </c>
      <c r="C102" s="8" t="s">
        <v>4</v>
      </c>
      <c r="D102" s="10"/>
      <c r="E102" s="8"/>
      <c r="F102" s="55"/>
      <c r="G102" s="10">
        <f t="shared" si="51"/>
        <v>0</v>
      </c>
      <c r="H102" s="10">
        <f>D102+октябрь!H102</f>
        <v>0</v>
      </c>
      <c r="I102" s="8"/>
      <c r="J102" s="54">
        <f>F102+сентябрь!J102</f>
        <v>0</v>
      </c>
      <c r="K102" s="10">
        <f t="shared" si="52"/>
        <v>0</v>
      </c>
      <c r="L102" s="16"/>
      <c r="M102" s="220"/>
      <c r="N102" s="221"/>
      <c r="O102" s="122">
        <f t="shared" si="58"/>
        <v>0</v>
      </c>
      <c r="P102" s="123" t="e">
        <f t="shared" si="59"/>
        <v>#DIV/0!</v>
      </c>
      <c r="Q102" s="114"/>
      <c r="S102">
        <f t="shared" si="48"/>
        <v>0</v>
      </c>
      <c r="T102" s="44">
        <f>E102+апр!I102</f>
        <v>0</v>
      </c>
      <c r="U102" s="30">
        <f>F102+апр!J102</f>
        <v>0</v>
      </c>
    </row>
    <row r="103" spans="1:21" ht="17.25" customHeight="1">
      <c r="A103" s="8" t="s">
        <v>97</v>
      </c>
      <c r="B103" s="20" t="s">
        <v>98</v>
      </c>
      <c r="C103" s="8" t="s">
        <v>4</v>
      </c>
      <c r="D103" s="10">
        <v>1.3089999999999999</v>
      </c>
      <c r="E103" s="8">
        <v>1.333</v>
      </c>
      <c r="F103" s="55"/>
      <c r="G103" s="10">
        <f t="shared" si="51"/>
        <v>-1.333</v>
      </c>
      <c r="H103" s="10">
        <f>D103+октябрь!H103</f>
        <v>14.398999999999997</v>
      </c>
      <c r="I103" s="8">
        <f>E103+сентябрь!I103</f>
        <v>11.997</v>
      </c>
      <c r="J103" s="54">
        <f>F103+сентябрь!J103</f>
        <v>0</v>
      </c>
      <c r="K103" s="10">
        <f t="shared" si="52"/>
        <v>-11.997</v>
      </c>
      <c r="L103" s="16">
        <f t="shared" si="57"/>
        <v>-100</v>
      </c>
      <c r="M103" s="220"/>
      <c r="N103" s="221"/>
      <c r="O103" s="122">
        <f t="shared" si="58"/>
        <v>-14.398999999999997</v>
      </c>
      <c r="P103" s="123">
        <f t="shared" si="59"/>
        <v>-100</v>
      </c>
      <c r="Q103" s="114"/>
      <c r="S103">
        <f t="shared" si="48"/>
        <v>6.5449999999999999</v>
      </c>
      <c r="T103" s="44">
        <f>E103+апр!I103</f>
        <v>6.665</v>
      </c>
      <c r="U103" s="30">
        <f>F103+апр!J103</f>
        <v>0</v>
      </c>
    </row>
    <row r="104" spans="1:21" ht="36" customHeight="1">
      <c r="A104" s="18" t="s">
        <v>105</v>
      </c>
      <c r="B104" s="20" t="s">
        <v>99</v>
      </c>
      <c r="C104" s="8" t="s">
        <v>4</v>
      </c>
      <c r="D104" s="10">
        <f t="shared" ref="D104:F104" si="66">D105+D106+D107+D108</f>
        <v>186.095</v>
      </c>
      <c r="E104" s="10">
        <f t="shared" si="66"/>
        <v>152.833</v>
      </c>
      <c r="F104" s="10">
        <f t="shared" si="66"/>
        <v>1.601</v>
      </c>
      <c r="G104" s="10">
        <f t="shared" si="51"/>
        <v>-151.232</v>
      </c>
      <c r="H104" s="10">
        <f t="shared" ref="H104:J104" si="67">H105+H106+H107+H108</f>
        <v>2047.0450000000005</v>
      </c>
      <c r="I104" s="8">
        <f>E104+сентябрь!I104</f>
        <v>1528.3300000000002</v>
      </c>
      <c r="J104" s="10">
        <f t="shared" si="67"/>
        <v>2557.8019999999997</v>
      </c>
      <c r="K104" s="10">
        <f t="shared" si="52"/>
        <v>1029.4719999999995</v>
      </c>
      <c r="L104" s="16">
        <f t="shared" si="57"/>
        <v>67.359274502234427</v>
      </c>
      <c r="M104" s="220"/>
      <c r="N104" s="221"/>
      <c r="O104" s="122">
        <f t="shared" si="58"/>
        <v>510.75699999999915</v>
      </c>
      <c r="P104" s="123">
        <f t="shared" si="59"/>
        <v>24.950941479058791</v>
      </c>
      <c r="Q104" s="114"/>
      <c r="S104">
        <f t="shared" si="48"/>
        <v>930.47500000000002</v>
      </c>
      <c r="T104" s="44">
        <f>E104+апр!I104</f>
        <v>764.16499999999996</v>
      </c>
      <c r="U104" s="30">
        <f>F104+апр!J104</f>
        <v>800.58500000000004</v>
      </c>
    </row>
    <row r="105" spans="1:21" ht="17.25" customHeight="1">
      <c r="A105" s="24" t="s">
        <v>243</v>
      </c>
      <c r="B105" s="20" t="s">
        <v>100</v>
      </c>
      <c r="C105" s="8" t="s">
        <v>4</v>
      </c>
      <c r="D105" s="10">
        <v>43.570999999999998</v>
      </c>
      <c r="E105" s="8">
        <v>43.582999999999998</v>
      </c>
      <c r="F105" s="8"/>
      <c r="G105" s="10">
        <f t="shared" si="51"/>
        <v>-43.582999999999998</v>
      </c>
      <c r="H105" s="10">
        <f>D105+октябрь!H105</f>
        <v>479.28100000000006</v>
      </c>
      <c r="I105" s="8">
        <f>E105+сентябрь!I105</f>
        <v>435.82999999999993</v>
      </c>
      <c r="J105" s="183">
        <v>986.06899999999996</v>
      </c>
      <c r="K105" s="10">
        <f t="shared" si="52"/>
        <v>550.23900000000003</v>
      </c>
      <c r="L105" s="16">
        <f t="shared" si="57"/>
        <v>126.25083174632314</v>
      </c>
      <c r="M105" s="220"/>
      <c r="N105" s="221"/>
      <c r="O105" s="122">
        <f t="shared" si="58"/>
        <v>506.7879999999999</v>
      </c>
      <c r="P105" s="123">
        <f t="shared" si="59"/>
        <v>105.73922187610188</v>
      </c>
      <c r="Q105" s="114">
        <f>98.54+237.46+650.069</f>
        <v>986.06899999999996</v>
      </c>
      <c r="S105">
        <f t="shared" si="48"/>
        <v>217.85499999999999</v>
      </c>
      <c r="T105" s="44">
        <f>E105+апр!I105</f>
        <v>217.91499999999999</v>
      </c>
      <c r="U105" s="30">
        <f>F105+апр!J105</f>
        <v>221.631</v>
      </c>
    </row>
    <row r="106" spans="1:21" ht="28.5" customHeight="1">
      <c r="A106" s="8" t="s">
        <v>244</v>
      </c>
      <c r="B106" s="20" t="s">
        <v>101</v>
      </c>
      <c r="C106" s="8" t="s">
        <v>4</v>
      </c>
      <c r="D106" s="10">
        <v>116.209</v>
      </c>
      <c r="E106" s="8">
        <v>82.917000000000002</v>
      </c>
      <c r="F106" s="55">
        <v>1.601</v>
      </c>
      <c r="G106" s="10">
        <f t="shared" si="51"/>
        <v>-81.316000000000003</v>
      </c>
      <c r="H106" s="10">
        <f>D106+октябрь!H106</f>
        <v>1278.2990000000004</v>
      </c>
      <c r="I106" s="8">
        <f>E106+сентябрь!I106</f>
        <v>829.17000000000019</v>
      </c>
      <c r="J106" s="183">
        <v>986.28200000000004</v>
      </c>
      <c r="K106" s="10">
        <f t="shared" si="52"/>
        <v>157.11199999999985</v>
      </c>
      <c r="L106" s="16">
        <f t="shared" si="57"/>
        <v>18.94810473123724</v>
      </c>
      <c r="M106" s="222" t="s">
        <v>287</v>
      </c>
      <c r="N106" s="223"/>
      <c r="O106" s="122">
        <f t="shared" si="58"/>
        <v>-292.01700000000039</v>
      </c>
      <c r="P106" s="123">
        <f t="shared" si="59"/>
        <v>-22.844185906427235</v>
      </c>
      <c r="Q106" s="115">
        <f>100.833+885.449</f>
        <v>986.28199999999993</v>
      </c>
      <c r="S106">
        <f t="shared" si="48"/>
        <v>581.04500000000007</v>
      </c>
      <c r="T106" s="44">
        <f>E106+апр!I106</f>
        <v>414.58500000000004</v>
      </c>
      <c r="U106" s="30">
        <f>F106+апр!J106</f>
        <v>455.20100000000002</v>
      </c>
    </row>
    <row r="107" spans="1:21" ht="37.5" customHeight="1">
      <c r="A107" s="8" t="s">
        <v>245</v>
      </c>
      <c r="B107" s="20" t="s">
        <v>102</v>
      </c>
      <c r="C107" s="8" t="s">
        <v>4</v>
      </c>
      <c r="D107" s="10">
        <v>26.315000000000001</v>
      </c>
      <c r="E107" s="8">
        <v>26.332999999999998</v>
      </c>
      <c r="F107" s="54"/>
      <c r="G107" s="10">
        <f t="shared" si="51"/>
        <v>-26.332999999999998</v>
      </c>
      <c r="H107" s="10">
        <f>D107+октябрь!H107</f>
        <v>289.46500000000003</v>
      </c>
      <c r="I107" s="8">
        <f>E107+сентябрь!I107</f>
        <v>263.33</v>
      </c>
      <c r="J107" s="183">
        <f>F107+сентябрь!J107</f>
        <v>521.75099999999998</v>
      </c>
      <c r="K107" s="10">
        <f t="shared" si="52"/>
        <v>258.42099999999999</v>
      </c>
      <c r="L107" s="16">
        <f t="shared" si="57"/>
        <v>98.135799187331486</v>
      </c>
      <c r="M107" s="220"/>
      <c r="N107" s="221"/>
      <c r="O107" s="122">
        <f t="shared" si="58"/>
        <v>232.28599999999994</v>
      </c>
      <c r="P107" s="123">
        <f t="shared" si="59"/>
        <v>80.24666194531288</v>
      </c>
      <c r="Q107" s="114">
        <f>1.175+106.88+33.63+4+7+8.629+29.998+40.6+29.894</f>
        <v>261.80599999999998</v>
      </c>
      <c r="S107">
        <f t="shared" si="48"/>
        <v>131.57500000000002</v>
      </c>
      <c r="T107" s="44">
        <f>E107+апр!I107</f>
        <v>131.66499999999999</v>
      </c>
      <c r="U107" s="30">
        <f>F107+апр!J107</f>
        <v>123.75300000000001</v>
      </c>
    </row>
    <row r="108" spans="1:21" ht="35.25" customHeight="1">
      <c r="A108" s="8" t="s">
        <v>103</v>
      </c>
      <c r="B108" s="20" t="s">
        <v>104</v>
      </c>
      <c r="C108" s="8" t="s">
        <v>4</v>
      </c>
      <c r="D108" s="10">
        <v>0</v>
      </c>
      <c r="E108" s="8"/>
      <c r="F108" s="8"/>
      <c r="G108" s="10">
        <f t="shared" si="51"/>
        <v>0</v>
      </c>
      <c r="H108" s="10">
        <f>D108+октябрь!H108</f>
        <v>0</v>
      </c>
      <c r="I108" s="8">
        <f>E108+сентябрь!I108</f>
        <v>0</v>
      </c>
      <c r="J108" s="183">
        <f>F108+сентябрь!J108</f>
        <v>63.7</v>
      </c>
      <c r="K108" s="10">
        <f t="shared" si="52"/>
        <v>63.7</v>
      </c>
      <c r="L108" s="16" t="e">
        <f t="shared" si="57"/>
        <v>#DIV/0!</v>
      </c>
      <c r="M108" s="220"/>
      <c r="N108" s="221"/>
      <c r="O108" s="122">
        <f t="shared" si="58"/>
        <v>63.7</v>
      </c>
      <c r="P108" s="123" t="e">
        <f t="shared" si="59"/>
        <v>#DIV/0!</v>
      </c>
      <c r="Q108" s="114"/>
      <c r="S108">
        <f t="shared" si="48"/>
        <v>0</v>
      </c>
      <c r="T108" s="44">
        <f>E108+апр!I108</f>
        <v>0</v>
      </c>
      <c r="U108" s="30">
        <f>F108+апр!J108</f>
        <v>0</v>
      </c>
    </row>
    <row r="109" spans="1:21" ht="17.25" customHeight="1">
      <c r="A109" s="18" t="s">
        <v>246</v>
      </c>
      <c r="B109" s="20" t="s">
        <v>106</v>
      </c>
      <c r="C109" s="8" t="s">
        <v>4</v>
      </c>
      <c r="D109" s="10">
        <v>91.483999999999995</v>
      </c>
      <c r="E109" s="8">
        <v>58.167000000000002</v>
      </c>
      <c r="F109" s="55">
        <f>15.207+19.264+0.256+4.94</f>
        <v>39.667000000000002</v>
      </c>
      <c r="G109" s="10">
        <f t="shared" si="51"/>
        <v>-18.5</v>
      </c>
      <c r="H109" s="10">
        <f>D109+октябрь!H109</f>
        <v>1006.3240000000002</v>
      </c>
      <c r="I109" s="8">
        <f>E109+сентябрь!I109</f>
        <v>581.67000000000019</v>
      </c>
      <c r="J109" s="183">
        <f>45.621+63.881+0.861+12.59+106.448+137.018+1.942+29.731+0.3</f>
        <v>398.392</v>
      </c>
      <c r="K109" s="10">
        <f t="shared" si="52"/>
        <v>-183.27800000000019</v>
      </c>
      <c r="L109" s="16">
        <f t="shared" si="57"/>
        <v>-31.50893118091016</v>
      </c>
      <c r="M109" s="220"/>
      <c r="N109" s="221"/>
      <c r="O109" s="122">
        <f t="shared" si="58"/>
        <v>-607.93200000000024</v>
      </c>
      <c r="P109" s="123">
        <f t="shared" si="59"/>
        <v>-60.411159825265038</v>
      </c>
      <c r="Q109" s="114"/>
      <c r="S109">
        <f t="shared" si="48"/>
        <v>457.41999999999996</v>
      </c>
      <c r="T109" s="44">
        <f>E109+апр!I109</f>
        <v>290.83500000000004</v>
      </c>
      <c r="U109" s="30">
        <f>F109+апр!J109</f>
        <v>186.50399999999999</v>
      </c>
    </row>
    <row r="110" spans="1:21" ht="17.25" customHeight="1">
      <c r="A110" s="17" t="s">
        <v>247</v>
      </c>
      <c r="B110" s="6" t="s">
        <v>107</v>
      </c>
      <c r="C110" s="8" t="s">
        <v>4</v>
      </c>
      <c r="D110" s="10">
        <f>D111+D115+D119+D123+D124+D125+D126+D127+D128+D129+D130+D131+D132+D133+D134+D135</f>
        <v>1562.1809999999998</v>
      </c>
      <c r="E110" s="10">
        <f>E111+E115+E119+E123+E124+E125+E126+E127+E128+E129+E130+E131+E132+E133+E134+E135+E136+E137</f>
        <v>1699.25</v>
      </c>
      <c r="F110" s="10">
        <f>F111+F115+F119+F123+F124+F125+F126+F127+F128+F129+F130+F131+F132+F133+F134+F135+F136+F137+F138+F139+F140+F141+F142+F144</f>
        <v>1301.357</v>
      </c>
      <c r="G110" s="10">
        <f t="shared" si="51"/>
        <v>-397.89300000000003</v>
      </c>
      <c r="H110" s="10">
        <f>H111+H115+H119+H123+H124+H125+H126+H127+H128+H129+H130+H131+H132+H133+H134+H135</f>
        <v>17183.991000000002</v>
      </c>
      <c r="I110" s="10">
        <f>I111+I115+I119+I123+I124+I125+I126+I127+I128+I129+I130+I131+I132+I133+I134+I135+I136+I137</f>
        <v>16992.5</v>
      </c>
      <c r="J110" s="10">
        <f>J111+J115+J119+J123+J124+J125+J126+J127+J128+J129+J130+J131+J132+J133+J134+J135+J136+J137</f>
        <v>17610.095499999999</v>
      </c>
      <c r="K110" s="10">
        <f t="shared" si="52"/>
        <v>617.59549999999945</v>
      </c>
      <c r="L110" s="16">
        <f t="shared" si="57"/>
        <v>3.6345181697807822</v>
      </c>
      <c r="M110" s="226"/>
      <c r="N110" s="221"/>
      <c r="O110" s="122">
        <f t="shared" si="58"/>
        <v>426.10449999999764</v>
      </c>
      <c r="P110" s="123">
        <f t="shared" si="59"/>
        <v>2.4796597018701747</v>
      </c>
      <c r="Q110" s="114"/>
      <c r="S110">
        <f t="shared" si="48"/>
        <v>7810.9049999999988</v>
      </c>
      <c r="T110" s="44">
        <f>E110+апр!I110</f>
        <v>8496.25</v>
      </c>
      <c r="U110" s="30">
        <f>F110+апр!J110</f>
        <v>7957.4265000000005</v>
      </c>
    </row>
    <row r="111" spans="1:21" ht="18" customHeight="1">
      <c r="A111" s="18" t="s">
        <v>248</v>
      </c>
      <c r="B111" s="9" t="s">
        <v>108</v>
      </c>
      <c r="C111" s="8" t="s">
        <v>4</v>
      </c>
      <c r="D111" s="10">
        <v>431.38099999999997</v>
      </c>
      <c r="E111" s="8">
        <v>431.41699999999997</v>
      </c>
      <c r="F111" s="10">
        <f>F112+F113+F114</f>
        <v>399.13</v>
      </c>
      <c r="G111" s="10">
        <f t="shared" si="51"/>
        <v>-32.286999999999978</v>
      </c>
      <c r="H111" s="10">
        <f>D111+октябрь!H111</f>
        <v>4745.1909999999998</v>
      </c>
      <c r="I111" s="8">
        <f>E111+сентябрь!I111</f>
        <v>4314.17</v>
      </c>
      <c r="J111" s="10">
        <f>J112+J113+J114</f>
        <v>3971.5509999999999</v>
      </c>
      <c r="K111" s="10">
        <f t="shared" si="52"/>
        <v>-342.61900000000014</v>
      </c>
      <c r="L111" s="16">
        <f t="shared" si="57"/>
        <v>-7.9417130062097723</v>
      </c>
      <c r="M111" s="231"/>
      <c r="N111" s="232"/>
      <c r="O111" s="122">
        <f t="shared" si="58"/>
        <v>-773.63999999999987</v>
      </c>
      <c r="P111" s="123">
        <f t="shared" si="59"/>
        <v>-16.303664067473782</v>
      </c>
      <c r="Q111" s="117"/>
      <c r="S111">
        <f t="shared" si="48"/>
        <v>2156.9049999999997</v>
      </c>
      <c r="T111" s="44">
        <f>E111+апр!I111</f>
        <v>2157.085</v>
      </c>
      <c r="U111" s="30">
        <f>F111+апр!J111</f>
        <v>1587.761</v>
      </c>
    </row>
    <row r="112" spans="1:21" ht="17.25" customHeight="1">
      <c r="A112" s="18"/>
      <c r="B112" s="9" t="s">
        <v>221</v>
      </c>
      <c r="C112" s="8" t="s">
        <v>4</v>
      </c>
      <c r="D112" s="10"/>
      <c r="E112" s="8"/>
      <c r="F112" s="54">
        <v>351.13</v>
      </c>
      <c r="G112" s="10">
        <f t="shared" si="51"/>
        <v>351.13</v>
      </c>
      <c r="H112" s="10">
        <f>D112+октябрь!H112</f>
        <v>0</v>
      </c>
      <c r="I112" s="8"/>
      <c r="J112" s="183">
        <v>3525.73</v>
      </c>
      <c r="K112" s="10">
        <f t="shared" si="52"/>
        <v>3525.73</v>
      </c>
      <c r="L112" s="16"/>
      <c r="M112" s="220"/>
      <c r="N112" s="221"/>
      <c r="O112" s="122">
        <f t="shared" si="58"/>
        <v>3525.73</v>
      </c>
      <c r="P112" s="123" t="e">
        <f t="shared" si="59"/>
        <v>#DIV/0!</v>
      </c>
      <c r="Q112" s="114">
        <f>860.99+2664.74</f>
        <v>3525.7299999999996</v>
      </c>
      <c r="S112">
        <f t="shared" si="48"/>
        <v>0</v>
      </c>
      <c r="T112" s="44">
        <f>E112+апр!I112</f>
        <v>0</v>
      </c>
      <c r="U112" s="30">
        <f>F112+апр!J112</f>
        <v>1317.94</v>
      </c>
    </row>
    <row r="113" spans="1:21" ht="36" customHeight="1">
      <c r="A113" s="18"/>
      <c r="B113" s="9" t="s">
        <v>222</v>
      </c>
      <c r="C113" s="8" t="s">
        <v>4</v>
      </c>
      <c r="D113" s="10"/>
      <c r="E113" s="8"/>
      <c r="F113" s="54">
        <v>48</v>
      </c>
      <c r="G113" s="10">
        <f t="shared" si="51"/>
        <v>48</v>
      </c>
      <c r="H113" s="10">
        <f>D113+октябрь!H113</f>
        <v>0</v>
      </c>
      <c r="I113" s="8"/>
      <c r="J113" s="183">
        <v>445.82100000000003</v>
      </c>
      <c r="K113" s="10">
        <f t="shared" si="52"/>
        <v>445.82100000000003</v>
      </c>
      <c r="L113" s="16"/>
      <c r="M113" s="220"/>
      <c r="N113" s="221"/>
      <c r="O113" s="122">
        <f t="shared" si="58"/>
        <v>445.82100000000003</v>
      </c>
      <c r="P113" s="123" t="e">
        <f t="shared" si="59"/>
        <v>#DIV/0!</v>
      </c>
      <c r="Q113" s="114">
        <f>108+337.821</f>
        <v>445.82100000000003</v>
      </c>
      <c r="S113">
        <f t="shared" si="48"/>
        <v>0</v>
      </c>
      <c r="T113" s="44">
        <f>E113+апр!I113</f>
        <v>0</v>
      </c>
      <c r="U113" s="30">
        <f>F113+апр!J113</f>
        <v>269.82100000000003</v>
      </c>
    </row>
    <row r="114" spans="1:21" ht="17.25" customHeight="1">
      <c r="A114" s="18"/>
      <c r="B114" s="9" t="s">
        <v>223</v>
      </c>
      <c r="C114" s="8" t="s">
        <v>4</v>
      </c>
      <c r="D114" s="10"/>
      <c r="E114" s="8"/>
      <c r="F114" s="8"/>
      <c r="G114" s="10">
        <f t="shared" si="51"/>
        <v>0</v>
      </c>
      <c r="H114" s="10">
        <f>D114+октябрь!H114</f>
        <v>0</v>
      </c>
      <c r="I114" s="8"/>
      <c r="J114" s="54">
        <f>F114+сентябрь!J114</f>
        <v>0</v>
      </c>
      <c r="K114" s="10">
        <f t="shared" si="52"/>
        <v>0</v>
      </c>
      <c r="L114" s="16"/>
      <c r="M114" s="220"/>
      <c r="N114" s="221"/>
      <c r="O114" s="122">
        <f t="shared" si="58"/>
        <v>0</v>
      </c>
      <c r="P114" s="123" t="e">
        <f t="shared" si="59"/>
        <v>#DIV/0!</v>
      </c>
      <c r="Q114" s="114"/>
      <c r="S114">
        <f t="shared" si="48"/>
        <v>0</v>
      </c>
      <c r="T114" s="44">
        <f>E114+апр!I114</f>
        <v>0</v>
      </c>
      <c r="U114" s="30">
        <f>F114+апр!J114</f>
        <v>0</v>
      </c>
    </row>
    <row r="115" spans="1:21" ht="17.25" customHeight="1">
      <c r="A115" s="18" t="s">
        <v>249</v>
      </c>
      <c r="B115" s="9" t="s">
        <v>109</v>
      </c>
      <c r="C115" s="8" t="s">
        <v>4</v>
      </c>
      <c r="D115" s="10">
        <f t="shared" ref="D115" si="68">D116+D117+D118</f>
        <v>121.34400000000001</v>
      </c>
      <c r="E115" s="10">
        <v>121.333</v>
      </c>
      <c r="F115" s="10"/>
      <c r="G115" s="10">
        <f t="shared" si="51"/>
        <v>-121.333</v>
      </c>
      <c r="H115" s="10">
        <f t="shared" ref="H115" si="69">H116+H117+H118</f>
        <v>1334.7840000000001</v>
      </c>
      <c r="I115" s="8">
        <f>E115+сентябрь!I115</f>
        <v>1213.33</v>
      </c>
      <c r="J115" s="10">
        <f t="shared" ref="J115" si="70">J116+J117+J118</f>
        <v>407.13900000000001</v>
      </c>
      <c r="K115" s="10">
        <f t="shared" si="52"/>
        <v>-806.19099999999992</v>
      </c>
      <c r="L115" s="16">
        <f t="shared" si="57"/>
        <v>-66.444495726636603</v>
      </c>
      <c r="M115" s="220"/>
      <c r="N115" s="221"/>
      <c r="O115" s="122">
        <f t="shared" si="58"/>
        <v>-927.6450000000001</v>
      </c>
      <c r="P115" s="123">
        <f t="shared" si="59"/>
        <v>-69.497761435558118</v>
      </c>
      <c r="Q115" s="114"/>
      <c r="S115">
        <f t="shared" si="48"/>
        <v>606.72</v>
      </c>
      <c r="T115" s="44">
        <f>E115+апр!I115</f>
        <v>606.66499999999996</v>
      </c>
      <c r="U115" s="30">
        <f>F115+апр!J115</f>
        <v>0</v>
      </c>
    </row>
    <row r="116" spans="1:21" ht="36" customHeight="1">
      <c r="A116" s="8" t="s">
        <v>250</v>
      </c>
      <c r="B116" s="9" t="s">
        <v>240</v>
      </c>
      <c r="C116" s="8" t="s">
        <v>4</v>
      </c>
      <c r="D116" s="10">
        <v>86.322000000000003</v>
      </c>
      <c r="E116" s="8"/>
      <c r="F116" s="8"/>
      <c r="G116" s="10">
        <f t="shared" si="51"/>
        <v>0</v>
      </c>
      <c r="H116" s="10">
        <f>D116+октябрь!H116</f>
        <v>949.54200000000003</v>
      </c>
      <c r="I116" s="8"/>
      <c r="J116" s="54">
        <f>F116+сентябрь!J116</f>
        <v>0</v>
      </c>
      <c r="K116" s="10">
        <f t="shared" si="52"/>
        <v>0</v>
      </c>
      <c r="L116" s="16"/>
      <c r="M116" s="220"/>
      <c r="N116" s="221"/>
      <c r="O116" s="122">
        <f t="shared" si="58"/>
        <v>-949.54200000000003</v>
      </c>
      <c r="P116" s="123">
        <f t="shared" si="59"/>
        <v>-100</v>
      </c>
      <c r="Q116" s="114"/>
      <c r="S116">
        <f t="shared" si="48"/>
        <v>431.61</v>
      </c>
      <c r="T116" s="44">
        <f>E116+апр!I116</f>
        <v>0</v>
      </c>
      <c r="U116" s="30">
        <f>F116+апр!J116</f>
        <v>0</v>
      </c>
    </row>
    <row r="117" spans="1:21" ht="42.75" customHeight="1">
      <c r="A117" s="8" t="s">
        <v>251</v>
      </c>
      <c r="B117" s="9" t="s">
        <v>241</v>
      </c>
      <c r="C117" s="8" t="s">
        <v>4</v>
      </c>
      <c r="D117" s="10">
        <v>31.76</v>
      </c>
      <c r="E117" s="8"/>
      <c r="F117" s="8"/>
      <c r="G117" s="10">
        <f t="shared" si="51"/>
        <v>0</v>
      </c>
      <c r="H117" s="10">
        <f>D117+октябрь!H117</f>
        <v>349.35999999999996</v>
      </c>
      <c r="I117" s="8"/>
      <c r="J117" s="183">
        <v>368</v>
      </c>
      <c r="K117" s="10">
        <f t="shared" si="52"/>
        <v>368</v>
      </c>
      <c r="L117" s="16"/>
      <c r="M117" s="220"/>
      <c r="N117" s="221"/>
      <c r="O117" s="122">
        <f t="shared" si="58"/>
        <v>18.640000000000043</v>
      </c>
      <c r="P117" s="123">
        <f t="shared" si="59"/>
        <v>5.3354705747652984</v>
      </c>
      <c r="Q117" s="114"/>
      <c r="S117">
        <f t="shared" si="48"/>
        <v>158.80000000000001</v>
      </c>
      <c r="T117" s="44">
        <f>E117+апр!I117</f>
        <v>0</v>
      </c>
      <c r="U117" s="30">
        <f>F117+апр!J117</f>
        <v>0</v>
      </c>
    </row>
    <row r="118" spans="1:21" ht="17.25" customHeight="1">
      <c r="A118" s="8" t="s">
        <v>252</v>
      </c>
      <c r="B118" s="9" t="s">
        <v>110</v>
      </c>
      <c r="C118" s="8" t="s">
        <v>4</v>
      </c>
      <c r="D118" s="10">
        <v>3.262</v>
      </c>
      <c r="E118" s="8"/>
      <c r="F118" s="8">
        <v>39.139000000000003</v>
      </c>
      <c r="G118" s="10">
        <f t="shared" si="51"/>
        <v>39.139000000000003</v>
      </c>
      <c r="H118" s="10">
        <f>D118+октябрь!H118</f>
        <v>35.881999999999998</v>
      </c>
      <c r="I118" s="8"/>
      <c r="J118" s="54">
        <f>F118+сентябрь!J118</f>
        <v>39.139000000000003</v>
      </c>
      <c r="K118" s="10">
        <f t="shared" si="52"/>
        <v>39.139000000000003</v>
      </c>
      <c r="L118" s="16"/>
      <c r="M118" s="220"/>
      <c r="N118" s="221"/>
      <c r="O118" s="122">
        <f t="shared" si="58"/>
        <v>3.257000000000005</v>
      </c>
      <c r="P118" s="123">
        <f t="shared" si="59"/>
        <v>9.0769745276183187</v>
      </c>
      <c r="Q118" s="114"/>
      <c r="S118">
        <f t="shared" si="48"/>
        <v>16.309999999999999</v>
      </c>
      <c r="T118" s="44">
        <f>E118+апр!I118</f>
        <v>0</v>
      </c>
      <c r="U118" s="30">
        <f>F118+апр!J118</f>
        <v>39.139000000000003</v>
      </c>
    </row>
    <row r="119" spans="1:21" ht="34.5" customHeight="1">
      <c r="A119" s="18" t="s">
        <v>253</v>
      </c>
      <c r="B119" s="9" t="s">
        <v>111</v>
      </c>
      <c r="C119" s="8" t="s">
        <v>4</v>
      </c>
      <c r="D119" s="10">
        <f>D120</f>
        <v>380.84899999999999</v>
      </c>
      <c r="E119" s="10">
        <v>356.5</v>
      </c>
      <c r="F119" s="10">
        <f>F120</f>
        <v>357.79</v>
      </c>
      <c r="G119" s="10">
        <f t="shared" si="51"/>
        <v>1.2900000000000205</v>
      </c>
      <c r="H119" s="10">
        <f>H120</f>
        <v>4189.3390000000009</v>
      </c>
      <c r="I119" s="8">
        <f>E119+сентябрь!I119</f>
        <v>3565</v>
      </c>
      <c r="J119" s="10">
        <f>J120</f>
        <v>3841.5915</v>
      </c>
      <c r="K119" s="10">
        <f t="shared" si="52"/>
        <v>276.5915</v>
      </c>
      <c r="L119" s="16">
        <f t="shared" si="57"/>
        <v>7.7585273492286113</v>
      </c>
      <c r="M119" s="220"/>
      <c r="N119" s="221"/>
      <c r="O119" s="122">
        <f t="shared" si="58"/>
        <v>-347.74750000000085</v>
      </c>
      <c r="P119" s="123">
        <f t="shared" si="59"/>
        <v>-8.3007725085031492</v>
      </c>
      <c r="Q119" s="114"/>
      <c r="S119">
        <f t="shared" si="48"/>
        <v>1904.2449999999999</v>
      </c>
      <c r="T119" s="44">
        <f>E119+апр!I119</f>
        <v>1782.5</v>
      </c>
      <c r="U119" s="30">
        <f>F119+апр!J119</f>
        <v>1684.6315</v>
      </c>
    </row>
    <row r="120" spans="1:21" ht="17.25" customHeight="1">
      <c r="A120" s="8"/>
      <c r="B120" s="25" t="s">
        <v>112</v>
      </c>
      <c r="C120" s="8" t="s">
        <v>113</v>
      </c>
      <c r="D120" s="10">
        <v>380.84899999999999</v>
      </c>
      <c r="E120" s="10">
        <f>E122*E121</f>
        <v>356.5</v>
      </c>
      <c r="F120" s="54">
        <f>F122*F121</f>
        <v>357.79</v>
      </c>
      <c r="G120" s="10">
        <f t="shared" si="51"/>
        <v>1.2900000000000205</v>
      </c>
      <c r="H120" s="10">
        <f>D120+октябрь!H120</f>
        <v>4189.3390000000009</v>
      </c>
      <c r="I120" s="8">
        <f>E120+сентябрь!I120</f>
        <v>3565</v>
      </c>
      <c r="J120" s="183">
        <f>F120+сентябрь!J120</f>
        <v>3841.5915</v>
      </c>
      <c r="K120" s="10">
        <f t="shared" si="52"/>
        <v>276.5915</v>
      </c>
      <c r="L120" s="16">
        <f t="shared" si="57"/>
        <v>7.7585273492286113</v>
      </c>
      <c r="M120" s="220"/>
      <c r="N120" s="221"/>
      <c r="O120" s="122">
        <f t="shared" si="58"/>
        <v>-347.74750000000085</v>
      </c>
      <c r="P120" s="123">
        <f t="shared" si="59"/>
        <v>-8.3007725085031492</v>
      </c>
      <c r="Q120" s="114"/>
      <c r="S120">
        <f t="shared" si="48"/>
        <v>1904.2449999999999</v>
      </c>
      <c r="T120" s="44">
        <f>E120+апр!I120</f>
        <v>1782.5</v>
      </c>
      <c r="U120" s="30">
        <f>F120+апр!J120</f>
        <v>1684.6315</v>
      </c>
    </row>
    <row r="121" spans="1:21" ht="17.25" customHeight="1">
      <c r="A121" s="8"/>
      <c r="B121" s="12" t="s">
        <v>13</v>
      </c>
      <c r="C121" s="13" t="s">
        <v>114</v>
      </c>
      <c r="D121" s="10">
        <v>761.69899999999996</v>
      </c>
      <c r="E121" s="16">
        <f>E119/E122</f>
        <v>713</v>
      </c>
      <c r="F121" s="10">
        <f>F218</f>
        <v>715.58</v>
      </c>
      <c r="G121" s="10">
        <f t="shared" si="51"/>
        <v>2.5800000000000409</v>
      </c>
      <c r="H121" s="10">
        <f>D121+октябрь!H121</f>
        <v>8378.6889999999985</v>
      </c>
      <c r="I121" s="8">
        <f>E121+сентябрь!I121</f>
        <v>7130</v>
      </c>
      <c r="J121" s="54">
        <f>F121+сентябрь!J121</f>
        <v>7683.1819999999998</v>
      </c>
      <c r="K121" s="10">
        <f t="shared" si="52"/>
        <v>553.18199999999979</v>
      </c>
      <c r="L121" s="16">
        <f t="shared" si="57"/>
        <v>7.7585133239831672</v>
      </c>
      <c r="M121" s="220"/>
      <c r="N121" s="221"/>
      <c r="O121" s="122">
        <f t="shared" si="58"/>
        <v>-695.5069999999987</v>
      </c>
      <c r="P121" s="123">
        <f t="shared" si="59"/>
        <v>-8.3009048312928044</v>
      </c>
      <c r="Q121" s="114"/>
      <c r="S121">
        <f t="shared" si="48"/>
        <v>3808.4949999999999</v>
      </c>
      <c r="T121" s="44">
        <f>E121+апр!I121</f>
        <v>3565</v>
      </c>
      <c r="U121" s="30">
        <f>F121+апр!J121</f>
        <v>3369.2620000000002</v>
      </c>
    </row>
    <row r="122" spans="1:21" ht="17.25" customHeight="1">
      <c r="A122" s="8"/>
      <c r="B122" s="12" t="s">
        <v>15</v>
      </c>
      <c r="C122" s="13" t="s">
        <v>16</v>
      </c>
      <c r="D122" s="11">
        <v>0.5</v>
      </c>
      <c r="E122" s="11">
        <v>0.5</v>
      </c>
      <c r="F122" s="11">
        <v>0.5</v>
      </c>
      <c r="G122" s="10">
        <f t="shared" si="51"/>
        <v>0</v>
      </c>
      <c r="H122" s="10">
        <f>D122+октябрь!H122</f>
        <v>3.5</v>
      </c>
      <c r="I122" s="11">
        <v>0.5</v>
      </c>
      <c r="J122" s="11">
        <v>0.5</v>
      </c>
      <c r="K122" s="10">
        <f t="shared" si="52"/>
        <v>0</v>
      </c>
      <c r="L122" s="16">
        <f t="shared" si="57"/>
        <v>0</v>
      </c>
      <c r="M122" s="220"/>
      <c r="N122" s="221"/>
      <c r="O122" s="122">
        <f t="shared" si="58"/>
        <v>-3</v>
      </c>
      <c r="P122" s="123">
        <f t="shared" si="59"/>
        <v>-85.714285714285708</v>
      </c>
      <c r="Q122" s="114"/>
      <c r="S122">
        <f t="shared" si="48"/>
        <v>2.5</v>
      </c>
      <c r="T122" s="44">
        <f>E122+апр!I122</f>
        <v>1</v>
      </c>
      <c r="U122" s="30">
        <f>F122+апр!J122</f>
        <v>1</v>
      </c>
    </row>
    <row r="123" spans="1:21" ht="17.25" customHeight="1">
      <c r="A123" s="18" t="s">
        <v>254</v>
      </c>
      <c r="B123" s="9" t="s">
        <v>115</v>
      </c>
      <c r="C123" s="8" t="s">
        <v>4</v>
      </c>
      <c r="D123" s="10">
        <v>1.1120000000000001</v>
      </c>
      <c r="E123" s="8">
        <v>1.083</v>
      </c>
      <c r="F123" s="8"/>
      <c r="G123" s="10">
        <f t="shared" si="51"/>
        <v>-1.083</v>
      </c>
      <c r="H123" s="10">
        <f>D123+октябрь!H123</f>
        <v>12.232000000000001</v>
      </c>
      <c r="I123" s="8">
        <f>E123+сентябрь!I123</f>
        <v>10.83</v>
      </c>
      <c r="J123" s="54">
        <f>F123+сентябрь!J123</f>
        <v>0</v>
      </c>
      <c r="K123" s="10">
        <f t="shared" si="52"/>
        <v>-10.83</v>
      </c>
      <c r="L123" s="16">
        <f t="shared" si="57"/>
        <v>-100</v>
      </c>
      <c r="M123" s="220"/>
      <c r="N123" s="221"/>
      <c r="O123" s="122">
        <f t="shared" si="58"/>
        <v>-12.232000000000001</v>
      </c>
      <c r="P123" s="123">
        <f t="shared" si="59"/>
        <v>-100</v>
      </c>
      <c r="Q123" s="114"/>
      <c r="S123">
        <f t="shared" si="48"/>
        <v>5.5600000000000005</v>
      </c>
      <c r="T123" s="44">
        <f>E123+апр!I123</f>
        <v>5.415</v>
      </c>
      <c r="U123" s="30">
        <f>F123+апр!J123</f>
        <v>0</v>
      </c>
    </row>
    <row r="124" spans="1:21" ht="36" customHeight="1">
      <c r="A124" s="18" t="s">
        <v>255</v>
      </c>
      <c r="B124" s="9" t="s">
        <v>116</v>
      </c>
      <c r="C124" s="8" t="s">
        <v>4</v>
      </c>
      <c r="D124" s="10">
        <v>53.17</v>
      </c>
      <c r="E124" s="8">
        <v>52.167000000000002</v>
      </c>
      <c r="F124" s="54">
        <v>45</v>
      </c>
      <c r="G124" s="10">
        <f t="shared" si="51"/>
        <v>-7.1670000000000016</v>
      </c>
      <c r="H124" s="10">
        <f>D124+октябрь!H124</f>
        <v>584.87</v>
      </c>
      <c r="I124" s="8">
        <f>E124+сентябрь!I124</f>
        <v>521.67000000000019</v>
      </c>
      <c r="J124" s="183">
        <f>F124+сентябрь!J124</f>
        <v>450</v>
      </c>
      <c r="K124" s="10">
        <f t="shared" si="52"/>
        <v>-71.670000000000186</v>
      </c>
      <c r="L124" s="16">
        <f t="shared" si="57"/>
        <v>-13.738570360572808</v>
      </c>
      <c r="M124" s="220"/>
      <c r="N124" s="221"/>
      <c r="O124" s="122">
        <f t="shared" si="58"/>
        <v>-134.87</v>
      </c>
      <c r="P124" s="123">
        <f t="shared" si="59"/>
        <v>-23.059825260314259</v>
      </c>
      <c r="Q124" s="114">
        <f>135+315</f>
        <v>450</v>
      </c>
      <c r="S124">
        <f t="shared" si="48"/>
        <v>265.85000000000002</v>
      </c>
      <c r="T124" s="44">
        <f>E124+апр!I124</f>
        <v>260.83500000000004</v>
      </c>
      <c r="U124" s="30">
        <f>F124+апр!J124</f>
        <v>225</v>
      </c>
    </row>
    <row r="125" spans="1:21" ht="41.25" customHeight="1">
      <c r="A125" s="18" t="s">
        <v>256</v>
      </c>
      <c r="B125" s="9" t="s">
        <v>117</v>
      </c>
      <c r="C125" s="8" t="s">
        <v>4</v>
      </c>
      <c r="D125" s="10">
        <v>411.35</v>
      </c>
      <c r="E125" s="8">
        <v>411.33300000000003</v>
      </c>
      <c r="F125" s="55">
        <f>184.627+130.54</f>
        <v>315.16700000000003</v>
      </c>
      <c r="G125" s="10">
        <f t="shared" si="51"/>
        <v>-96.165999999999997</v>
      </c>
      <c r="H125" s="10">
        <f>D125+октябрь!H125</f>
        <v>4524.8500000000004</v>
      </c>
      <c r="I125" s="8">
        <f>E125+сентябрь!I125</f>
        <v>4113.33</v>
      </c>
      <c r="J125" s="183">
        <f>F125+сентябрь!J125</f>
        <v>4828.8410000000003</v>
      </c>
      <c r="K125" s="10">
        <f t="shared" si="52"/>
        <v>715.51100000000042</v>
      </c>
      <c r="L125" s="16">
        <f t="shared" si="57"/>
        <v>17.394933059102975</v>
      </c>
      <c r="M125" s="222" t="s">
        <v>294</v>
      </c>
      <c r="N125" s="223"/>
      <c r="O125" s="122">
        <f t="shared" si="58"/>
        <v>303.99099999999999</v>
      </c>
      <c r="P125" s="123">
        <f t="shared" si="59"/>
        <v>6.7182558537852071</v>
      </c>
      <c r="Q125" s="115">
        <f>556.862+787.587+1473.109</f>
        <v>2817.558</v>
      </c>
      <c r="S125">
        <f t="shared" si="48"/>
        <v>2056.75</v>
      </c>
      <c r="T125" s="44">
        <f>E125+апр!I125</f>
        <v>2056.665</v>
      </c>
      <c r="U125" s="30">
        <f>F125+апр!J125</f>
        <v>2542.5430000000001</v>
      </c>
    </row>
    <row r="126" spans="1:21" ht="55.5" customHeight="1">
      <c r="A126" s="18" t="s">
        <v>257</v>
      </c>
      <c r="B126" s="9" t="s">
        <v>118</v>
      </c>
      <c r="C126" s="8" t="s">
        <v>4</v>
      </c>
      <c r="D126" s="10">
        <v>48.704000000000001</v>
      </c>
      <c r="E126" s="8">
        <v>48.667000000000002</v>
      </c>
      <c r="F126" s="54">
        <v>53.1</v>
      </c>
      <c r="G126" s="10">
        <f t="shared" si="51"/>
        <v>4.4329999999999998</v>
      </c>
      <c r="H126" s="10">
        <f>D126+октябрь!H126</f>
        <v>535.74400000000003</v>
      </c>
      <c r="I126" s="8">
        <f>E126+сентябрь!I126</f>
        <v>486.67000000000007</v>
      </c>
      <c r="J126" s="183">
        <f>159.3+318.54</f>
        <v>477.84000000000003</v>
      </c>
      <c r="K126" s="10">
        <f t="shared" si="52"/>
        <v>-8.8300000000000409</v>
      </c>
      <c r="L126" s="16">
        <f t="shared" si="57"/>
        <v>-1.814371134444293</v>
      </c>
      <c r="M126" s="220"/>
      <c r="N126" s="221"/>
      <c r="O126" s="122">
        <f t="shared" si="58"/>
        <v>-57.903999999999996</v>
      </c>
      <c r="P126" s="123">
        <f t="shared" si="59"/>
        <v>-10.808147174770038</v>
      </c>
      <c r="Q126" s="114"/>
      <c r="S126">
        <f t="shared" si="48"/>
        <v>243.52</v>
      </c>
      <c r="T126" s="44">
        <f>E126+апр!I126</f>
        <v>243.33500000000001</v>
      </c>
      <c r="U126" s="30">
        <f>F126+апр!J126</f>
        <v>265.44</v>
      </c>
    </row>
    <row r="127" spans="1:21" ht="17.25" customHeight="1">
      <c r="A127" s="18" t="s">
        <v>258</v>
      </c>
      <c r="B127" s="9" t="s">
        <v>119</v>
      </c>
      <c r="C127" s="8" t="s">
        <v>4</v>
      </c>
      <c r="D127" s="10">
        <v>38.012999999999998</v>
      </c>
      <c r="E127" s="8">
        <v>38</v>
      </c>
      <c r="F127" s="54"/>
      <c r="G127" s="10">
        <f t="shared" si="51"/>
        <v>-38</v>
      </c>
      <c r="H127" s="10">
        <f>D127+октябрь!H127</f>
        <v>418.14299999999992</v>
      </c>
      <c r="I127" s="8">
        <f>E127+сентябрь!I127</f>
        <v>380</v>
      </c>
      <c r="J127" s="183">
        <f>F127+сентябрь!J127</f>
        <v>210</v>
      </c>
      <c r="K127" s="10">
        <f t="shared" si="52"/>
        <v>-170</v>
      </c>
      <c r="L127" s="16">
        <f t="shared" si="57"/>
        <v>-44.736842105263158</v>
      </c>
      <c r="M127" s="220"/>
      <c r="N127" s="221"/>
      <c r="O127" s="122">
        <f t="shared" si="58"/>
        <v>-208.14299999999992</v>
      </c>
      <c r="P127" s="123">
        <f t="shared" si="59"/>
        <v>-49.777946778972733</v>
      </c>
      <c r="Q127" s="114"/>
      <c r="S127">
        <f t="shared" si="48"/>
        <v>190.065</v>
      </c>
      <c r="T127" s="44">
        <f>E127+апр!I127</f>
        <v>190</v>
      </c>
      <c r="U127" s="30">
        <f>F127+апр!J127</f>
        <v>105</v>
      </c>
    </row>
    <row r="128" spans="1:21" ht="54" customHeight="1">
      <c r="A128" s="18" t="s">
        <v>259</v>
      </c>
      <c r="B128" s="9" t="s">
        <v>120</v>
      </c>
      <c r="C128" s="8" t="s">
        <v>4</v>
      </c>
      <c r="D128" s="10"/>
      <c r="E128" s="8"/>
      <c r="F128" s="8"/>
      <c r="G128" s="10">
        <f t="shared" si="51"/>
        <v>0</v>
      </c>
      <c r="H128" s="10">
        <f>D128+октябрь!H128</f>
        <v>0</v>
      </c>
      <c r="I128" s="8">
        <f>E128+сентябрь!I128</f>
        <v>0</v>
      </c>
      <c r="J128" s="183">
        <f>F128+сентябрь!J128</f>
        <v>640.45500000000004</v>
      </c>
      <c r="K128" s="10">
        <f t="shared" si="52"/>
        <v>640.45500000000004</v>
      </c>
      <c r="L128" s="16" t="e">
        <f t="shared" si="57"/>
        <v>#DIV/0!</v>
      </c>
      <c r="M128" s="220"/>
      <c r="N128" s="221"/>
      <c r="O128" s="122">
        <f t="shared" si="58"/>
        <v>640.45500000000004</v>
      </c>
      <c r="P128" s="123" t="e">
        <f t="shared" si="59"/>
        <v>#DIV/0!</v>
      </c>
      <c r="Q128" s="114"/>
      <c r="S128">
        <f t="shared" si="48"/>
        <v>0</v>
      </c>
      <c r="T128" s="44">
        <f>E128+апр!I128</f>
        <v>0</v>
      </c>
      <c r="U128" s="30">
        <f>F128+апр!J128</f>
        <v>640.45500000000004</v>
      </c>
    </row>
    <row r="129" spans="1:21" ht="34.5" hidden="1" customHeight="1">
      <c r="A129" s="18" t="s">
        <v>121</v>
      </c>
      <c r="B129" s="9" t="s">
        <v>218</v>
      </c>
      <c r="C129" s="8" t="s">
        <v>4</v>
      </c>
      <c r="D129" s="10">
        <v>0</v>
      </c>
      <c r="E129" s="8"/>
      <c r="F129" s="8"/>
      <c r="G129" s="10">
        <f t="shared" si="51"/>
        <v>0</v>
      </c>
      <c r="H129" s="10">
        <f>D129+апр!H129</f>
        <v>0</v>
      </c>
      <c r="I129" s="8">
        <f>E129+апр!I129</f>
        <v>0</v>
      </c>
      <c r="J129" s="10">
        <f>F129+апр!J129</f>
        <v>0</v>
      </c>
      <c r="K129" s="10">
        <f t="shared" si="52"/>
        <v>0</v>
      </c>
      <c r="L129" s="16" t="e">
        <f t="shared" si="57"/>
        <v>#DIV/0!</v>
      </c>
      <c r="M129" s="220"/>
      <c r="N129" s="221"/>
      <c r="O129" s="122">
        <f t="shared" si="58"/>
        <v>0</v>
      </c>
      <c r="P129" s="123" t="e">
        <f t="shared" si="59"/>
        <v>#DIV/0!</v>
      </c>
      <c r="Q129" s="114"/>
      <c r="S129">
        <f t="shared" si="48"/>
        <v>0</v>
      </c>
      <c r="T129" s="44">
        <f>E129+апр!I129</f>
        <v>0</v>
      </c>
      <c r="U129" s="30">
        <f>F129+апр!J129</f>
        <v>0</v>
      </c>
    </row>
    <row r="130" spans="1:21" ht="33" customHeight="1">
      <c r="A130" s="18" t="s">
        <v>260</v>
      </c>
      <c r="B130" s="9" t="s">
        <v>263</v>
      </c>
      <c r="C130" s="8" t="s">
        <v>4</v>
      </c>
      <c r="D130" s="10"/>
      <c r="E130" s="8"/>
      <c r="F130" s="55"/>
      <c r="G130" s="10">
        <f t="shared" si="51"/>
        <v>0</v>
      </c>
      <c r="H130" s="10">
        <f>D130+октябрь!H130</f>
        <v>0</v>
      </c>
      <c r="I130" s="8">
        <f>E130+сентябрь!I130</f>
        <v>0</v>
      </c>
      <c r="J130" s="183">
        <f>18+180+300+40</f>
        <v>538</v>
      </c>
      <c r="K130" s="10">
        <f t="shared" si="52"/>
        <v>538</v>
      </c>
      <c r="L130" s="16" t="e">
        <f t="shared" si="57"/>
        <v>#DIV/0!</v>
      </c>
      <c r="M130" s="222" t="s">
        <v>288</v>
      </c>
      <c r="N130" s="223"/>
      <c r="O130" s="122">
        <f t="shared" si="58"/>
        <v>538</v>
      </c>
      <c r="P130" s="123" t="e">
        <f t="shared" si="59"/>
        <v>#DIV/0!</v>
      </c>
      <c r="Q130" s="115"/>
      <c r="S130">
        <f t="shared" si="48"/>
        <v>0</v>
      </c>
      <c r="T130" s="44">
        <f>E130+апр!I130</f>
        <v>0</v>
      </c>
      <c r="U130" s="30">
        <f>F130+апр!J130</f>
        <v>0</v>
      </c>
    </row>
    <row r="131" spans="1:21" ht="17.25" customHeight="1">
      <c r="A131" s="18" t="s">
        <v>261</v>
      </c>
      <c r="B131" s="9" t="s">
        <v>122</v>
      </c>
      <c r="C131" s="8" t="s">
        <v>4</v>
      </c>
      <c r="D131" s="10">
        <v>69.783000000000001</v>
      </c>
      <c r="E131" s="8">
        <v>69.75</v>
      </c>
      <c r="F131" s="54"/>
      <c r="G131" s="10">
        <f t="shared" si="51"/>
        <v>-69.75</v>
      </c>
      <c r="H131" s="10">
        <f>D131+октябрь!H131</f>
        <v>767.61300000000006</v>
      </c>
      <c r="I131" s="8">
        <f>E131+сентябрь!I131</f>
        <v>697.5</v>
      </c>
      <c r="J131" s="183">
        <f>F131+сентябрь!J131</f>
        <v>626.25</v>
      </c>
      <c r="K131" s="10">
        <f t="shared" si="52"/>
        <v>-71.25</v>
      </c>
      <c r="L131" s="16">
        <f t="shared" si="57"/>
        <v>-10.21505376344086</v>
      </c>
      <c r="M131" s="220"/>
      <c r="N131" s="221"/>
      <c r="O131" s="122">
        <f t="shared" si="58"/>
        <v>-141.36300000000006</v>
      </c>
      <c r="P131" s="123">
        <f t="shared" si="59"/>
        <v>-18.415920522450772</v>
      </c>
      <c r="Q131" s="114">
        <f>417.5+208.75</f>
        <v>626.25</v>
      </c>
      <c r="S131">
        <f t="shared" si="48"/>
        <v>348.91500000000002</v>
      </c>
      <c r="T131" s="44">
        <f>E131+апр!I131</f>
        <v>348.75</v>
      </c>
      <c r="U131" s="30">
        <f>F131+апр!J131</f>
        <v>208.75</v>
      </c>
    </row>
    <row r="132" spans="1:21" ht="54.75" customHeight="1">
      <c r="A132" s="18" t="s">
        <v>262</v>
      </c>
      <c r="B132" s="9" t="s">
        <v>123</v>
      </c>
      <c r="C132" s="8" t="s">
        <v>4</v>
      </c>
      <c r="D132" s="10"/>
      <c r="E132" s="8"/>
      <c r="F132" s="8"/>
      <c r="G132" s="10">
        <f t="shared" si="51"/>
        <v>0</v>
      </c>
      <c r="H132" s="10">
        <f>D132+октябрь!H132</f>
        <v>0</v>
      </c>
      <c r="I132" s="8">
        <f>E132+сентябрь!I132</f>
        <v>0</v>
      </c>
      <c r="J132" s="54">
        <f>F132+сентябрь!J132</f>
        <v>0</v>
      </c>
      <c r="K132" s="10">
        <f t="shared" si="52"/>
        <v>0</v>
      </c>
      <c r="L132" s="16"/>
      <c r="M132" s="220"/>
      <c r="N132" s="221"/>
      <c r="O132" s="122">
        <f t="shared" si="58"/>
        <v>0</v>
      </c>
      <c r="P132" s="123" t="e">
        <f t="shared" si="59"/>
        <v>#DIV/0!</v>
      </c>
      <c r="Q132" s="114"/>
      <c r="S132">
        <f t="shared" si="48"/>
        <v>0</v>
      </c>
      <c r="T132" s="44">
        <f>E132+апр!I132</f>
        <v>0</v>
      </c>
      <c r="U132" s="30">
        <f>F132+апр!J132</f>
        <v>0</v>
      </c>
    </row>
    <row r="133" spans="1:21" ht="54" customHeight="1">
      <c r="A133" s="18" t="s">
        <v>264</v>
      </c>
      <c r="B133" s="9" t="s">
        <v>124</v>
      </c>
      <c r="C133" s="8" t="s">
        <v>4</v>
      </c>
      <c r="D133" s="10"/>
      <c r="E133" s="8"/>
      <c r="F133" s="8"/>
      <c r="G133" s="10">
        <f t="shared" si="51"/>
        <v>0</v>
      </c>
      <c r="H133" s="10">
        <f>D133+октябрь!H133</f>
        <v>0</v>
      </c>
      <c r="I133" s="8">
        <f>E133+сентябрь!I133</f>
        <v>0</v>
      </c>
      <c r="J133" s="54">
        <f>F133+сентябрь!J133</f>
        <v>0</v>
      </c>
      <c r="K133" s="10">
        <f t="shared" si="52"/>
        <v>0</v>
      </c>
      <c r="L133" s="16"/>
      <c r="M133" s="220"/>
      <c r="N133" s="221"/>
      <c r="O133" s="122">
        <f t="shared" si="58"/>
        <v>0</v>
      </c>
      <c r="P133" s="123" t="e">
        <f t="shared" si="59"/>
        <v>#DIV/0!</v>
      </c>
      <c r="Q133" s="114"/>
      <c r="S133">
        <f t="shared" si="48"/>
        <v>0</v>
      </c>
      <c r="T133" s="44">
        <f>E133+апр!I133</f>
        <v>0</v>
      </c>
      <c r="U133" s="30">
        <f>F133+апр!J133</f>
        <v>0</v>
      </c>
    </row>
    <row r="134" spans="1:21" ht="17.25" customHeight="1">
      <c r="A134" s="18" t="s">
        <v>265</v>
      </c>
      <c r="B134" s="26" t="s">
        <v>125</v>
      </c>
      <c r="C134" s="8" t="s">
        <v>4</v>
      </c>
      <c r="D134" s="10">
        <v>6.4749999999999996</v>
      </c>
      <c r="E134" s="8">
        <v>6.5</v>
      </c>
      <c r="F134" s="55"/>
      <c r="G134" s="10">
        <f t="shared" si="51"/>
        <v>-6.5</v>
      </c>
      <c r="H134" s="10">
        <f>D134+октябрь!H134</f>
        <v>71.224999999999994</v>
      </c>
      <c r="I134" s="8">
        <f>E134+сентябрь!I134</f>
        <v>65</v>
      </c>
      <c r="J134" s="183">
        <f>F134+сентябрь!J134</f>
        <v>76.731999999999999</v>
      </c>
      <c r="K134" s="10">
        <f t="shared" si="52"/>
        <v>11.731999999999999</v>
      </c>
      <c r="L134" s="16">
        <f t="shared" si="57"/>
        <v>18.049230769230768</v>
      </c>
      <c r="M134" s="220"/>
      <c r="N134" s="221"/>
      <c r="O134" s="122">
        <f t="shared" si="58"/>
        <v>5.507000000000005</v>
      </c>
      <c r="P134" s="123">
        <f t="shared" si="59"/>
        <v>7.7318357318357398</v>
      </c>
      <c r="Q134" s="114"/>
      <c r="S134">
        <f t="shared" si="48"/>
        <v>32.375</v>
      </c>
      <c r="T134" s="44">
        <f>E134+апр!I134</f>
        <v>32.5</v>
      </c>
      <c r="U134" s="30">
        <f>F134+апр!J134</f>
        <v>0</v>
      </c>
    </row>
    <row r="135" spans="1:21" ht="17.25" customHeight="1">
      <c r="A135" s="18" t="s">
        <v>266</v>
      </c>
      <c r="B135" s="26" t="s">
        <v>232</v>
      </c>
      <c r="C135" s="8" t="s">
        <v>4</v>
      </c>
      <c r="D135" s="10"/>
      <c r="E135" s="8"/>
      <c r="F135" s="8"/>
      <c r="G135" s="10">
        <f t="shared" si="51"/>
        <v>0</v>
      </c>
      <c r="H135" s="10">
        <f>D135+октябрь!H135</f>
        <v>0</v>
      </c>
      <c r="I135" s="8">
        <f>E135+сентябрь!I135</f>
        <v>0</v>
      </c>
      <c r="J135" s="54">
        <f>F135+сентябрь!J135</f>
        <v>0</v>
      </c>
      <c r="K135" s="10">
        <f t="shared" si="52"/>
        <v>0</v>
      </c>
      <c r="L135" s="16"/>
      <c r="M135" s="220"/>
      <c r="N135" s="221"/>
      <c r="O135" s="122">
        <f t="shared" si="58"/>
        <v>0</v>
      </c>
      <c r="P135" s="123" t="e">
        <f t="shared" si="59"/>
        <v>#DIV/0!</v>
      </c>
      <c r="Q135" s="114"/>
      <c r="S135">
        <f t="shared" si="48"/>
        <v>0</v>
      </c>
      <c r="T135" s="44">
        <f>E135+апр!I135</f>
        <v>0</v>
      </c>
      <c r="U135" s="30">
        <f>F135+апр!J135</f>
        <v>0</v>
      </c>
    </row>
    <row r="136" spans="1:21" ht="55.5" customHeight="1">
      <c r="A136" s="18"/>
      <c r="B136" s="26" t="s">
        <v>311</v>
      </c>
      <c r="C136" s="8" t="s">
        <v>4</v>
      </c>
      <c r="D136" s="10"/>
      <c r="E136" s="8">
        <v>79.167000000000002</v>
      </c>
      <c r="F136" s="54">
        <v>79.17</v>
      </c>
      <c r="G136" s="10">
        <f t="shared" si="51"/>
        <v>3.0000000000001137E-3</v>
      </c>
      <c r="H136" s="10">
        <f>D136+октябрь!H136</f>
        <v>0</v>
      </c>
      <c r="I136" s="8">
        <f>E136+сентябрь!I136</f>
        <v>791.67000000000019</v>
      </c>
      <c r="J136" s="183">
        <v>791.69600000000003</v>
      </c>
      <c r="K136" s="10">
        <f t="shared" si="52"/>
        <v>2.5999999999839929E-2</v>
      </c>
      <c r="L136" s="16">
        <f t="shared" si="57"/>
        <v>3.2841966980989455E-3</v>
      </c>
      <c r="M136" s="198"/>
      <c r="N136" s="199"/>
      <c r="O136" s="122">
        <f t="shared" si="58"/>
        <v>791.69600000000003</v>
      </c>
      <c r="P136" s="123" t="e">
        <f t="shared" si="59"/>
        <v>#DIV/0!</v>
      </c>
      <c r="Q136" s="114"/>
      <c r="S136">
        <f t="shared" si="48"/>
        <v>0</v>
      </c>
      <c r="T136" s="44">
        <f>E136+апр!I136</f>
        <v>395.83500000000004</v>
      </c>
      <c r="U136" s="30">
        <f>F136+апр!J136</f>
        <v>395.84600000000006</v>
      </c>
    </row>
    <row r="137" spans="1:21" ht="55.5" customHeight="1">
      <c r="A137" s="18"/>
      <c r="B137" s="26" t="s">
        <v>312</v>
      </c>
      <c r="C137" s="8" t="s">
        <v>4</v>
      </c>
      <c r="D137" s="10"/>
      <c r="E137" s="8">
        <v>83.332999999999998</v>
      </c>
      <c r="F137" s="54"/>
      <c r="G137" s="10">
        <f t="shared" si="51"/>
        <v>-83.332999999999998</v>
      </c>
      <c r="H137" s="10">
        <f>D137+октябрь!H137</f>
        <v>0</v>
      </c>
      <c r="I137" s="8">
        <f>E137+сентябрь!I137</f>
        <v>833.32999999999981</v>
      </c>
      <c r="J137" s="183">
        <f>F137+сентябрь!J137</f>
        <v>750</v>
      </c>
      <c r="K137" s="10">
        <f t="shared" si="52"/>
        <v>-83.329999999999814</v>
      </c>
      <c r="L137" s="16">
        <f t="shared" si="57"/>
        <v>-9.9996399985599744</v>
      </c>
      <c r="M137" s="198"/>
      <c r="N137" s="199"/>
      <c r="O137" s="122">
        <f t="shared" si="58"/>
        <v>750</v>
      </c>
      <c r="P137" s="123" t="e">
        <f t="shared" si="59"/>
        <v>#DIV/0!</v>
      </c>
      <c r="Q137" s="114">
        <f>500+250</f>
        <v>750</v>
      </c>
      <c r="R137" s="30">
        <f>F145-R145</f>
        <v>726.2800000000002</v>
      </c>
      <c r="S137">
        <f t="shared" ref="S137:S207" si="71">D137*5</f>
        <v>0</v>
      </c>
      <c r="T137" s="44">
        <f>E137+апр!I137</f>
        <v>416.66499999999996</v>
      </c>
      <c r="U137" s="30">
        <f>F137+апр!J137</f>
        <v>250</v>
      </c>
    </row>
    <row r="138" spans="1:21" ht="55.5" customHeight="1">
      <c r="A138" s="18"/>
      <c r="B138" s="26" t="s">
        <v>327</v>
      </c>
      <c r="C138" s="8" t="s">
        <v>4</v>
      </c>
      <c r="D138" s="10"/>
      <c r="E138" s="8"/>
      <c r="F138" s="54"/>
      <c r="G138" s="10"/>
      <c r="H138" s="10">
        <f>D138+октябрь!H138</f>
        <v>0</v>
      </c>
      <c r="I138" s="8"/>
      <c r="J138" s="183">
        <v>357.63</v>
      </c>
      <c r="K138" s="10"/>
      <c r="L138" s="16"/>
      <c r="M138" s="198"/>
      <c r="N138" s="199"/>
      <c r="O138" s="122">
        <f t="shared" si="58"/>
        <v>357.63</v>
      </c>
      <c r="P138" s="123" t="e">
        <f t="shared" si="59"/>
        <v>#DIV/0!</v>
      </c>
      <c r="Q138" s="114"/>
      <c r="R138" s="30"/>
      <c r="T138" s="44"/>
      <c r="U138" s="30"/>
    </row>
    <row r="139" spans="1:21" ht="55.5" customHeight="1">
      <c r="A139" s="18"/>
      <c r="B139" s="26" t="s">
        <v>328</v>
      </c>
      <c r="C139" s="8" t="s">
        <v>4</v>
      </c>
      <c r="D139" s="10"/>
      <c r="E139" s="8"/>
      <c r="F139" s="54"/>
      <c r="G139" s="10"/>
      <c r="H139" s="10">
        <f>D139+октябрь!H139</f>
        <v>0</v>
      </c>
      <c r="I139" s="8"/>
      <c r="J139" s="183">
        <f>F139+сентябрь!J139</f>
        <v>27.808</v>
      </c>
      <c r="K139" s="10"/>
      <c r="L139" s="16"/>
      <c r="M139" s="198"/>
      <c r="N139" s="199"/>
      <c r="O139" s="122">
        <f t="shared" si="58"/>
        <v>27.808</v>
      </c>
      <c r="P139" s="123" t="e">
        <f t="shared" si="59"/>
        <v>#DIV/0!</v>
      </c>
      <c r="Q139" s="114"/>
      <c r="R139" s="30"/>
      <c r="T139" s="44"/>
      <c r="U139" s="30"/>
    </row>
    <row r="140" spans="1:21" ht="55.5" customHeight="1">
      <c r="A140" s="18"/>
      <c r="B140" s="26" t="s">
        <v>336</v>
      </c>
      <c r="C140" s="8" t="s">
        <v>4</v>
      </c>
      <c r="D140" s="10"/>
      <c r="E140" s="8"/>
      <c r="F140" s="54"/>
      <c r="G140" s="10"/>
      <c r="H140" s="10">
        <f>D140+октябрь!H140</f>
        <v>0</v>
      </c>
      <c r="I140" s="8"/>
      <c r="J140" s="183">
        <v>8.4369999999999994</v>
      </c>
      <c r="K140" s="10">
        <f t="shared" ref="K140:K143" si="72">J140-I140</f>
        <v>8.4369999999999994</v>
      </c>
      <c r="L140" s="16" t="e">
        <f t="shared" ref="L140:L143" si="73">K140/I140*100</f>
        <v>#DIV/0!</v>
      </c>
      <c r="M140" s="198"/>
      <c r="N140" s="199"/>
      <c r="O140" s="122">
        <f t="shared" si="58"/>
        <v>8.4369999999999994</v>
      </c>
      <c r="P140" s="123" t="e">
        <f t="shared" si="59"/>
        <v>#DIV/0!</v>
      </c>
      <c r="Q140" s="114"/>
      <c r="R140" s="30"/>
      <c r="T140" s="44"/>
      <c r="U140" s="30"/>
    </row>
    <row r="141" spans="1:21" ht="83.25" customHeight="1">
      <c r="A141" s="18"/>
      <c r="B141" s="26" t="s">
        <v>337</v>
      </c>
      <c r="C141" s="8" t="s">
        <v>4</v>
      </c>
      <c r="D141" s="10"/>
      <c r="E141" s="8"/>
      <c r="F141" s="54"/>
      <c r="G141" s="10"/>
      <c r="H141" s="10">
        <f>D141+октябрь!H141</f>
        <v>0</v>
      </c>
      <c r="I141" s="8"/>
      <c r="J141" s="183">
        <v>110</v>
      </c>
      <c r="K141" s="10">
        <f t="shared" si="72"/>
        <v>110</v>
      </c>
      <c r="L141" s="16" t="e">
        <f t="shared" si="73"/>
        <v>#DIV/0!</v>
      </c>
      <c r="M141" s="198"/>
      <c r="N141" s="199"/>
      <c r="O141" s="122">
        <f t="shared" si="58"/>
        <v>110</v>
      </c>
      <c r="P141" s="123" t="e">
        <f t="shared" si="59"/>
        <v>#DIV/0!</v>
      </c>
      <c r="Q141" s="114"/>
      <c r="R141" s="30"/>
      <c r="T141" s="44"/>
      <c r="U141" s="30"/>
    </row>
    <row r="142" spans="1:21" ht="90.75" customHeight="1">
      <c r="A142" s="18"/>
      <c r="B142" s="26" t="s">
        <v>338</v>
      </c>
      <c r="C142" s="8" t="s">
        <v>4</v>
      </c>
      <c r="D142" s="10"/>
      <c r="E142" s="8"/>
      <c r="F142" s="54"/>
      <c r="G142" s="10"/>
      <c r="H142" s="10">
        <f>D142+октябрь!H142</f>
        <v>0</v>
      </c>
      <c r="I142" s="8"/>
      <c r="J142" s="183">
        <v>310</v>
      </c>
      <c r="K142" s="10">
        <f t="shared" si="72"/>
        <v>310</v>
      </c>
      <c r="L142" s="16" t="e">
        <f t="shared" si="73"/>
        <v>#DIV/0!</v>
      </c>
      <c r="M142" s="198"/>
      <c r="N142" s="199"/>
      <c r="O142" s="122">
        <f t="shared" si="58"/>
        <v>310</v>
      </c>
      <c r="P142" s="123" t="e">
        <f t="shared" si="59"/>
        <v>#DIV/0!</v>
      </c>
      <c r="Q142" s="114"/>
      <c r="R142" s="30"/>
      <c r="T142" s="44"/>
      <c r="U142" s="30"/>
    </row>
    <row r="143" spans="1:21" ht="33.75" customHeight="1">
      <c r="A143" s="18"/>
      <c r="B143" s="26" t="s">
        <v>340</v>
      </c>
      <c r="C143" s="8" t="s">
        <v>4</v>
      </c>
      <c r="D143" s="10"/>
      <c r="E143" s="8"/>
      <c r="F143" s="54"/>
      <c r="G143" s="10"/>
      <c r="H143" s="10"/>
      <c r="I143" s="8"/>
      <c r="J143" s="54">
        <f>F143+сентябрь!J143</f>
        <v>0</v>
      </c>
      <c r="K143" s="10">
        <f t="shared" si="72"/>
        <v>0</v>
      </c>
      <c r="L143" s="16" t="e">
        <f t="shared" si="73"/>
        <v>#DIV/0!</v>
      </c>
      <c r="M143" s="198"/>
      <c r="N143" s="199"/>
      <c r="O143" s="122">
        <f t="shared" si="58"/>
        <v>0</v>
      </c>
      <c r="P143" s="123" t="e">
        <f t="shared" si="59"/>
        <v>#DIV/0!</v>
      </c>
      <c r="Q143" s="114"/>
      <c r="R143" s="30"/>
      <c r="T143" s="44"/>
      <c r="U143" s="30"/>
    </row>
    <row r="144" spans="1:21" ht="33.75" customHeight="1">
      <c r="A144" s="18"/>
      <c r="B144" s="26" t="s">
        <v>352</v>
      </c>
      <c r="C144" s="8"/>
      <c r="D144" s="10"/>
      <c r="E144" s="8"/>
      <c r="F144" s="54">
        <v>52</v>
      </c>
      <c r="G144" s="10"/>
      <c r="H144" s="10"/>
      <c r="I144" s="8"/>
      <c r="J144" s="54"/>
      <c r="K144" s="10"/>
      <c r="L144" s="16"/>
      <c r="M144" s="208"/>
      <c r="N144" s="209"/>
      <c r="O144" s="122"/>
      <c r="P144" s="123"/>
      <c r="Q144" s="114"/>
      <c r="R144" s="30"/>
      <c r="T144" s="44"/>
      <c r="U144" s="30"/>
    </row>
    <row r="145" spans="1:21" ht="17.25" customHeight="1">
      <c r="A145" s="206" t="s">
        <v>126</v>
      </c>
      <c r="B145" s="6" t="s">
        <v>127</v>
      </c>
      <c r="C145" s="8" t="s">
        <v>4</v>
      </c>
      <c r="D145" s="7">
        <f t="shared" ref="D145:J145" si="74">D146</f>
        <v>3385.116</v>
      </c>
      <c r="E145" s="7">
        <f t="shared" si="74"/>
        <v>2989.2490000000003</v>
      </c>
      <c r="F145" s="7">
        <f t="shared" si="74"/>
        <v>3150.663</v>
      </c>
      <c r="G145" s="10">
        <f t="shared" si="51"/>
        <v>161.41399999999976</v>
      </c>
      <c r="H145" s="7">
        <f t="shared" si="74"/>
        <v>45365.009173229213</v>
      </c>
      <c r="I145" s="7">
        <f t="shared" si="74"/>
        <v>28441.053780617684</v>
      </c>
      <c r="J145" s="7">
        <f t="shared" si="74"/>
        <v>29622.412999999997</v>
      </c>
      <c r="K145" s="10">
        <f t="shared" si="52"/>
        <v>1181.3592193823133</v>
      </c>
      <c r="L145" s="16">
        <f t="shared" si="57"/>
        <v>4.1537111405745408</v>
      </c>
      <c r="M145" s="220"/>
      <c r="N145" s="221"/>
      <c r="O145" s="122">
        <f t="shared" si="58"/>
        <v>-15742.596173229216</v>
      </c>
      <c r="P145" s="123">
        <f t="shared" si="59"/>
        <v>-34.702067651116522</v>
      </c>
      <c r="Q145" s="114"/>
      <c r="R145">
        <v>2424.3829999999998</v>
      </c>
      <c r="S145">
        <f t="shared" si="71"/>
        <v>16925.580000000002</v>
      </c>
      <c r="T145" s="44">
        <f>E145+апр!I138</f>
        <v>14946.245000000001</v>
      </c>
      <c r="U145" s="30">
        <f>F145+апр!J138</f>
        <v>12323.859000000002</v>
      </c>
    </row>
    <row r="146" spans="1:21" ht="17.25" customHeight="1">
      <c r="A146" s="206">
        <v>6</v>
      </c>
      <c r="B146" s="6" t="s">
        <v>128</v>
      </c>
      <c r="C146" s="206" t="s">
        <v>4</v>
      </c>
      <c r="D146" s="7">
        <f>D147+D152+D153+D154+D155+D156+D157+D158+D161+D163+D179+D183+D184+D186+D191+D190+D195</f>
        <v>3385.116</v>
      </c>
      <c r="E146" s="7">
        <f t="shared" ref="E146:F146" si="75">E147+E152+E153+E154+E155+E156+E157+E158+E161+E163+E179+E183+E184+E186+E191+E190+E195</f>
        <v>2989.2490000000003</v>
      </c>
      <c r="F146" s="7">
        <f t="shared" si="75"/>
        <v>3150.663</v>
      </c>
      <c r="G146" s="10">
        <f>F146-E146</f>
        <v>161.41399999999976</v>
      </c>
      <c r="H146" s="7">
        <f>H147+H152+H153+H154+H155+H156+H157+H158+H161+H163+H179+H183+H184+H186+H191+H190+H195</f>
        <v>45365.009173229213</v>
      </c>
      <c r="I146" s="7">
        <f t="shared" ref="I146:J146" si="76">I147+I152+I153+I154+I155+I156+I157+I158+I161+I163+I179+I183+I184+I186+I191+I190+I195</f>
        <v>28441.053780617684</v>
      </c>
      <c r="J146" s="89">
        <f t="shared" si="76"/>
        <v>29622.412999999997</v>
      </c>
      <c r="K146" s="10">
        <f t="shared" si="52"/>
        <v>1181.3592193823133</v>
      </c>
      <c r="L146" s="16">
        <f t="shared" si="57"/>
        <v>4.1537111405745408</v>
      </c>
      <c r="M146" s="220"/>
      <c r="N146" s="221"/>
      <c r="O146" s="122">
        <f t="shared" si="58"/>
        <v>-15742.596173229216</v>
      </c>
      <c r="P146" s="123">
        <f t="shared" si="59"/>
        <v>-34.702067651116522</v>
      </c>
      <c r="Q146" s="114"/>
      <c r="S146">
        <f t="shared" si="71"/>
        <v>16925.580000000002</v>
      </c>
      <c r="T146" s="44">
        <f>E146+апр!I139</f>
        <v>14946.245000000001</v>
      </c>
      <c r="U146" s="30">
        <f>F146+апр!J139</f>
        <v>12323.859000000002</v>
      </c>
    </row>
    <row r="147" spans="1:21" ht="17.25" customHeight="1">
      <c r="A147" s="206" t="s">
        <v>129</v>
      </c>
      <c r="B147" s="6" t="s">
        <v>130</v>
      </c>
      <c r="C147" s="206" t="s">
        <v>4</v>
      </c>
      <c r="D147" s="7">
        <f t="shared" ref="D147:F147" si="77">D148+D149</f>
        <v>97.608999999999995</v>
      </c>
      <c r="E147" s="7">
        <f t="shared" si="77"/>
        <v>97.582999999999998</v>
      </c>
      <c r="F147" s="7">
        <f t="shared" si="77"/>
        <v>97.138000000000005</v>
      </c>
      <c r="G147" s="10">
        <f t="shared" ref="G147:G211" si="78">F147-E147</f>
        <v>-0.44499999999999318</v>
      </c>
      <c r="H147" s="7">
        <f t="shared" ref="H147:J147" si="79">H148+H149</f>
        <v>817.96550656254351</v>
      </c>
      <c r="I147" s="7">
        <f t="shared" si="79"/>
        <v>719.96878061767836</v>
      </c>
      <c r="J147" s="7">
        <f t="shared" si="79"/>
        <v>874.06100000000015</v>
      </c>
      <c r="K147" s="10">
        <f t="shared" ref="K147:K211" si="80">J147-I147</f>
        <v>154.09221938232179</v>
      </c>
      <c r="L147" s="16">
        <f t="shared" si="57"/>
        <v>21.402625159680174</v>
      </c>
      <c r="M147" s="220"/>
      <c r="N147" s="221"/>
      <c r="O147" s="122">
        <f t="shared" si="58"/>
        <v>56.095493437456639</v>
      </c>
      <c r="P147" s="123">
        <f t="shared" si="59"/>
        <v>6.8579289697917654</v>
      </c>
      <c r="Q147" s="114"/>
      <c r="S147">
        <f t="shared" si="71"/>
        <v>488.04499999999996</v>
      </c>
      <c r="T147" s="44">
        <f>E147+апр!I140</f>
        <v>487.91499999999996</v>
      </c>
      <c r="U147" s="30">
        <f>F147+апр!J140</f>
        <v>390.13600000000008</v>
      </c>
    </row>
    <row r="148" spans="1:21" ht="37.5">
      <c r="A148" s="8" t="s">
        <v>131</v>
      </c>
      <c r="B148" s="9" t="s">
        <v>132</v>
      </c>
      <c r="C148" s="8" t="s">
        <v>4</v>
      </c>
      <c r="D148" s="10">
        <v>42.552999999999997</v>
      </c>
      <c r="E148" s="10">
        <v>42.5</v>
      </c>
      <c r="F148" s="10">
        <v>42.503999999999998</v>
      </c>
      <c r="G148" s="10">
        <f t="shared" si="78"/>
        <v>3.9999999999977831E-3</v>
      </c>
      <c r="H148" s="10">
        <f>D148+октябрь!H147</f>
        <v>468.08299999999997</v>
      </c>
      <c r="I148" s="8">
        <f>E148+сентябрь!I147</f>
        <v>425</v>
      </c>
      <c r="J148" s="183">
        <f>F148+сентябрь!J147</f>
        <v>409.45800000000008</v>
      </c>
      <c r="K148" s="10">
        <f t="shared" si="80"/>
        <v>-15.541999999999916</v>
      </c>
      <c r="L148" s="16">
        <f t="shared" si="57"/>
        <v>-3.6569411764705686</v>
      </c>
      <c r="M148" s="220"/>
      <c r="N148" s="221"/>
      <c r="O148" s="122">
        <f t="shared" si="58"/>
        <v>-58.624999999999886</v>
      </c>
      <c r="P148" s="123">
        <f t="shared" si="59"/>
        <v>-12.524488178378599</v>
      </c>
      <c r="Q148" s="114">
        <f>127.47+142.295+139.679</f>
        <v>409.44399999999996</v>
      </c>
      <c r="S148">
        <f t="shared" si="71"/>
        <v>212.76499999999999</v>
      </c>
      <c r="T148" s="44">
        <f>E148+апр!I141</f>
        <v>212.5</v>
      </c>
      <c r="U148" s="30">
        <f>F148+апр!J141</f>
        <v>199.54900000000001</v>
      </c>
    </row>
    <row r="149" spans="1:21" ht="17.25" customHeight="1">
      <c r="A149" s="8" t="s">
        <v>133</v>
      </c>
      <c r="B149" s="9" t="s">
        <v>63</v>
      </c>
      <c r="C149" s="8" t="s">
        <v>4</v>
      </c>
      <c r="D149" s="10">
        <v>55.055999999999997</v>
      </c>
      <c r="E149" s="8">
        <v>55.082999999999998</v>
      </c>
      <c r="F149" s="8">
        <v>54.634</v>
      </c>
      <c r="G149" s="10">
        <f t="shared" si="78"/>
        <v>-0.44899999999999807</v>
      </c>
      <c r="H149" s="10">
        <f>D149+октябрь!H148</f>
        <v>349.88250656254354</v>
      </c>
      <c r="I149" s="8">
        <f>E149+сентябрь!I148</f>
        <v>294.96878061767836</v>
      </c>
      <c r="J149" s="183">
        <v>464.60300000000001</v>
      </c>
      <c r="K149" s="10">
        <f t="shared" si="80"/>
        <v>169.63421938232165</v>
      </c>
      <c r="L149" s="16">
        <f t="shared" si="57"/>
        <v>57.50921132300838</v>
      </c>
      <c r="M149" s="220"/>
      <c r="N149" s="221"/>
      <c r="O149" s="122">
        <f t="shared" si="58"/>
        <v>114.72049343745647</v>
      </c>
      <c r="P149" s="123">
        <f t="shared" si="59"/>
        <v>32.788290722088306</v>
      </c>
      <c r="Q149" s="114">
        <f>126.666+337.937</f>
        <v>464.60300000000001</v>
      </c>
      <c r="S149">
        <f t="shared" si="71"/>
        <v>275.27999999999997</v>
      </c>
      <c r="T149" s="44">
        <f>E149+апр!I142</f>
        <v>275.41499999999996</v>
      </c>
      <c r="U149" s="30">
        <f>F149+апр!J142</f>
        <v>190.58699999999999</v>
      </c>
    </row>
    <row r="150" spans="1:21" s="144" customFormat="1" ht="17.25" customHeight="1">
      <c r="A150" s="55"/>
      <c r="B150" s="136" t="s">
        <v>68</v>
      </c>
      <c r="C150" s="137" t="s">
        <v>66</v>
      </c>
      <c r="D150" s="138">
        <v>2816.6669999999999</v>
      </c>
      <c r="E150" s="139">
        <v>2817</v>
      </c>
      <c r="F150" s="139">
        <v>2795</v>
      </c>
      <c r="G150" s="54">
        <f t="shared" si="78"/>
        <v>-22</v>
      </c>
      <c r="H150" s="10">
        <f>D150+октябрь!H149</f>
        <v>23655.125</v>
      </c>
      <c r="I150" s="8">
        <f>E150+сентябрь!I149</f>
        <v>21167.084999999999</v>
      </c>
      <c r="J150" s="183">
        <v>23770</v>
      </c>
      <c r="K150" s="54">
        <f t="shared" si="80"/>
        <v>2602.9150000000009</v>
      </c>
      <c r="L150" s="140"/>
      <c r="M150" s="259"/>
      <c r="N150" s="260"/>
      <c r="O150" s="141">
        <f t="shared" si="58"/>
        <v>114.875</v>
      </c>
      <c r="P150" s="142">
        <f t="shared" si="59"/>
        <v>0.4856241512145888</v>
      </c>
      <c r="Q150" s="143"/>
      <c r="S150" s="144">
        <f t="shared" si="71"/>
        <v>14083.334999999999</v>
      </c>
      <c r="T150" s="145">
        <f>E150+апр!I143</f>
        <v>2817</v>
      </c>
      <c r="U150" s="146">
        <f>F150+апр!J143</f>
        <v>3347</v>
      </c>
    </row>
    <row r="151" spans="1:21" ht="17.25" customHeight="1">
      <c r="A151" s="8"/>
      <c r="B151" s="12" t="s">
        <v>15</v>
      </c>
      <c r="C151" s="13" t="s">
        <v>16</v>
      </c>
      <c r="D151" s="16">
        <f t="shared" ref="D151:F151" si="81">D149/D150*1000</f>
        <v>19.546506562543602</v>
      </c>
      <c r="E151" s="16">
        <f t="shared" si="81"/>
        <v>19.553780617678381</v>
      </c>
      <c r="F151" s="16">
        <f t="shared" si="81"/>
        <v>19.547048300536673</v>
      </c>
      <c r="G151" s="10">
        <f t="shared" si="78"/>
        <v>-6.7323171417079664E-3</v>
      </c>
      <c r="H151" s="16">
        <f t="shared" ref="H151:I151" si="82">H149/H150*1000</f>
        <v>14.790981090251838</v>
      </c>
      <c r="I151" s="16">
        <f t="shared" si="82"/>
        <v>13.935257529210016</v>
      </c>
      <c r="J151" s="16">
        <f>J149/J150*1000</f>
        <v>19.545771981489271</v>
      </c>
      <c r="K151" s="10">
        <f t="shared" si="80"/>
        <v>5.6105144522792543</v>
      </c>
      <c r="L151" s="16"/>
      <c r="M151" s="220"/>
      <c r="N151" s="221"/>
      <c r="O151" s="122">
        <f t="shared" si="58"/>
        <v>4.7547908912374321</v>
      </c>
      <c r="P151" s="123">
        <f t="shared" si="59"/>
        <v>32.146555135352919</v>
      </c>
      <c r="Q151" s="114"/>
      <c r="S151">
        <f t="shared" si="71"/>
        <v>97.732532812718006</v>
      </c>
      <c r="T151" s="44">
        <f>E151+апр!I144</f>
        <v>19.553780617678381</v>
      </c>
      <c r="U151" s="30">
        <f>F151+апр!J144</f>
        <v>265.83871496720332</v>
      </c>
    </row>
    <row r="152" spans="1:21" ht="32.25" customHeight="1">
      <c r="A152" s="8" t="s">
        <v>134</v>
      </c>
      <c r="B152" s="9" t="s">
        <v>135</v>
      </c>
      <c r="C152" s="8" t="s">
        <v>4</v>
      </c>
      <c r="D152" s="10">
        <v>1914.3579999999999</v>
      </c>
      <c r="E152" s="8">
        <v>1416.4169999999999</v>
      </c>
      <c r="F152" s="54">
        <v>945.45299999999997</v>
      </c>
      <c r="G152" s="10">
        <f t="shared" si="78"/>
        <v>-470.96399999999994</v>
      </c>
      <c r="H152" s="10">
        <f>D152+октябрь!H151</f>
        <v>21057.937999999998</v>
      </c>
      <c r="I152" s="8">
        <f>E152+сентябрь!I151</f>
        <v>14164.169999999996</v>
      </c>
      <c r="J152" s="183">
        <v>14111.103999999999</v>
      </c>
      <c r="K152" s="10">
        <f t="shared" si="80"/>
        <v>-53.065999999997075</v>
      </c>
      <c r="L152" s="16">
        <f>K152/I152*100</f>
        <v>-0.37464955588641685</v>
      </c>
      <c r="M152" s="227"/>
      <c r="N152" s="228"/>
      <c r="O152" s="122">
        <f>J152-H152</f>
        <v>-6946.8339999999989</v>
      </c>
      <c r="P152" s="123">
        <f>O152/H152*100</f>
        <v>-32.98914642069893</v>
      </c>
      <c r="Q152" s="116">
        <f>6365.162+4070.316+3675.626</f>
        <v>14111.103999999999</v>
      </c>
      <c r="S152">
        <f t="shared" si="71"/>
        <v>9571.7899999999991</v>
      </c>
      <c r="T152" s="44">
        <f>E152+апр!I145</f>
        <v>7082.0849999999991</v>
      </c>
      <c r="U152" s="30">
        <f>F152+апр!J145</f>
        <v>6363.5020000000004</v>
      </c>
    </row>
    <row r="153" spans="1:21" ht="17.25" customHeight="1">
      <c r="A153" s="8" t="s">
        <v>136</v>
      </c>
      <c r="B153" s="9" t="s">
        <v>77</v>
      </c>
      <c r="C153" s="8" t="s">
        <v>4</v>
      </c>
      <c r="D153" s="10">
        <v>105.29</v>
      </c>
      <c r="E153" s="10">
        <v>76.5</v>
      </c>
      <c r="F153" s="55">
        <v>55.360999999999997</v>
      </c>
      <c r="G153" s="10">
        <f t="shared" si="78"/>
        <v>-21.139000000000003</v>
      </c>
      <c r="H153" s="10">
        <f>D153+октябрь!H152</f>
        <v>631.74</v>
      </c>
      <c r="I153" s="8">
        <f>E153+сентябрь!I152</f>
        <v>765</v>
      </c>
      <c r="J153" s="183">
        <f>227.467+370.24+218.088</f>
        <v>815.79499999999996</v>
      </c>
      <c r="K153" s="10">
        <f t="shared" si="80"/>
        <v>50.794999999999959</v>
      </c>
      <c r="L153" s="16">
        <f t="shared" si="57"/>
        <v>6.6398692810457458</v>
      </c>
      <c r="M153" s="227"/>
      <c r="N153" s="228"/>
      <c r="O153" s="122">
        <f t="shared" ref="O153:O217" si="83">J153-H153</f>
        <v>184.05499999999995</v>
      </c>
      <c r="P153" s="123">
        <f t="shared" ref="P153:P217" si="84">O153/H153*100</f>
        <v>29.134612340519826</v>
      </c>
      <c r="Q153" s="116"/>
      <c r="S153">
        <f t="shared" si="71"/>
        <v>526.45000000000005</v>
      </c>
      <c r="T153" s="44">
        <f>E153+апр!I146</f>
        <v>382.5</v>
      </c>
      <c r="U153" s="30">
        <f>F153+апр!J146</f>
        <v>377.78</v>
      </c>
    </row>
    <row r="154" spans="1:21" ht="17.25" customHeight="1">
      <c r="A154" s="8"/>
      <c r="B154" s="9" t="s">
        <v>307</v>
      </c>
      <c r="C154" s="8" t="s">
        <v>4</v>
      </c>
      <c r="D154" s="10">
        <v>84.231999999999999</v>
      </c>
      <c r="E154" s="10">
        <v>63.75</v>
      </c>
      <c r="F154" s="55">
        <v>33.273000000000003</v>
      </c>
      <c r="G154" s="10">
        <f t="shared" si="78"/>
        <v>-30.476999999999997</v>
      </c>
      <c r="H154" s="10">
        <f>D154+октябрь!H153</f>
        <v>505.39199999999994</v>
      </c>
      <c r="I154" s="8">
        <f>E154+сентябрь!I153</f>
        <v>637.5</v>
      </c>
      <c r="J154" s="183">
        <f>101.699+166.272+121.78</f>
        <v>389.75099999999998</v>
      </c>
      <c r="K154" s="10">
        <f t="shared" si="80"/>
        <v>-247.74900000000002</v>
      </c>
      <c r="L154" s="16">
        <f t="shared" si="57"/>
        <v>-38.862588235294119</v>
      </c>
      <c r="M154" s="203"/>
      <c r="N154" s="204"/>
      <c r="O154" s="122">
        <f t="shared" si="83"/>
        <v>-115.64099999999996</v>
      </c>
      <c r="P154" s="123">
        <f t="shared" si="84"/>
        <v>-22.881446481147304</v>
      </c>
      <c r="Q154" s="116"/>
      <c r="S154">
        <f t="shared" si="71"/>
        <v>421.15999999999997</v>
      </c>
      <c r="T154" s="44">
        <f>E154+апр!I147</f>
        <v>318.75</v>
      </c>
      <c r="U154" s="30">
        <f>F154+апр!J147</f>
        <v>184.76699999999997</v>
      </c>
    </row>
    <row r="155" spans="1:21" ht="17.25" customHeight="1">
      <c r="A155" s="8"/>
      <c r="B155" s="9" t="s">
        <v>310</v>
      </c>
      <c r="C155" s="8" t="s">
        <v>4</v>
      </c>
      <c r="D155" s="10"/>
      <c r="E155" s="10">
        <v>21.25</v>
      </c>
      <c r="F155" s="55">
        <v>15.468999999999999</v>
      </c>
      <c r="G155" s="10">
        <f t="shared" si="78"/>
        <v>-5.7810000000000006</v>
      </c>
      <c r="H155" s="10">
        <f>D155+октябрь!H154</f>
        <v>387.9</v>
      </c>
      <c r="I155" s="8">
        <f>E155+сентябрь!I154</f>
        <v>191.25</v>
      </c>
      <c r="J155" s="183">
        <f>59.393+77.288+48.119</f>
        <v>184.79999999999998</v>
      </c>
      <c r="K155" s="10">
        <f t="shared" si="80"/>
        <v>-6.4500000000000171</v>
      </c>
      <c r="L155" s="16">
        <f t="shared" si="57"/>
        <v>-3.372549019607852</v>
      </c>
      <c r="M155" s="203"/>
      <c r="N155" s="204"/>
      <c r="O155" s="122">
        <f t="shared" si="83"/>
        <v>-203.1</v>
      </c>
      <c r="P155" s="123">
        <f t="shared" si="84"/>
        <v>-52.358855375096681</v>
      </c>
      <c r="Q155" s="116"/>
      <c r="S155">
        <f t="shared" si="71"/>
        <v>0</v>
      </c>
      <c r="T155" s="44">
        <f>E155+апр!I148</f>
        <v>106.25</v>
      </c>
      <c r="U155" s="30">
        <f>F155+апр!J148</f>
        <v>84.801999999999992</v>
      </c>
    </row>
    <row r="156" spans="1:21" ht="17.25" customHeight="1">
      <c r="A156" s="8"/>
      <c r="B156" s="9" t="s">
        <v>315</v>
      </c>
      <c r="C156" s="8" t="s">
        <v>4</v>
      </c>
      <c r="D156" s="10"/>
      <c r="E156" s="10"/>
      <c r="F156" s="54"/>
      <c r="G156" s="10">
        <f t="shared" si="78"/>
        <v>0</v>
      </c>
      <c r="H156" s="10">
        <f>D156+октябрь!H155</f>
        <v>1195.7449999999999</v>
      </c>
      <c r="I156" s="8">
        <f>E156+сентябрь!I155</f>
        <v>0</v>
      </c>
      <c r="J156" s="183">
        <f>F156+сентябрь!J155</f>
        <v>211.14000000000004</v>
      </c>
      <c r="K156" s="10"/>
      <c r="L156" s="16"/>
      <c r="M156" s="203"/>
      <c r="N156" s="204"/>
      <c r="O156" s="122">
        <f t="shared" si="83"/>
        <v>-984.60499999999979</v>
      </c>
      <c r="P156" s="123">
        <f t="shared" si="84"/>
        <v>-82.342389054522485</v>
      </c>
      <c r="Q156" s="116"/>
      <c r="S156">
        <f t="shared" si="71"/>
        <v>0</v>
      </c>
      <c r="T156" s="44">
        <f>E156+апр!I149</f>
        <v>0</v>
      </c>
      <c r="U156" s="30">
        <f>F156+апр!J149</f>
        <v>211.14000000000004</v>
      </c>
    </row>
    <row r="157" spans="1:21" ht="17.25" customHeight="1">
      <c r="A157" s="8" t="s">
        <v>137</v>
      </c>
      <c r="B157" s="9" t="s">
        <v>138</v>
      </c>
      <c r="C157" s="8" t="s">
        <v>4</v>
      </c>
      <c r="D157" s="10">
        <v>77.58</v>
      </c>
      <c r="E157" s="8">
        <v>77.582999999999998</v>
      </c>
      <c r="F157" s="55"/>
      <c r="G157" s="10">
        <f t="shared" si="78"/>
        <v>-77.582999999999998</v>
      </c>
      <c r="H157" s="10">
        <f>D157+октябрь!H156</f>
        <v>509.26999999999992</v>
      </c>
      <c r="I157" s="8">
        <f>E157+сентябрь!I156</f>
        <v>775.82999999999981</v>
      </c>
      <c r="J157" s="183">
        <f>858.463+88.575</f>
        <v>947.03800000000001</v>
      </c>
      <c r="K157" s="10">
        <f t="shared" si="80"/>
        <v>171.2080000000002</v>
      </c>
      <c r="L157" s="16">
        <f t="shared" si="57"/>
        <v>22.067721021357801</v>
      </c>
      <c r="M157" s="227" t="s">
        <v>301</v>
      </c>
      <c r="N157" s="228"/>
      <c r="O157" s="122">
        <f t="shared" si="83"/>
        <v>437.76800000000009</v>
      </c>
      <c r="P157" s="123">
        <f t="shared" si="84"/>
        <v>85.959903391128506</v>
      </c>
      <c r="Q157" s="116"/>
      <c r="S157">
        <f t="shared" si="71"/>
        <v>387.9</v>
      </c>
      <c r="T157" s="44">
        <f>E157+апр!I150</f>
        <v>387.91499999999996</v>
      </c>
      <c r="U157" s="30">
        <f>F157+апр!J150</f>
        <v>562.10500000000002</v>
      </c>
    </row>
    <row r="158" spans="1:21" ht="17.25" customHeight="1">
      <c r="A158" s="206" t="s">
        <v>139</v>
      </c>
      <c r="B158" s="6" t="s">
        <v>140</v>
      </c>
      <c r="C158" s="206" t="s">
        <v>4</v>
      </c>
      <c r="D158" s="7">
        <f t="shared" ref="D158:F158" si="85">D159+D160</f>
        <v>239.149</v>
      </c>
      <c r="E158" s="206">
        <v>47.832999999999998</v>
      </c>
      <c r="F158" s="7">
        <f t="shared" si="85"/>
        <v>62.387</v>
      </c>
      <c r="G158" s="10">
        <f t="shared" si="78"/>
        <v>14.554000000000002</v>
      </c>
      <c r="H158" s="7">
        <f t="shared" ref="H158" si="86">H159+H160</f>
        <v>1573.454</v>
      </c>
      <c r="I158" s="8">
        <f>E158+сентябрь!I157</f>
        <v>478.32999999999993</v>
      </c>
      <c r="J158" s="7">
        <f t="shared" ref="J158" si="87">J159+J160</f>
        <v>624.64300000000003</v>
      </c>
      <c r="K158" s="10">
        <f t="shared" si="80"/>
        <v>146.3130000000001</v>
      </c>
      <c r="L158" s="16">
        <f t="shared" si="57"/>
        <v>30.588296782556</v>
      </c>
      <c r="M158" s="220"/>
      <c r="N158" s="221"/>
      <c r="O158" s="122">
        <f t="shared" si="83"/>
        <v>-948.81099999999992</v>
      </c>
      <c r="P158" s="123">
        <f t="shared" si="84"/>
        <v>-60.301159106017707</v>
      </c>
      <c r="Q158" s="114"/>
      <c r="S158">
        <f t="shared" si="71"/>
        <v>1195.7449999999999</v>
      </c>
      <c r="T158" s="44">
        <f>E158+апр!I151</f>
        <v>239.16499999999999</v>
      </c>
      <c r="U158" s="30">
        <f>F158+апр!J151</f>
        <v>240.31800000000001</v>
      </c>
    </row>
    <row r="159" spans="1:21" ht="17.25" customHeight="1">
      <c r="A159" s="8" t="s">
        <v>141</v>
      </c>
      <c r="B159" s="9" t="s">
        <v>81</v>
      </c>
      <c r="C159" s="8" t="s">
        <v>4</v>
      </c>
      <c r="D159" s="10">
        <v>8.7579999999999991</v>
      </c>
      <c r="E159" s="8"/>
      <c r="F159" s="55">
        <v>50.411999999999999</v>
      </c>
      <c r="G159" s="10">
        <f t="shared" si="78"/>
        <v>50.411999999999999</v>
      </c>
      <c r="H159" s="10">
        <f>D159+октябрь!H158</f>
        <v>121.82799999999997</v>
      </c>
      <c r="I159" s="8"/>
      <c r="J159" s="183">
        <v>504.88900000000001</v>
      </c>
      <c r="K159" s="10">
        <f t="shared" si="80"/>
        <v>504.88900000000001</v>
      </c>
      <c r="L159" s="16"/>
      <c r="M159" s="220"/>
      <c r="N159" s="221"/>
      <c r="O159" s="122">
        <f t="shared" si="83"/>
        <v>383.06100000000004</v>
      </c>
      <c r="P159" s="123">
        <f t="shared" si="84"/>
        <v>314.42771776603087</v>
      </c>
      <c r="Q159" s="114">
        <f>151.331+353.558</f>
        <v>504.88900000000001</v>
      </c>
      <c r="S159">
        <f t="shared" si="71"/>
        <v>43.789999999999992</v>
      </c>
      <c r="T159" s="44">
        <f>E159+апр!I152</f>
        <v>0</v>
      </c>
      <c r="U159" s="30">
        <f>F159+апр!J152</f>
        <v>180.44200000000001</v>
      </c>
    </row>
    <row r="160" spans="1:21" ht="17.25" customHeight="1">
      <c r="A160" s="8" t="s">
        <v>142</v>
      </c>
      <c r="B160" s="9" t="s">
        <v>143</v>
      </c>
      <c r="C160" s="8"/>
      <c r="D160" s="10">
        <v>230.39099999999999</v>
      </c>
      <c r="E160" s="8"/>
      <c r="F160" s="55">
        <v>11.975</v>
      </c>
      <c r="G160" s="10">
        <f t="shared" si="78"/>
        <v>11.975</v>
      </c>
      <c r="H160" s="10">
        <f>D160+октябрь!H159</f>
        <v>1451.626</v>
      </c>
      <c r="I160" s="8"/>
      <c r="J160" s="183">
        <v>119.754</v>
      </c>
      <c r="K160" s="10">
        <f t="shared" si="80"/>
        <v>119.754</v>
      </c>
      <c r="L160" s="16"/>
      <c r="M160" s="220"/>
      <c r="N160" s="221"/>
      <c r="O160" s="122">
        <f t="shared" si="83"/>
        <v>-1331.8720000000001</v>
      </c>
      <c r="P160" s="123">
        <f t="shared" si="84"/>
        <v>-91.750354430135587</v>
      </c>
      <c r="Q160" s="114">
        <f>83.828+35.926</f>
        <v>119.754</v>
      </c>
      <c r="S160">
        <f t="shared" si="71"/>
        <v>1151.9549999999999</v>
      </c>
      <c r="T160" s="44">
        <f>E160+апр!I153</f>
        <v>0</v>
      </c>
      <c r="U160" s="30">
        <f>F160+апр!J153</f>
        <v>59.876000000000005</v>
      </c>
    </row>
    <row r="161" spans="1:21" ht="75.75" customHeight="1">
      <c r="A161" s="206" t="s">
        <v>144</v>
      </c>
      <c r="B161" s="6" t="s">
        <v>145</v>
      </c>
      <c r="C161" s="206" t="s">
        <v>4</v>
      </c>
      <c r="D161" s="7">
        <f t="shared" ref="D161:J161" si="88">D162</f>
        <v>13.856</v>
      </c>
      <c r="E161" s="7">
        <f t="shared" si="88"/>
        <v>13.833</v>
      </c>
      <c r="F161" s="7">
        <f t="shared" si="88"/>
        <v>19.762</v>
      </c>
      <c r="G161" s="10">
        <f t="shared" si="78"/>
        <v>5.9290000000000003</v>
      </c>
      <c r="H161" s="7">
        <f t="shared" si="88"/>
        <v>328.27599999999995</v>
      </c>
      <c r="I161" s="7">
        <f t="shared" si="88"/>
        <v>138.33000000000001</v>
      </c>
      <c r="J161" s="7">
        <f t="shared" si="88"/>
        <v>332.59999999999997</v>
      </c>
      <c r="K161" s="10">
        <f t="shared" si="80"/>
        <v>194.26999999999995</v>
      </c>
      <c r="L161" s="16">
        <f t="shared" ref="L161:L210" si="89">K161/I161*100</f>
        <v>140.43952866334124</v>
      </c>
      <c r="M161" s="220"/>
      <c r="N161" s="221"/>
      <c r="O161" s="122">
        <f t="shared" si="83"/>
        <v>4.3240000000000123</v>
      </c>
      <c r="P161" s="123">
        <f t="shared" si="84"/>
        <v>1.3171843205107936</v>
      </c>
      <c r="Q161" s="114"/>
      <c r="S161">
        <f t="shared" si="71"/>
        <v>69.28</v>
      </c>
      <c r="T161" s="44">
        <f>E161+апр!I154</f>
        <v>69.165000000000006</v>
      </c>
      <c r="U161" s="30">
        <f>F161+апр!J154</f>
        <v>155.51400000000001</v>
      </c>
    </row>
    <row r="162" spans="1:21" ht="17.25" customHeight="1">
      <c r="A162" s="8" t="s">
        <v>146</v>
      </c>
      <c r="B162" s="9" t="s">
        <v>147</v>
      </c>
      <c r="C162" s="8" t="s">
        <v>4</v>
      </c>
      <c r="D162" s="10">
        <v>13.856</v>
      </c>
      <c r="E162" s="8">
        <v>13.833</v>
      </c>
      <c r="F162" s="55">
        <f>2.225+17.537</f>
        <v>19.762</v>
      </c>
      <c r="G162" s="10">
        <f t="shared" si="78"/>
        <v>5.9290000000000003</v>
      </c>
      <c r="H162" s="10">
        <f>D162+октябрь!H161</f>
        <v>328.27599999999995</v>
      </c>
      <c r="I162" s="8">
        <f>E162+сентябрь!I161</f>
        <v>138.33000000000001</v>
      </c>
      <c r="J162" s="183">
        <f>315.063+17.537</f>
        <v>332.59999999999997</v>
      </c>
      <c r="K162" s="10">
        <f t="shared" si="80"/>
        <v>194.26999999999995</v>
      </c>
      <c r="L162" s="16">
        <f t="shared" si="89"/>
        <v>140.43952866334124</v>
      </c>
      <c r="M162" s="220"/>
      <c r="N162" s="221"/>
      <c r="O162" s="122">
        <f t="shared" si="83"/>
        <v>4.3240000000000123</v>
      </c>
      <c r="P162" s="123">
        <f t="shared" si="84"/>
        <v>1.3171843205107936</v>
      </c>
      <c r="Q162" s="114">
        <f>14.875+16.64+15.725+41.096+191.653+35.074</f>
        <v>315.06299999999999</v>
      </c>
      <c r="S162">
        <f t="shared" si="71"/>
        <v>69.28</v>
      </c>
      <c r="T162" s="44">
        <f>E162+апр!I155</f>
        <v>69.165000000000006</v>
      </c>
      <c r="U162" s="30">
        <f>F162+апр!J155</f>
        <v>155.51400000000001</v>
      </c>
    </row>
    <row r="163" spans="1:21" ht="18" customHeight="1">
      <c r="A163" s="206" t="s">
        <v>148</v>
      </c>
      <c r="B163" s="6" t="s">
        <v>149</v>
      </c>
      <c r="C163" s="206" t="s">
        <v>4</v>
      </c>
      <c r="D163" s="27">
        <f t="shared" ref="D163" si="90">D164+D167+D170+D173+D176</f>
        <v>71.188999999999993</v>
      </c>
      <c r="E163" s="206">
        <v>72.417000000000002</v>
      </c>
      <c r="F163" s="27">
        <f>F164+F167+F170+F173+F176</f>
        <v>87.548000000000002</v>
      </c>
      <c r="G163" s="10">
        <f t="shared" si="78"/>
        <v>15.131</v>
      </c>
      <c r="H163" s="27">
        <f>H164+H167+H170+H173+H176</f>
        <v>3203.0656666666669</v>
      </c>
      <c r="I163" s="8">
        <f>E163+сентябрь!I162</f>
        <v>724.17000000000019</v>
      </c>
      <c r="J163" s="27">
        <f>J164+J167+J170+J173+J176</f>
        <v>744.79899999999998</v>
      </c>
      <c r="K163" s="10">
        <f t="shared" si="80"/>
        <v>20.628999999999792</v>
      </c>
      <c r="L163" s="16">
        <f t="shared" si="89"/>
        <v>2.848640512586794</v>
      </c>
      <c r="M163" s="220"/>
      <c r="N163" s="221"/>
      <c r="O163" s="122">
        <f t="shared" si="83"/>
        <v>-2458.2666666666669</v>
      </c>
      <c r="P163" s="123">
        <f t="shared" si="84"/>
        <v>-76.747307813545717</v>
      </c>
      <c r="Q163" s="114"/>
      <c r="S163">
        <f t="shared" si="71"/>
        <v>355.94499999999994</v>
      </c>
      <c r="T163" s="44">
        <f>E163+апр!I156</f>
        <v>362.08500000000004</v>
      </c>
      <c r="U163" s="30">
        <f>F163+апр!J156</f>
        <v>613.46600000000001</v>
      </c>
    </row>
    <row r="164" spans="1:21" ht="17.25" customHeight="1">
      <c r="A164" s="8" t="s">
        <v>150</v>
      </c>
      <c r="B164" s="9" t="s">
        <v>151</v>
      </c>
      <c r="C164" s="8" t="s">
        <v>4</v>
      </c>
      <c r="D164" s="10">
        <v>49.027999999999999</v>
      </c>
      <c r="E164" s="8"/>
      <c r="F164" s="8">
        <v>84.712999999999994</v>
      </c>
      <c r="G164" s="10">
        <f t="shared" si="78"/>
        <v>84.712999999999994</v>
      </c>
      <c r="H164" s="10">
        <f>D164+октябрь!H163</f>
        <v>539.30800000000011</v>
      </c>
      <c r="I164" s="8"/>
      <c r="J164" s="183">
        <f>октябрь!J163+ноябрь!F164</f>
        <v>607.13499999999999</v>
      </c>
      <c r="K164" s="10">
        <f t="shared" si="80"/>
        <v>607.13499999999999</v>
      </c>
      <c r="L164" s="16"/>
      <c r="M164" s="220"/>
      <c r="N164" s="221"/>
      <c r="O164" s="122">
        <f t="shared" si="83"/>
        <v>67.826999999999884</v>
      </c>
      <c r="P164" s="123">
        <f t="shared" si="84"/>
        <v>12.576672328242836</v>
      </c>
      <c r="Q164" s="114"/>
      <c r="S164">
        <f t="shared" si="71"/>
        <v>245.14</v>
      </c>
      <c r="T164" s="44">
        <f>E164+апр!I157</f>
        <v>0</v>
      </c>
      <c r="U164" s="30">
        <f>F164+апр!J157</f>
        <v>568.68899999999996</v>
      </c>
    </row>
    <row r="165" spans="1:21" ht="17.25" customHeight="1">
      <c r="A165" s="8"/>
      <c r="B165" s="28" t="s">
        <v>13</v>
      </c>
      <c r="C165" s="8" t="s">
        <v>152</v>
      </c>
      <c r="D165" s="10">
        <v>13.144</v>
      </c>
      <c r="E165" s="8"/>
      <c r="F165" s="8"/>
      <c r="G165" s="10">
        <f t="shared" si="78"/>
        <v>0</v>
      </c>
      <c r="H165" s="10">
        <f>D165+октябрь!H164</f>
        <v>83.478999999999999</v>
      </c>
      <c r="I165" s="8"/>
      <c r="J165" s="10">
        <f>F165+сентябрь!J164</f>
        <v>81.87</v>
      </c>
      <c r="K165" s="10">
        <f t="shared" si="80"/>
        <v>81.87</v>
      </c>
      <c r="L165" s="16"/>
      <c r="M165" s="227" t="s">
        <v>302</v>
      </c>
      <c r="N165" s="228"/>
      <c r="O165" s="122">
        <f t="shared" si="83"/>
        <v>-1.6089999999999947</v>
      </c>
      <c r="P165" s="123">
        <f t="shared" si="84"/>
        <v>-1.9274308508726683</v>
      </c>
      <c r="Q165" s="116"/>
      <c r="S165">
        <f t="shared" si="71"/>
        <v>65.72</v>
      </c>
      <c r="T165" s="44">
        <f>E165+апр!I158</f>
        <v>0</v>
      </c>
      <c r="U165" s="30">
        <f>F165+апр!J158</f>
        <v>81.87</v>
      </c>
    </row>
    <row r="166" spans="1:21" ht="17.25" customHeight="1">
      <c r="A166" s="8"/>
      <c r="B166" s="28" t="s">
        <v>15</v>
      </c>
      <c r="C166" s="8" t="s">
        <v>16</v>
      </c>
      <c r="D166" s="16">
        <f>D164/D165*1000</f>
        <v>3730.0669506999393</v>
      </c>
      <c r="E166" s="16"/>
      <c r="F166" s="16" t="e">
        <f>F164/F165*1000</f>
        <v>#DIV/0!</v>
      </c>
      <c r="G166" s="10" t="e">
        <f t="shared" si="78"/>
        <v>#DIV/0!</v>
      </c>
      <c r="H166" s="16">
        <f>H164/H165*1000</f>
        <v>6460.4032151798674</v>
      </c>
      <c r="I166" s="8"/>
      <c r="J166" s="16">
        <f>J164/J165*1000</f>
        <v>7415.842188835959</v>
      </c>
      <c r="K166" s="10">
        <f t="shared" si="80"/>
        <v>7415.842188835959</v>
      </c>
      <c r="L166" s="16"/>
      <c r="M166" s="220"/>
      <c r="N166" s="221"/>
      <c r="O166" s="122">
        <f t="shared" si="83"/>
        <v>955.43897365609155</v>
      </c>
      <c r="P166" s="123">
        <f t="shared" si="84"/>
        <v>14.789153893848569</v>
      </c>
      <c r="Q166" s="114"/>
      <c r="S166">
        <f t="shared" si="71"/>
        <v>18650.334753499697</v>
      </c>
      <c r="T166" s="44">
        <f>E166+апр!I159</f>
        <v>0</v>
      </c>
      <c r="U166" s="30" t="e">
        <f>F166+апр!J159</f>
        <v>#DIV/0!</v>
      </c>
    </row>
    <row r="167" spans="1:21" ht="17.25" customHeight="1">
      <c r="A167" s="8" t="s">
        <v>153</v>
      </c>
      <c r="B167" s="9" t="s">
        <v>154</v>
      </c>
      <c r="C167" s="8" t="s">
        <v>4</v>
      </c>
      <c r="D167" s="10">
        <v>0.92300000000000004</v>
      </c>
      <c r="E167" s="8"/>
      <c r="F167" s="8"/>
      <c r="G167" s="10">
        <f t="shared" si="78"/>
        <v>0</v>
      </c>
      <c r="H167" s="10">
        <f>D167+октябрь!H166</f>
        <v>1236.2046666666668</v>
      </c>
      <c r="I167" s="8"/>
      <c r="J167" s="54">
        <f>F167+сентябрь!J166</f>
        <v>0</v>
      </c>
      <c r="K167" s="10">
        <f t="shared" si="80"/>
        <v>0</v>
      </c>
      <c r="L167" s="16"/>
      <c r="M167" s="220"/>
      <c r="N167" s="221"/>
      <c r="O167" s="122">
        <f t="shared" si="83"/>
        <v>-1236.2046666666668</v>
      </c>
      <c r="P167" s="123">
        <f t="shared" si="84"/>
        <v>-100</v>
      </c>
      <c r="Q167" s="114"/>
      <c r="S167">
        <f t="shared" si="71"/>
        <v>4.6150000000000002</v>
      </c>
      <c r="T167" s="44">
        <f>E167+апр!I160</f>
        <v>0</v>
      </c>
      <c r="U167" s="30">
        <f>F167+апр!J160</f>
        <v>0</v>
      </c>
    </row>
    <row r="168" spans="1:21" ht="17.25" customHeight="1">
      <c r="A168" s="8"/>
      <c r="B168" s="28" t="s">
        <v>13</v>
      </c>
      <c r="C168" s="8" t="s">
        <v>155</v>
      </c>
      <c r="D168" s="10">
        <v>0.75</v>
      </c>
      <c r="E168" s="8"/>
      <c r="F168" s="8"/>
      <c r="G168" s="10">
        <f t="shared" si="78"/>
        <v>0</v>
      </c>
      <c r="H168" s="10">
        <f>D168+октябрь!H167</f>
        <v>15.4</v>
      </c>
      <c r="I168" s="8"/>
      <c r="J168" s="54">
        <f>F168+сентябрь!J167</f>
        <v>0</v>
      </c>
      <c r="K168" s="10">
        <f t="shared" si="80"/>
        <v>0</v>
      </c>
      <c r="L168" s="16"/>
      <c r="M168" s="220"/>
      <c r="N168" s="221"/>
      <c r="O168" s="122">
        <f t="shared" si="83"/>
        <v>-15.4</v>
      </c>
      <c r="P168" s="123">
        <f t="shared" si="84"/>
        <v>-100</v>
      </c>
      <c r="Q168" s="114"/>
      <c r="S168">
        <f t="shared" si="71"/>
        <v>3.75</v>
      </c>
      <c r="T168" s="44">
        <f>E168+апр!I161</f>
        <v>0</v>
      </c>
      <c r="U168" s="30">
        <f>F168+апр!J161</f>
        <v>0</v>
      </c>
    </row>
    <row r="169" spans="1:21" ht="17.25" customHeight="1">
      <c r="A169" s="8"/>
      <c r="B169" s="28" t="s">
        <v>15</v>
      </c>
      <c r="C169" s="8" t="s">
        <v>16</v>
      </c>
      <c r="D169" s="16">
        <f>D167/D168*1000</f>
        <v>1230.6666666666667</v>
      </c>
      <c r="E169" s="8"/>
      <c r="F169" s="8"/>
      <c r="G169" s="10">
        <f t="shared" si="78"/>
        <v>0</v>
      </c>
      <c r="H169" s="16">
        <f>H167/H168*1000</f>
        <v>80273.030303030304</v>
      </c>
      <c r="I169" s="8"/>
      <c r="J169" s="8"/>
      <c r="K169" s="10">
        <f t="shared" si="80"/>
        <v>0</v>
      </c>
      <c r="L169" s="16"/>
      <c r="M169" s="220"/>
      <c r="N169" s="221"/>
      <c r="O169" s="122">
        <f t="shared" si="83"/>
        <v>-80273.030303030304</v>
      </c>
      <c r="P169" s="123">
        <f t="shared" si="84"/>
        <v>-100</v>
      </c>
      <c r="Q169" s="114"/>
      <c r="S169">
        <f t="shared" si="71"/>
        <v>6153.3333333333339</v>
      </c>
      <c r="T169" s="44">
        <f>E169+апр!I162</f>
        <v>0</v>
      </c>
      <c r="U169" s="30">
        <f>F169+апр!J162</f>
        <v>0</v>
      </c>
    </row>
    <row r="170" spans="1:21" ht="17.25" customHeight="1">
      <c r="A170" s="8" t="s">
        <v>156</v>
      </c>
      <c r="B170" s="9" t="s">
        <v>157</v>
      </c>
      <c r="C170" s="8" t="s">
        <v>4</v>
      </c>
      <c r="D170" s="10">
        <v>2.1800000000000002</v>
      </c>
      <c r="E170" s="8"/>
      <c r="F170" s="55">
        <v>1.837</v>
      </c>
      <c r="G170" s="10">
        <f t="shared" si="78"/>
        <v>1.837</v>
      </c>
      <c r="H170" s="10">
        <f>D170+октябрь!H169</f>
        <v>122.08000000000004</v>
      </c>
      <c r="I170" s="8"/>
      <c r="J170" s="183">
        <f>4.855+19.627</f>
        <v>24.481999999999999</v>
      </c>
      <c r="K170" s="10">
        <f t="shared" si="80"/>
        <v>24.481999999999999</v>
      </c>
      <c r="L170" s="16"/>
      <c r="M170" s="220"/>
      <c r="N170" s="221"/>
      <c r="O170" s="122">
        <f t="shared" si="83"/>
        <v>-97.598000000000042</v>
      </c>
      <c r="P170" s="123">
        <f t="shared" si="84"/>
        <v>-79.945937090432508</v>
      </c>
      <c r="Q170" s="114"/>
      <c r="S170">
        <f t="shared" si="71"/>
        <v>10.9</v>
      </c>
      <c r="T170" s="44">
        <f>E170+апр!I163</f>
        <v>0</v>
      </c>
      <c r="U170" s="30">
        <f>F170+апр!J163</f>
        <v>14.639999999999999</v>
      </c>
    </row>
    <row r="171" spans="1:21" ht="17.25" customHeight="1">
      <c r="A171" s="8"/>
      <c r="B171" s="28" t="s">
        <v>13</v>
      </c>
      <c r="C171" s="8" t="s">
        <v>155</v>
      </c>
      <c r="D171" s="14">
        <v>20</v>
      </c>
      <c r="E171" s="8"/>
      <c r="F171" s="8"/>
      <c r="G171" s="10">
        <f t="shared" si="78"/>
        <v>0</v>
      </c>
      <c r="H171" s="10">
        <f>D171+октябрь!H170</f>
        <v>215.29</v>
      </c>
      <c r="I171" s="8"/>
      <c r="J171" s="54">
        <f>F171+сентябрь!J170</f>
        <v>99</v>
      </c>
      <c r="K171" s="10">
        <f t="shared" si="80"/>
        <v>99</v>
      </c>
      <c r="L171" s="16"/>
      <c r="M171" s="220"/>
      <c r="N171" s="221"/>
      <c r="O171" s="122">
        <f t="shared" si="83"/>
        <v>-116.28999999999999</v>
      </c>
      <c r="P171" s="123">
        <f t="shared" si="84"/>
        <v>-54.015513957917229</v>
      </c>
      <c r="Q171" s="114"/>
      <c r="S171">
        <f t="shared" si="71"/>
        <v>100</v>
      </c>
      <c r="T171" s="44">
        <f>E171+апр!I164</f>
        <v>0</v>
      </c>
      <c r="U171" s="30">
        <f>F171+апр!J164</f>
        <v>99</v>
      </c>
    </row>
    <row r="172" spans="1:21" ht="17.25" customHeight="1">
      <c r="A172" s="8"/>
      <c r="B172" s="28" t="s">
        <v>15</v>
      </c>
      <c r="C172" s="8" t="s">
        <v>16</v>
      </c>
      <c r="D172" s="16">
        <f>D170/D171*1000</f>
        <v>109.00000000000001</v>
      </c>
      <c r="E172" s="16"/>
      <c r="F172" s="16" t="e">
        <f t="shared" ref="F172" si="91">F170/F171*1000</f>
        <v>#DIV/0!</v>
      </c>
      <c r="G172" s="10" t="e">
        <f t="shared" si="78"/>
        <v>#DIV/0!</v>
      </c>
      <c r="H172" s="16">
        <f>H170/H171*1000</f>
        <v>567.04909656742086</v>
      </c>
      <c r="I172" s="8"/>
      <c r="J172" s="16">
        <f t="shared" ref="J172" si="92">J170/J171*1000</f>
        <v>247.29292929292927</v>
      </c>
      <c r="K172" s="10">
        <f t="shared" si="80"/>
        <v>247.29292929292927</v>
      </c>
      <c r="L172" s="16"/>
      <c r="M172" s="220"/>
      <c r="N172" s="221"/>
      <c r="O172" s="122">
        <f t="shared" si="83"/>
        <v>-319.75616727449159</v>
      </c>
      <c r="P172" s="123">
        <f t="shared" si="84"/>
        <v>-56.389502991911264</v>
      </c>
      <c r="Q172" s="114"/>
      <c r="S172">
        <f t="shared" si="71"/>
        <v>545.00000000000011</v>
      </c>
      <c r="T172" s="44">
        <f>E172+апр!I165</f>
        <v>0</v>
      </c>
      <c r="U172" s="30" t="e">
        <f>F172+апр!J165</f>
        <v>#DIV/0!</v>
      </c>
    </row>
    <row r="173" spans="1:21" ht="17.25" customHeight="1">
      <c r="A173" s="8" t="s">
        <v>158</v>
      </c>
      <c r="B173" s="9" t="s">
        <v>159</v>
      </c>
      <c r="C173" s="8" t="s">
        <v>4</v>
      </c>
      <c r="D173" s="10">
        <v>19.058</v>
      </c>
      <c r="E173" s="8"/>
      <c r="F173" s="54"/>
      <c r="G173" s="10">
        <f t="shared" si="78"/>
        <v>0</v>
      </c>
      <c r="H173" s="10">
        <f>D173+октябрь!H172</f>
        <v>1305.473</v>
      </c>
      <c r="I173" s="8"/>
      <c r="J173" s="183">
        <f>66.6+33.3</f>
        <v>99.899999999999991</v>
      </c>
      <c r="K173" s="10">
        <f t="shared" si="80"/>
        <v>99.899999999999991</v>
      </c>
      <c r="L173" s="16"/>
      <c r="M173" s="220"/>
      <c r="N173" s="221"/>
      <c r="O173" s="122">
        <f t="shared" si="83"/>
        <v>-1205.5729999999999</v>
      </c>
      <c r="P173" s="123">
        <f t="shared" si="84"/>
        <v>-92.34760121427253</v>
      </c>
      <c r="Q173" s="114"/>
      <c r="S173">
        <f t="shared" si="71"/>
        <v>95.289999999999992</v>
      </c>
      <c r="T173" s="44">
        <f>E173+апр!I166</f>
        <v>0</v>
      </c>
      <c r="U173" s="30">
        <f>F173+апр!J166</f>
        <v>22.2</v>
      </c>
    </row>
    <row r="174" spans="1:21" ht="17.25" customHeight="1">
      <c r="A174" s="8"/>
      <c r="B174" s="28" t="s">
        <v>13</v>
      </c>
      <c r="C174" s="8" t="s">
        <v>155</v>
      </c>
      <c r="D174" s="14">
        <v>16</v>
      </c>
      <c r="E174" s="8"/>
      <c r="F174" s="8"/>
      <c r="G174" s="10">
        <f t="shared" si="78"/>
        <v>0</v>
      </c>
      <c r="H174" s="10">
        <f>D174+октябрь!H173</f>
        <v>96</v>
      </c>
      <c r="I174" s="8"/>
      <c r="J174" s="54">
        <f>F174+сентябрь!J173</f>
        <v>6</v>
      </c>
      <c r="K174" s="10">
        <f t="shared" si="80"/>
        <v>6</v>
      </c>
      <c r="L174" s="16"/>
      <c r="M174" s="220"/>
      <c r="N174" s="221"/>
      <c r="O174" s="122">
        <f t="shared" si="83"/>
        <v>-90</v>
      </c>
      <c r="P174" s="123">
        <f t="shared" si="84"/>
        <v>-93.75</v>
      </c>
      <c r="Q174" s="114"/>
      <c r="S174">
        <f t="shared" si="71"/>
        <v>80</v>
      </c>
      <c r="T174" s="44">
        <f>E174+апр!I167</f>
        <v>0</v>
      </c>
      <c r="U174" s="30">
        <f>F174+апр!J167</f>
        <v>6</v>
      </c>
    </row>
    <row r="175" spans="1:21" ht="17.25" customHeight="1">
      <c r="A175" s="8"/>
      <c r="B175" s="28" t="s">
        <v>15</v>
      </c>
      <c r="C175" s="8" t="s">
        <v>16</v>
      </c>
      <c r="D175" s="16">
        <f>D173/D174*1000</f>
        <v>1191.125</v>
      </c>
      <c r="E175" s="8"/>
      <c r="F175" s="16" t="e">
        <f>F173/F174*1000</f>
        <v>#DIV/0!</v>
      </c>
      <c r="G175" s="10" t="e">
        <f t="shared" si="78"/>
        <v>#DIV/0!</v>
      </c>
      <c r="H175" s="16">
        <f>H173/H174*1000</f>
        <v>13598.677083333334</v>
      </c>
      <c r="I175" s="8"/>
      <c r="J175" s="16">
        <f>J173/J174*1000</f>
        <v>16650</v>
      </c>
      <c r="K175" s="10">
        <f t="shared" si="80"/>
        <v>16650</v>
      </c>
      <c r="L175" s="16"/>
      <c r="M175" s="220"/>
      <c r="N175" s="221"/>
      <c r="O175" s="122">
        <f t="shared" si="83"/>
        <v>3051.3229166666661</v>
      </c>
      <c r="P175" s="123">
        <f t="shared" si="84"/>
        <v>22.438380571639545</v>
      </c>
      <c r="Q175" s="114"/>
      <c r="S175">
        <f t="shared" si="71"/>
        <v>5955.625</v>
      </c>
      <c r="T175" s="44">
        <f>E175+апр!I168</f>
        <v>0</v>
      </c>
      <c r="U175" s="30" t="e">
        <f>F175+апр!J168</f>
        <v>#DIV/0!</v>
      </c>
    </row>
    <row r="176" spans="1:21" ht="17.25" customHeight="1">
      <c r="A176" s="8" t="s">
        <v>158</v>
      </c>
      <c r="B176" s="9" t="s">
        <v>224</v>
      </c>
      <c r="C176" s="8" t="s">
        <v>4</v>
      </c>
      <c r="D176" s="10">
        <v>0</v>
      </c>
      <c r="E176" s="8"/>
      <c r="F176" s="55">
        <v>0.998</v>
      </c>
      <c r="G176" s="10">
        <f t="shared" si="78"/>
        <v>0.998</v>
      </c>
      <c r="H176" s="10">
        <f>D176+октябрь!H175</f>
        <v>0</v>
      </c>
      <c r="I176" s="8"/>
      <c r="J176" s="183">
        <f>2.637+10.645</f>
        <v>13.282</v>
      </c>
      <c r="K176" s="10">
        <f t="shared" si="80"/>
        <v>13.282</v>
      </c>
      <c r="L176" s="16"/>
      <c r="M176" s="220"/>
      <c r="N176" s="221"/>
      <c r="O176" s="122">
        <f t="shared" si="83"/>
        <v>13.282</v>
      </c>
      <c r="P176" s="123" t="e">
        <f>O176/H176*100</f>
        <v>#DIV/0!</v>
      </c>
      <c r="Q176" s="114"/>
      <c r="S176">
        <f t="shared" si="71"/>
        <v>0</v>
      </c>
      <c r="T176" s="44">
        <f>E176+апр!I169</f>
        <v>0</v>
      </c>
      <c r="U176" s="30">
        <f>F176+апр!J169</f>
        <v>7.9370000000000003</v>
      </c>
    </row>
    <row r="177" spans="1:21" ht="17.25" customHeight="1">
      <c r="A177" s="8"/>
      <c r="B177" s="28" t="s">
        <v>13</v>
      </c>
      <c r="C177" s="8" t="s">
        <v>155</v>
      </c>
      <c r="D177" s="14">
        <v>0</v>
      </c>
      <c r="E177" s="8"/>
      <c r="F177" s="8"/>
      <c r="G177" s="10">
        <f t="shared" si="78"/>
        <v>0</v>
      </c>
      <c r="H177" s="10">
        <f>D177+октябрь!H176</f>
        <v>0</v>
      </c>
      <c r="I177" s="8"/>
      <c r="J177" s="54">
        <f>F177+сентябрь!J176</f>
        <v>99</v>
      </c>
      <c r="K177" s="10">
        <f t="shared" si="80"/>
        <v>99</v>
      </c>
      <c r="L177" s="16"/>
      <c r="M177" s="220"/>
      <c r="N177" s="221"/>
      <c r="O177" s="122">
        <f t="shared" si="83"/>
        <v>99</v>
      </c>
      <c r="P177" s="123" t="e">
        <f t="shared" si="84"/>
        <v>#DIV/0!</v>
      </c>
      <c r="Q177" s="114"/>
      <c r="S177">
        <f t="shared" si="71"/>
        <v>0</v>
      </c>
      <c r="T177" s="44">
        <f>E177+апр!I170</f>
        <v>0</v>
      </c>
      <c r="U177" s="30">
        <f>F177+апр!J170</f>
        <v>99</v>
      </c>
    </row>
    <row r="178" spans="1:21" ht="17.25" customHeight="1">
      <c r="A178" s="8"/>
      <c r="B178" s="28" t="s">
        <v>15</v>
      </c>
      <c r="C178" s="8" t="s">
        <v>16</v>
      </c>
      <c r="D178" s="16" t="e">
        <f>D176/D177*1000</f>
        <v>#DIV/0!</v>
      </c>
      <c r="E178" s="8"/>
      <c r="F178" s="16" t="e">
        <f>F176/F177*1000</f>
        <v>#DIV/0!</v>
      </c>
      <c r="G178" s="10" t="e">
        <f t="shared" si="78"/>
        <v>#DIV/0!</v>
      </c>
      <c r="H178" s="16" t="e">
        <f>H176/H177*1000</f>
        <v>#DIV/0!</v>
      </c>
      <c r="I178" s="8"/>
      <c r="J178" s="16">
        <f>J176/J177*1000</f>
        <v>134.16161616161614</v>
      </c>
      <c r="K178" s="10">
        <f t="shared" si="80"/>
        <v>134.16161616161614</v>
      </c>
      <c r="L178" s="16"/>
      <c r="M178" s="220"/>
      <c r="N178" s="221"/>
      <c r="O178" s="122" t="e">
        <f t="shared" si="83"/>
        <v>#DIV/0!</v>
      </c>
      <c r="P178" s="123" t="e">
        <f t="shared" si="84"/>
        <v>#DIV/0!</v>
      </c>
      <c r="Q178" s="114"/>
      <c r="S178" t="e">
        <f t="shared" si="71"/>
        <v>#DIV/0!</v>
      </c>
      <c r="T178" s="44">
        <f>E178+апр!I171</f>
        <v>0</v>
      </c>
      <c r="U178" s="30" t="e">
        <f>F178+апр!J171</f>
        <v>#DIV/0!</v>
      </c>
    </row>
    <row r="179" spans="1:21" ht="17.25" customHeight="1">
      <c r="A179" s="16" t="s">
        <v>160</v>
      </c>
      <c r="B179" s="9" t="s">
        <v>108</v>
      </c>
      <c r="C179" s="8" t="s">
        <v>4</v>
      </c>
      <c r="D179" s="10">
        <v>62.704999999999998</v>
      </c>
      <c r="E179" s="8">
        <v>62.667000000000002</v>
      </c>
      <c r="F179" s="10">
        <f>F180+F181+F182</f>
        <v>115.34</v>
      </c>
      <c r="G179" s="10">
        <f t="shared" si="78"/>
        <v>52.673000000000002</v>
      </c>
      <c r="H179" s="10">
        <f>D179+октябрь!H178</f>
        <v>689.755</v>
      </c>
      <c r="I179" s="8">
        <f>E179+сентябрь!I178</f>
        <v>626.67000000000019</v>
      </c>
      <c r="J179" s="8">
        <f>J180+J181+J182</f>
        <v>738.92100000000005</v>
      </c>
      <c r="K179" s="10">
        <f t="shared" si="80"/>
        <v>112.25099999999986</v>
      </c>
      <c r="L179" s="16">
        <f t="shared" si="89"/>
        <v>17.912298338838596</v>
      </c>
      <c r="M179" s="220"/>
      <c r="N179" s="221"/>
      <c r="O179" s="122">
        <f t="shared" si="83"/>
        <v>49.166000000000054</v>
      </c>
      <c r="P179" s="123">
        <f t="shared" si="84"/>
        <v>7.1280382164681741</v>
      </c>
      <c r="Q179" s="114"/>
      <c r="S179">
        <f t="shared" si="71"/>
        <v>313.52499999999998</v>
      </c>
      <c r="T179" s="44">
        <f>E179+апр!I172</f>
        <v>313.33500000000004</v>
      </c>
      <c r="U179" s="30">
        <f>F179+апр!J172</f>
        <v>375.89100000000008</v>
      </c>
    </row>
    <row r="180" spans="1:21" ht="17.25" customHeight="1">
      <c r="A180" s="16"/>
      <c r="B180" s="9" t="s">
        <v>221</v>
      </c>
      <c r="C180" s="8" t="s">
        <v>4</v>
      </c>
      <c r="D180" s="10"/>
      <c r="E180" s="8"/>
      <c r="F180" s="54">
        <v>67.34</v>
      </c>
      <c r="G180" s="10">
        <f t="shared" si="78"/>
        <v>67.34</v>
      </c>
      <c r="H180" s="10">
        <f>D180+октябрь!H179</f>
        <v>0</v>
      </c>
      <c r="I180" s="8"/>
      <c r="J180" s="183">
        <f>129.87+379.99+19.24</f>
        <v>529.1</v>
      </c>
      <c r="K180" s="10">
        <f t="shared" si="80"/>
        <v>529.1</v>
      </c>
      <c r="L180" s="16"/>
      <c r="M180" s="220"/>
      <c r="N180" s="221"/>
      <c r="O180" s="122">
        <f t="shared" si="83"/>
        <v>529.1</v>
      </c>
      <c r="P180" s="123" t="e">
        <f t="shared" si="84"/>
        <v>#DIV/0!</v>
      </c>
      <c r="Q180" s="114"/>
      <c r="S180">
        <f t="shared" si="71"/>
        <v>0</v>
      </c>
      <c r="T180" s="44">
        <f>E180+апр!I173</f>
        <v>0</v>
      </c>
      <c r="U180" s="30">
        <f>F180+апр!J173</f>
        <v>226.07000000000002</v>
      </c>
    </row>
    <row r="181" spans="1:21" ht="37.5" customHeight="1">
      <c r="A181" s="16"/>
      <c r="B181" s="9" t="s">
        <v>222</v>
      </c>
      <c r="C181" s="8" t="s">
        <v>4</v>
      </c>
      <c r="D181" s="10"/>
      <c r="E181" s="8"/>
      <c r="F181" s="54">
        <v>48</v>
      </c>
      <c r="G181" s="10">
        <f t="shared" si="78"/>
        <v>48</v>
      </c>
      <c r="H181" s="10">
        <f>D181+октябрь!H180</f>
        <v>324.53000000000003</v>
      </c>
      <c r="I181" s="8"/>
      <c r="J181" s="183">
        <f>72+137.821</f>
        <v>209.821</v>
      </c>
      <c r="K181" s="10">
        <f t="shared" si="80"/>
        <v>209.821</v>
      </c>
      <c r="L181" s="16"/>
      <c r="M181" s="220"/>
      <c r="N181" s="221"/>
      <c r="O181" s="122">
        <f t="shared" si="83"/>
        <v>-114.70900000000003</v>
      </c>
      <c r="P181" s="123">
        <f t="shared" si="84"/>
        <v>-35.346192955967098</v>
      </c>
      <c r="Q181" s="114"/>
      <c r="S181">
        <f t="shared" si="71"/>
        <v>0</v>
      </c>
      <c r="T181" s="44">
        <f>E181+апр!I174</f>
        <v>0</v>
      </c>
      <c r="U181" s="30">
        <f>F181+апр!J174</f>
        <v>149.821</v>
      </c>
    </row>
    <row r="182" spans="1:21" ht="18.75" customHeight="1">
      <c r="A182" s="16"/>
      <c r="B182" s="9" t="s">
        <v>223</v>
      </c>
      <c r="C182" s="8" t="s">
        <v>4</v>
      </c>
      <c r="D182" s="10"/>
      <c r="E182" s="8"/>
      <c r="F182" s="8"/>
      <c r="G182" s="10">
        <f t="shared" si="78"/>
        <v>0</v>
      </c>
      <c r="H182" s="10">
        <f>D182+октябрь!H181</f>
        <v>11.165000000000001</v>
      </c>
      <c r="I182" s="8"/>
      <c r="J182" s="54">
        <f>F182+сентябрь!J181</f>
        <v>0</v>
      </c>
      <c r="K182" s="10">
        <f t="shared" si="80"/>
        <v>0</v>
      </c>
      <c r="L182" s="16"/>
      <c r="M182" s="220"/>
      <c r="N182" s="221"/>
      <c r="O182" s="122">
        <f t="shared" si="83"/>
        <v>-11.165000000000001</v>
      </c>
      <c r="P182" s="123">
        <f t="shared" si="84"/>
        <v>-100</v>
      </c>
      <c r="Q182" s="114"/>
      <c r="S182">
        <f t="shared" si="71"/>
        <v>0</v>
      </c>
      <c r="T182" s="44">
        <f>E182+апр!I175</f>
        <v>0</v>
      </c>
      <c r="U182" s="30">
        <f>F182+апр!J175</f>
        <v>0</v>
      </c>
    </row>
    <row r="183" spans="1:21" ht="18.75">
      <c r="A183" s="16" t="s">
        <v>161</v>
      </c>
      <c r="B183" s="9" t="s">
        <v>162</v>
      </c>
      <c r="C183" s="8" t="s">
        <v>4</v>
      </c>
      <c r="D183" s="10">
        <v>64.906000000000006</v>
      </c>
      <c r="E183" s="8">
        <v>64.917000000000002</v>
      </c>
      <c r="F183" s="55">
        <f>8.549+22.247+7.351+19.82+13.125</f>
        <v>71.091999999999999</v>
      </c>
      <c r="G183" s="10">
        <f t="shared" si="78"/>
        <v>6.1749999999999972</v>
      </c>
      <c r="H183" s="10">
        <f>D183+октябрь!H182</f>
        <v>400.60100000000006</v>
      </c>
      <c r="I183" s="8">
        <f>E183+сентябрь!I182</f>
        <v>649.17000000000019</v>
      </c>
      <c r="J183" s="183">
        <f>25.661+17.583+49.178+39.375+59.874+189.793+50.862+129.185+91.875+56.002</f>
        <v>709.38799999999992</v>
      </c>
      <c r="K183" s="10">
        <f t="shared" si="80"/>
        <v>60.217999999999734</v>
      </c>
      <c r="L183" s="16">
        <f t="shared" si="89"/>
        <v>9.2761526256604157</v>
      </c>
      <c r="M183" s="220"/>
      <c r="N183" s="221"/>
      <c r="O183" s="122">
        <f t="shared" si="83"/>
        <v>308.78699999999986</v>
      </c>
      <c r="P183" s="123">
        <f t="shared" si="84"/>
        <v>77.080935893819486</v>
      </c>
      <c r="Q183" s="114"/>
      <c r="S183">
        <f t="shared" si="71"/>
        <v>324.53000000000003</v>
      </c>
      <c r="T183" s="44">
        <f>E183+апр!I176</f>
        <v>324.58500000000004</v>
      </c>
      <c r="U183" s="30">
        <f>F183+апр!J176</f>
        <v>376.60899999999998</v>
      </c>
    </row>
    <row r="184" spans="1:21" ht="35.25" customHeight="1">
      <c r="A184" s="16" t="s">
        <v>163</v>
      </c>
      <c r="B184" s="9" t="s">
        <v>165</v>
      </c>
      <c r="C184" s="8" t="s">
        <v>4</v>
      </c>
      <c r="D184" s="10">
        <f>D185</f>
        <v>2.2330000000000001</v>
      </c>
      <c r="E184" s="8"/>
      <c r="F184" s="8"/>
      <c r="G184" s="10">
        <f t="shared" si="78"/>
        <v>0</v>
      </c>
      <c r="H184" s="10">
        <f>H185</f>
        <v>319.863</v>
      </c>
      <c r="I184" s="8"/>
      <c r="J184" s="8"/>
      <c r="K184" s="10">
        <f t="shared" si="80"/>
        <v>0</v>
      </c>
      <c r="L184" s="16"/>
      <c r="M184" s="220"/>
      <c r="N184" s="221"/>
      <c r="O184" s="122">
        <f t="shared" si="83"/>
        <v>-319.863</v>
      </c>
      <c r="P184" s="123">
        <f t="shared" si="84"/>
        <v>-100</v>
      </c>
      <c r="Q184" s="114"/>
      <c r="S184">
        <f t="shared" si="71"/>
        <v>11.165000000000001</v>
      </c>
      <c r="T184" s="44">
        <f>E184+апр!I177</f>
        <v>0</v>
      </c>
      <c r="U184" s="30">
        <f>F184+апр!J177</f>
        <v>0</v>
      </c>
    </row>
    <row r="185" spans="1:21" ht="18.75" customHeight="1">
      <c r="A185" s="16"/>
      <c r="B185" s="9" t="s">
        <v>100</v>
      </c>
      <c r="C185" s="8" t="s">
        <v>4</v>
      </c>
      <c r="D185" s="10">
        <v>2.2330000000000001</v>
      </c>
      <c r="E185" s="8"/>
      <c r="F185" s="8"/>
      <c r="G185" s="10">
        <f t="shared" si="78"/>
        <v>0</v>
      </c>
      <c r="H185" s="10">
        <f>D185+октябрь!H184</f>
        <v>319.863</v>
      </c>
      <c r="I185" s="8"/>
      <c r="J185" s="54">
        <f>F185+сентябрь!J184</f>
        <v>0</v>
      </c>
      <c r="K185" s="10">
        <f t="shared" si="80"/>
        <v>0</v>
      </c>
      <c r="L185" s="16"/>
      <c r="M185" s="198"/>
      <c r="N185" s="199"/>
      <c r="O185" s="122">
        <f t="shared" si="83"/>
        <v>-319.863</v>
      </c>
      <c r="P185" s="123">
        <f t="shared" si="84"/>
        <v>-100</v>
      </c>
      <c r="Q185" s="114"/>
      <c r="S185">
        <f t="shared" si="71"/>
        <v>11.165000000000001</v>
      </c>
      <c r="T185" s="44">
        <f>E185+апр!I178</f>
        <v>0</v>
      </c>
      <c r="U185" s="30">
        <f>F185+апр!J178</f>
        <v>0</v>
      </c>
    </row>
    <row r="186" spans="1:21" ht="17.25" customHeight="1">
      <c r="A186" s="16" t="s">
        <v>164</v>
      </c>
      <c r="B186" s="6" t="s">
        <v>169</v>
      </c>
      <c r="C186" s="206" t="s">
        <v>4</v>
      </c>
      <c r="D186" s="7">
        <f t="shared" ref="D186:F186" si="93">D187+D188+D189</f>
        <v>318.99799999999999</v>
      </c>
      <c r="E186" s="7">
        <f t="shared" si="93"/>
        <v>637.41600000000005</v>
      </c>
      <c r="F186" s="7">
        <f t="shared" si="93"/>
        <v>1549.77</v>
      </c>
      <c r="G186" s="10">
        <f t="shared" si="78"/>
        <v>912.35399999999993</v>
      </c>
      <c r="H186" s="7">
        <f t="shared" ref="H186:J186" si="94">H187+H188+H189</f>
        <v>3091.2629999999999</v>
      </c>
      <c r="I186" s="7">
        <f t="shared" si="94"/>
        <v>5798.0770000000002</v>
      </c>
      <c r="J186" s="7">
        <f t="shared" si="94"/>
        <v>5549.3460000000005</v>
      </c>
      <c r="K186" s="10">
        <f t="shared" si="80"/>
        <v>-248.73099999999977</v>
      </c>
      <c r="L186" s="16">
        <f t="shared" si="89"/>
        <v>-4.2898878369500748</v>
      </c>
      <c r="M186" s="220"/>
      <c r="N186" s="221"/>
      <c r="O186" s="122">
        <f t="shared" si="83"/>
        <v>2458.0830000000005</v>
      </c>
      <c r="P186" s="123">
        <f t="shared" si="84"/>
        <v>79.517109996787738</v>
      </c>
      <c r="Q186" s="114"/>
      <c r="S186">
        <f t="shared" si="71"/>
        <v>1594.99</v>
      </c>
      <c r="T186" s="44">
        <f>E186+апр!I179</f>
        <v>3187.0800000000004</v>
      </c>
      <c r="U186" s="30">
        <f>F186+апр!J179</f>
        <v>1549.77</v>
      </c>
    </row>
    <row r="187" spans="1:21" ht="17.25" customHeight="1">
      <c r="A187" s="8" t="s">
        <v>166</v>
      </c>
      <c r="B187" s="9" t="s">
        <v>170</v>
      </c>
      <c r="C187" s="8" t="s">
        <v>4</v>
      </c>
      <c r="D187" s="10">
        <v>61.292999999999999</v>
      </c>
      <c r="E187" s="8">
        <v>61.332999999999998</v>
      </c>
      <c r="F187" s="8"/>
      <c r="G187" s="10">
        <f t="shared" si="78"/>
        <v>-61.332999999999998</v>
      </c>
      <c r="H187" s="10">
        <f>D187+октябрь!H186</f>
        <v>813.89800000000002</v>
      </c>
      <c r="I187" s="8">
        <f>E187+сентябрь!I186</f>
        <v>613.32999999999981</v>
      </c>
      <c r="J187" s="183">
        <f>798.734</f>
        <v>798.73400000000004</v>
      </c>
      <c r="K187" s="10">
        <f t="shared" si="80"/>
        <v>185.40400000000022</v>
      </c>
      <c r="L187" s="16">
        <f t="shared" si="89"/>
        <v>30.229077331942065</v>
      </c>
      <c r="M187" s="220"/>
      <c r="N187" s="221"/>
      <c r="O187" s="122">
        <f t="shared" si="83"/>
        <v>-15.163999999999987</v>
      </c>
      <c r="P187" s="123">
        <f t="shared" si="84"/>
        <v>-1.8631327267053104</v>
      </c>
      <c r="Q187" s="114"/>
      <c r="S187">
        <f t="shared" si="71"/>
        <v>306.46499999999997</v>
      </c>
      <c r="T187" s="44">
        <f>E187+апр!I180</f>
        <v>306.66499999999996</v>
      </c>
      <c r="U187" s="30">
        <f>F187+апр!J180</f>
        <v>0</v>
      </c>
    </row>
    <row r="188" spans="1:21" ht="17.25" customHeight="1">
      <c r="A188" s="8" t="s">
        <v>167</v>
      </c>
      <c r="B188" s="9" t="s">
        <v>171</v>
      </c>
      <c r="C188" s="8" t="s">
        <v>4</v>
      </c>
      <c r="D188" s="10">
        <v>168.477</v>
      </c>
      <c r="E188" s="8">
        <v>486.83300000000003</v>
      </c>
      <c r="F188" s="55">
        <v>1278.259</v>
      </c>
      <c r="G188" s="10">
        <f t="shared" si="78"/>
        <v>791.42599999999993</v>
      </c>
      <c r="H188" s="10">
        <f>D188+октябрь!H187</f>
        <v>1489.4070000000002</v>
      </c>
      <c r="I188" s="8">
        <f>E188+сентябрь!I187</f>
        <v>4381.4970000000003</v>
      </c>
      <c r="J188" s="183">
        <f>1277.255+2554.51</f>
        <v>3831.7650000000003</v>
      </c>
      <c r="K188" s="10">
        <f t="shared" si="80"/>
        <v>-549.73199999999997</v>
      </c>
      <c r="L188" s="16">
        <f t="shared" si="89"/>
        <v>-12.546670692687908</v>
      </c>
      <c r="M188" s="227" t="s">
        <v>300</v>
      </c>
      <c r="N188" s="228"/>
      <c r="O188" s="122">
        <f t="shared" si="83"/>
        <v>2342.3580000000002</v>
      </c>
      <c r="P188" s="123">
        <f t="shared" si="84"/>
        <v>157.26782538285372</v>
      </c>
      <c r="Q188" s="116"/>
      <c r="S188">
        <f t="shared" si="71"/>
        <v>842.38499999999999</v>
      </c>
      <c r="T188" s="44">
        <f>E188+апр!I181</f>
        <v>2434.165</v>
      </c>
      <c r="U188" s="30">
        <f>F188+апр!J181</f>
        <v>1278.259</v>
      </c>
    </row>
    <row r="189" spans="1:21" ht="17.25" customHeight="1">
      <c r="A189" s="8" t="s">
        <v>267</v>
      </c>
      <c r="B189" s="9" t="s">
        <v>172</v>
      </c>
      <c r="C189" s="8" t="s">
        <v>4</v>
      </c>
      <c r="D189" s="10">
        <v>89.227999999999994</v>
      </c>
      <c r="E189" s="10">
        <v>89.25</v>
      </c>
      <c r="F189" s="55">
        <v>271.51100000000002</v>
      </c>
      <c r="G189" s="10">
        <f t="shared" si="78"/>
        <v>182.26100000000002</v>
      </c>
      <c r="H189" s="10">
        <f>D189+октябрь!H188</f>
        <v>787.95799999999986</v>
      </c>
      <c r="I189" s="8">
        <f>E189+сентябрь!I188</f>
        <v>803.25</v>
      </c>
      <c r="J189" s="183">
        <f>271.511+647.336</f>
        <v>918.84699999999998</v>
      </c>
      <c r="K189" s="10">
        <f t="shared" si="80"/>
        <v>115.59699999999998</v>
      </c>
      <c r="L189" s="16">
        <f t="shared" si="89"/>
        <v>14.391160908807965</v>
      </c>
      <c r="M189" s="227" t="s">
        <v>300</v>
      </c>
      <c r="N189" s="228"/>
      <c r="O189" s="122">
        <f t="shared" si="83"/>
        <v>130.88900000000012</v>
      </c>
      <c r="P189" s="123">
        <f t="shared" si="84"/>
        <v>16.611164554455968</v>
      </c>
      <c r="Q189" s="116"/>
      <c r="S189">
        <f t="shared" si="71"/>
        <v>446.14</v>
      </c>
      <c r="T189" s="44">
        <f>E189+апр!I182</f>
        <v>446.25</v>
      </c>
      <c r="U189" s="30">
        <f>F189+апр!J182</f>
        <v>271.51100000000002</v>
      </c>
    </row>
    <row r="190" spans="1:21" ht="53.25" customHeight="1">
      <c r="A190" s="8" t="s">
        <v>168</v>
      </c>
      <c r="B190" s="9" t="s">
        <v>174</v>
      </c>
      <c r="C190" s="8" t="s">
        <v>4</v>
      </c>
      <c r="D190" s="10">
        <v>95.709000000000003</v>
      </c>
      <c r="E190" s="8">
        <v>93.167000000000002</v>
      </c>
      <c r="F190" s="55">
        <v>84.852999999999994</v>
      </c>
      <c r="G190" s="10">
        <f t="shared" si="78"/>
        <v>-8.3140000000000072</v>
      </c>
      <c r="H190" s="10">
        <f>D190+октябрь!H189</f>
        <v>670.52400000000011</v>
      </c>
      <c r="I190" s="8">
        <f>E190+сентябрь!I189</f>
        <v>838.50300000000016</v>
      </c>
      <c r="J190" s="183">
        <f>360.75+596.745+597.745</f>
        <v>1555.24</v>
      </c>
      <c r="K190" s="10">
        <f t="shared" si="80"/>
        <v>716.73699999999985</v>
      </c>
      <c r="L190" s="16">
        <f t="shared" si="89"/>
        <v>85.47816763923322</v>
      </c>
      <c r="M190" s="222" t="s">
        <v>303</v>
      </c>
      <c r="N190" s="223"/>
      <c r="O190" s="122">
        <f t="shared" si="83"/>
        <v>884.71599999999989</v>
      </c>
      <c r="P190" s="123">
        <f t="shared" si="84"/>
        <v>131.94397217698392</v>
      </c>
      <c r="Q190" s="115"/>
      <c r="S190">
        <f t="shared" si="71"/>
        <v>478.54500000000002</v>
      </c>
      <c r="T190" s="44">
        <f>E190+апр!I183</f>
        <v>465.83500000000004</v>
      </c>
      <c r="U190" s="30">
        <f>F190+апр!J183</f>
        <v>399.52700000000004</v>
      </c>
    </row>
    <row r="191" spans="1:21" ht="33" customHeight="1">
      <c r="A191" s="206" t="s">
        <v>173</v>
      </c>
      <c r="B191" s="6" t="s">
        <v>176</v>
      </c>
      <c r="C191" s="206" t="s">
        <v>4</v>
      </c>
      <c r="D191" s="7">
        <f t="shared" ref="D191:F191" si="95">D192+D193+D194</f>
        <v>50.518000000000001</v>
      </c>
      <c r="E191" s="7">
        <v>50.5</v>
      </c>
      <c r="F191" s="7">
        <f t="shared" si="95"/>
        <v>0</v>
      </c>
      <c r="G191" s="10">
        <f t="shared" si="78"/>
        <v>-50.5</v>
      </c>
      <c r="H191" s="7">
        <f t="shared" ref="H191:J191" si="96">H192+H193+H194</f>
        <v>571.92799999999988</v>
      </c>
      <c r="I191" s="7">
        <f t="shared" si="96"/>
        <v>0</v>
      </c>
      <c r="J191" s="7">
        <f t="shared" si="96"/>
        <v>636.77300000000002</v>
      </c>
      <c r="K191" s="10">
        <f t="shared" si="80"/>
        <v>636.77300000000002</v>
      </c>
      <c r="L191" s="16" t="e">
        <f t="shared" si="89"/>
        <v>#DIV/0!</v>
      </c>
      <c r="M191" s="229" t="s">
        <v>293</v>
      </c>
      <c r="N191" s="230"/>
      <c r="O191" s="122">
        <f t="shared" si="83"/>
        <v>64.845000000000141</v>
      </c>
      <c r="P191" s="123">
        <f t="shared" si="84"/>
        <v>11.337965618049852</v>
      </c>
      <c r="Q191" s="205"/>
      <c r="R191" s="7">
        <f>R192+R193+R194</f>
        <v>343.50800000000004</v>
      </c>
      <c r="S191">
        <f t="shared" si="71"/>
        <v>252.59</v>
      </c>
      <c r="T191" s="44">
        <f>E191+апр!I184</f>
        <v>252.5</v>
      </c>
      <c r="U191" s="30">
        <f>F191+апр!J184</f>
        <v>0</v>
      </c>
    </row>
    <row r="192" spans="1:21" ht="17.25" customHeight="1">
      <c r="A192" s="8" t="s">
        <v>268</v>
      </c>
      <c r="B192" s="9" t="s">
        <v>177</v>
      </c>
      <c r="C192" s="8" t="s">
        <v>4</v>
      </c>
      <c r="D192" s="10">
        <v>19.254000000000001</v>
      </c>
      <c r="E192" s="8"/>
      <c r="F192" s="10"/>
      <c r="G192" s="10">
        <f t="shared" si="78"/>
        <v>0</v>
      </c>
      <c r="H192" s="10">
        <f>D192+октябрь!H191</f>
        <v>228.02399999999994</v>
      </c>
      <c r="I192" s="8">
        <f>E192+сентябрь!I191</f>
        <v>0</v>
      </c>
      <c r="J192" s="183">
        <v>636.77300000000002</v>
      </c>
      <c r="K192" s="10">
        <f t="shared" si="80"/>
        <v>636.77300000000002</v>
      </c>
      <c r="L192" s="16"/>
      <c r="M192" s="220"/>
      <c r="N192" s="221"/>
      <c r="O192" s="122">
        <f t="shared" si="83"/>
        <v>408.74900000000008</v>
      </c>
      <c r="P192" s="123">
        <f t="shared" si="84"/>
        <v>179.25700803424209</v>
      </c>
      <c r="Q192" s="199"/>
      <c r="R192" s="10">
        <v>130.12</v>
      </c>
      <c r="S192">
        <f t="shared" si="71"/>
        <v>96.27000000000001</v>
      </c>
      <c r="T192" s="44">
        <f>E192+апр!I185</f>
        <v>0</v>
      </c>
      <c r="U192" s="30">
        <f>F192+апр!J185</f>
        <v>0</v>
      </c>
    </row>
    <row r="193" spans="1:21" ht="17.25" customHeight="1">
      <c r="A193" s="8" t="s">
        <v>269</v>
      </c>
      <c r="B193" s="9" t="s">
        <v>178</v>
      </c>
      <c r="C193" s="8" t="s">
        <v>4</v>
      </c>
      <c r="D193" s="10">
        <v>8.7639999999999993</v>
      </c>
      <c r="E193" s="8"/>
      <c r="F193" s="8"/>
      <c r="G193" s="10">
        <f t="shared" si="78"/>
        <v>0</v>
      </c>
      <c r="H193" s="10">
        <f>D193+октябрь!H192</f>
        <v>96.403999999999968</v>
      </c>
      <c r="I193" s="8">
        <f>E193+сентябрь!I192</f>
        <v>0</v>
      </c>
      <c r="J193" s="183">
        <f>F193+сентябрь!J192</f>
        <v>0</v>
      </c>
      <c r="K193" s="10">
        <f t="shared" si="80"/>
        <v>0</v>
      </c>
      <c r="L193" s="16"/>
      <c r="M193" s="220"/>
      <c r="N193" s="221"/>
      <c r="O193" s="122">
        <f t="shared" si="83"/>
        <v>-96.403999999999968</v>
      </c>
      <c r="P193" s="123">
        <f t="shared" si="84"/>
        <v>-100</v>
      </c>
      <c r="Q193" s="199"/>
      <c r="R193" s="8">
        <v>15.369</v>
      </c>
      <c r="S193">
        <f t="shared" si="71"/>
        <v>43.819999999999993</v>
      </c>
      <c r="T193" s="44">
        <f>E193+апр!I186</f>
        <v>0</v>
      </c>
      <c r="U193" s="30">
        <f>F193+апр!J186</f>
        <v>0</v>
      </c>
    </row>
    <row r="194" spans="1:21" ht="17.25" customHeight="1">
      <c r="A194" s="8" t="s">
        <v>270</v>
      </c>
      <c r="B194" s="9" t="s">
        <v>179</v>
      </c>
      <c r="C194" s="8" t="s">
        <v>4</v>
      </c>
      <c r="D194" s="10">
        <v>22.5</v>
      </c>
      <c r="E194" s="8"/>
      <c r="F194" s="8"/>
      <c r="G194" s="10">
        <f t="shared" si="78"/>
        <v>0</v>
      </c>
      <c r="H194" s="10">
        <f>D194+октябрь!H193</f>
        <v>247.5</v>
      </c>
      <c r="I194" s="8">
        <f>E194+сентябрь!I193</f>
        <v>0</v>
      </c>
      <c r="J194" s="183">
        <f>F194+сентябрь!J193</f>
        <v>0</v>
      </c>
      <c r="K194" s="10">
        <f t="shared" si="80"/>
        <v>0</v>
      </c>
      <c r="L194" s="16"/>
      <c r="M194" s="220"/>
      <c r="N194" s="221"/>
      <c r="O194" s="122">
        <f t="shared" si="83"/>
        <v>-247.5</v>
      </c>
      <c r="P194" s="123">
        <f t="shared" si="84"/>
        <v>-100</v>
      </c>
      <c r="Q194" s="199"/>
      <c r="R194" s="8">
        <v>198.01900000000001</v>
      </c>
      <c r="S194">
        <f t="shared" si="71"/>
        <v>112.5</v>
      </c>
      <c r="T194" s="44">
        <f>E194+апр!I187</f>
        <v>0</v>
      </c>
      <c r="U194" s="30">
        <f>F194+апр!J187</f>
        <v>0</v>
      </c>
    </row>
    <row r="195" spans="1:21" ht="17.25" customHeight="1">
      <c r="A195" s="206" t="s">
        <v>175</v>
      </c>
      <c r="B195" s="6" t="s">
        <v>180</v>
      </c>
      <c r="C195" s="206" t="s">
        <v>4</v>
      </c>
      <c r="D195" s="7">
        <f>D196+D197+D198+D199+D204+D205+D206+D207+D211</f>
        <v>186.78400000000005</v>
      </c>
      <c r="E195" s="7">
        <f>E196+E197+E198+E199+E204+E205+E206+E207+E211</f>
        <v>193.416</v>
      </c>
      <c r="F195" s="7">
        <f>F196+F197+F198+F199+F204+F205+F206+F207+F211</f>
        <v>13.217000000000001</v>
      </c>
      <c r="G195" s="10">
        <f t="shared" si="78"/>
        <v>-180.19899999999998</v>
      </c>
      <c r="H195" s="7">
        <f>H196+H197+H198+H199+H204+H205+H206+H207+H211</f>
        <v>9410.3289999999997</v>
      </c>
      <c r="I195" s="7">
        <f>I196+I197+I198+I199+I204+I205+I206+I207+I211</f>
        <v>1934.085</v>
      </c>
      <c r="J195" s="7">
        <f>J196+J197+J198+J199+J204+J205+J206+J207+J211+J212</f>
        <v>1197.0140000000001</v>
      </c>
      <c r="K195" s="10">
        <f t="shared" si="80"/>
        <v>-737.07099999999991</v>
      </c>
      <c r="L195" s="16">
        <f t="shared" si="89"/>
        <v>-38.109545340561553</v>
      </c>
      <c r="M195" s="226"/>
      <c r="N195" s="221"/>
      <c r="O195" s="122">
        <f t="shared" si="83"/>
        <v>-8213.3149999999987</v>
      </c>
      <c r="P195" s="123">
        <f t="shared" si="84"/>
        <v>-87.279785860834409</v>
      </c>
      <c r="Q195" s="114"/>
      <c r="S195">
        <f t="shared" si="71"/>
        <v>933.9200000000003</v>
      </c>
      <c r="T195" s="44">
        <f>E195+апр!I188</f>
        <v>967.07999999999993</v>
      </c>
      <c r="U195" s="30">
        <f>F195+апр!J188</f>
        <v>438.53199999999998</v>
      </c>
    </row>
    <row r="196" spans="1:21" ht="17.25" customHeight="1">
      <c r="A196" s="18" t="s">
        <v>271</v>
      </c>
      <c r="B196" s="9" t="s">
        <v>181</v>
      </c>
      <c r="C196" s="8" t="s">
        <v>4</v>
      </c>
      <c r="D196" s="10">
        <v>0</v>
      </c>
      <c r="E196" s="8"/>
      <c r="F196" s="8"/>
      <c r="G196" s="10">
        <f t="shared" si="78"/>
        <v>0</v>
      </c>
      <c r="H196" s="10">
        <f>D196+октябрь!H195</f>
        <v>7.4550000000000001</v>
      </c>
      <c r="I196" s="8">
        <f>E196+сентябрь!I195</f>
        <v>0</v>
      </c>
      <c r="J196" s="54">
        <f>F196+сентябрь!J195</f>
        <v>0</v>
      </c>
      <c r="K196" s="10">
        <f t="shared" si="80"/>
        <v>0</v>
      </c>
      <c r="L196" s="16"/>
      <c r="M196" s="220"/>
      <c r="N196" s="221"/>
      <c r="O196" s="122">
        <f t="shared" si="83"/>
        <v>-7.4550000000000001</v>
      </c>
      <c r="P196" s="123">
        <f t="shared" si="84"/>
        <v>-100</v>
      </c>
      <c r="Q196" s="114"/>
      <c r="S196">
        <f t="shared" si="71"/>
        <v>0</v>
      </c>
      <c r="T196" s="44">
        <f>E196+апр!I189</f>
        <v>0</v>
      </c>
      <c r="U196" s="30">
        <f>F196+апр!J189</f>
        <v>0</v>
      </c>
    </row>
    <row r="197" spans="1:21" ht="17.25" customHeight="1">
      <c r="A197" s="18" t="s">
        <v>272</v>
      </c>
      <c r="B197" s="9" t="s">
        <v>182</v>
      </c>
      <c r="C197" s="8" t="s">
        <v>4</v>
      </c>
      <c r="D197" s="10">
        <v>15.651</v>
      </c>
      <c r="E197" s="10">
        <v>22.25</v>
      </c>
      <c r="F197" s="55">
        <v>12.324</v>
      </c>
      <c r="G197" s="10">
        <f t="shared" si="78"/>
        <v>-9.9260000000000002</v>
      </c>
      <c r="H197" s="10">
        <f>D197+октябрь!H196</f>
        <v>172.161</v>
      </c>
      <c r="I197" s="8">
        <f>E197+сентябрь!I196</f>
        <v>222.5</v>
      </c>
      <c r="J197" s="183">
        <f>33.797+207.845</f>
        <v>241.642</v>
      </c>
      <c r="K197" s="10">
        <f t="shared" si="80"/>
        <v>19.141999999999996</v>
      </c>
      <c r="L197" s="16">
        <f t="shared" si="89"/>
        <v>8.6031460674157287</v>
      </c>
      <c r="M197" s="220"/>
      <c r="N197" s="221"/>
      <c r="O197" s="122">
        <f t="shared" si="83"/>
        <v>69.480999999999995</v>
      </c>
      <c r="P197" s="123">
        <f t="shared" si="84"/>
        <v>40.358153124110565</v>
      </c>
      <c r="Q197" s="114"/>
      <c r="S197">
        <f t="shared" si="71"/>
        <v>78.254999999999995</v>
      </c>
      <c r="T197" s="44">
        <f>E197+апр!I190</f>
        <v>111.25</v>
      </c>
      <c r="U197" s="30">
        <f>F197+апр!J190</f>
        <v>143.67900000000003</v>
      </c>
    </row>
    <row r="198" spans="1:21" ht="33.75" customHeight="1">
      <c r="A198" s="18" t="s">
        <v>273</v>
      </c>
      <c r="B198" s="9" t="s">
        <v>237</v>
      </c>
      <c r="C198" s="8" t="s">
        <v>4</v>
      </c>
      <c r="D198" s="10">
        <v>1.4910000000000001</v>
      </c>
      <c r="E198" s="10">
        <v>1.5</v>
      </c>
      <c r="F198" s="54"/>
      <c r="G198" s="10">
        <f t="shared" si="78"/>
        <v>-1.5</v>
      </c>
      <c r="H198" s="10">
        <f>D198+октябрь!H197</f>
        <v>16.401</v>
      </c>
      <c r="I198" s="8">
        <f>E198+сентябрь!I197</f>
        <v>15</v>
      </c>
      <c r="J198" s="183">
        <f>3.6+13.09</f>
        <v>16.690000000000001</v>
      </c>
      <c r="K198" s="10">
        <f t="shared" si="80"/>
        <v>1.6900000000000013</v>
      </c>
      <c r="L198" s="16">
        <f t="shared" si="89"/>
        <v>11.266666666666675</v>
      </c>
      <c r="M198" s="220"/>
      <c r="N198" s="221"/>
      <c r="O198" s="122">
        <f t="shared" si="83"/>
        <v>0.28900000000000148</v>
      </c>
      <c r="P198" s="123">
        <f t="shared" si="84"/>
        <v>1.7620876775806444</v>
      </c>
      <c r="Q198" s="114"/>
      <c r="S198">
        <f t="shared" si="71"/>
        <v>7.4550000000000001</v>
      </c>
      <c r="T198" s="44">
        <f>E198+апр!I191</f>
        <v>7.5</v>
      </c>
      <c r="U198" s="30">
        <f>F198+апр!J191</f>
        <v>9.09</v>
      </c>
    </row>
    <row r="199" spans="1:21" ht="36.75" customHeight="1">
      <c r="A199" s="18" t="s">
        <v>274</v>
      </c>
      <c r="B199" s="9" t="s">
        <v>183</v>
      </c>
      <c r="C199" s="8" t="s">
        <v>4</v>
      </c>
      <c r="D199" s="10">
        <f t="shared" ref="D199:F199" si="97">D200+D201+D202+D203</f>
        <v>149.55900000000003</v>
      </c>
      <c r="E199" s="10">
        <f t="shared" si="97"/>
        <v>149.583</v>
      </c>
      <c r="F199" s="10">
        <f t="shared" si="97"/>
        <v>0</v>
      </c>
      <c r="G199" s="10">
        <f t="shared" si="78"/>
        <v>-149.583</v>
      </c>
      <c r="H199" s="10">
        <f t="shared" ref="H199:J199" si="98">H200+H201+H202+H203</f>
        <v>1645.1490000000001</v>
      </c>
      <c r="I199" s="10">
        <f t="shared" si="98"/>
        <v>1495.83</v>
      </c>
      <c r="J199" s="10">
        <f t="shared" si="98"/>
        <v>589.34</v>
      </c>
      <c r="K199" s="10">
        <f t="shared" si="80"/>
        <v>-906.4899999999999</v>
      </c>
      <c r="L199" s="16">
        <f t="shared" si="89"/>
        <v>-60.601137829833597</v>
      </c>
      <c r="M199" s="220"/>
      <c r="N199" s="221"/>
      <c r="O199" s="122">
        <f t="shared" si="83"/>
        <v>-1055.8090000000002</v>
      </c>
      <c r="P199" s="123">
        <f t="shared" si="84"/>
        <v>-64.177104930921161</v>
      </c>
      <c r="Q199" s="114"/>
      <c r="S199">
        <f t="shared" si="71"/>
        <v>747.79500000000007</v>
      </c>
      <c r="T199" s="44">
        <f>E199+апр!I192</f>
        <v>747.91499999999996</v>
      </c>
      <c r="U199" s="30">
        <f>F199+апр!J192</f>
        <v>274.28100000000001</v>
      </c>
    </row>
    <row r="200" spans="1:21" ht="74.25" customHeight="1">
      <c r="A200" s="8" t="s">
        <v>275</v>
      </c>
      <c r="B200" s="9" t="s">
        <v>184</v>
      </c>
      <c r="C200" s="8" t="s">
        <v>4</v>
      </c>
      <c r="D200" s="10">
        <v>33.363999999999997</v>
      </c>
      <c r="E200" s="8">
        <v>33.332999999999998</v>
      </c>
      <c r="F200" s="55"/>
      <c r="G200" s="10">
        <f t="shared" si="78"/>
        <v>-33.332999999999998</v>
      </c>
      <c r="H200" s="10">
        <f>D200+октябрь!H199</f>
        <v>367.00399999999991</v>
      </c>
      <c r="I200" s="8">
        <f>E200+сентябрь!I199</f>
        <v>333.32999999999993</v>
      </c>
      <c r="J200" s="183">
        <f>15.746+117.959+31.491</f>
        <v>165.19600000000003</v>
      </c>
      <c r="K200" s="10">
        <f t="shared" si="80"/>
        <v>-168.1339999999999</v>
      </c>
      <c r="L200" s="16">
        <f t="shared" si="89"/>
        <v>-50.440704407044059</v>
      </c>
      <c r="M200" s="220"/>
      <c r="N200" s="221"/>
      <c r="O200" s="122">
        <f t="shared" si="83"/>
        <v>-201.80799999999988</v>
      </c>
      <c r="P200" s="123">
        <f t="shared" si="84"/>
        <v>-54.987956534533666</v>
      </c>
      <c r="Q200" s="114"/>
      <c r="S200">
        <f t="shared" si="71"/>
        <v>166.82</v>
      </c>
      <c r="T200" s="44">
        <f>E200+апр!I193</f>
        <v>166.66499999999999</v>
      </c>
      <c r="U200" s="30">
        <f>F200+апр!J193</f>
        <v>189.47499999999999</v>
      </c>
    </row>
    <row r="201" spans="1:21" ht="93" customHeight="1">
      <c r="A201" s="8" t="s">
        <v>276</v>
      </c>
      <c r="B201" s="9" t="s">
        <v>238</v>
      </c>
      <c r="C201" s="8" t="s">
        <v>4</v>
      </c>
      <c r="D201" s="10">
        <v>89.792000000000002</v>
      </c>
      <c r="E201" s="8">
        <v>89.832999999999998</v>
      </c>
      <c r="F201" s="55"/>
      <c r="G201" s="10">
        <f t="shared" si="78"/>
        <v>-89.832999999999998</v>
      </c>
      <c r="H201" s="10">
        <f>D201+октябрь!H200</f>
        <v>987.71200000000022</v>
      </c>
      <c r="I201" s="8">
        <f>E201+сентябрь!I200</f>
        <v>898.32999999999981</v>
      </c>
      <c r="J201" s="183">
        <v>180.55600000000001</v>
      </c>
      <c r="K201" s="10">
        <f t="shared" si="80"/>
        <v>-717.77399999999977</v>
      </c>
      <c r="L201" s="16">
        <f t="shared" si="89"/>
        <v>-79.900927276167991</v>
      </c>
      <c r="M201" s="220"/>
      <c r="N201" s="221"/>
      <c r="O201" s="122">
        <f t="shared" si="83"/>
        <v>-807.15600000000018</v>
      </c>
      <c r="P201" s="123">
        <f t="shared" si="84"/>
        <v>-81.719772565282184</v>
      </c>
      <c r="Q201" s="114"/>
      <c r="S201">
        <f t="shared" si="71"/>
        <v>448.96000000000004</v>
      </c>
      <c r="T201" s="44">
        <f>E201+апр!I194</f>
        <v>449.16499999999996</v>
      </c>
      <c r="U201" s="30">
        <f>F201+апр!J194</f>
        <v>0</v>
      </c>
    </row>
    <row r="202" spans="1:21" ht="90.75" customHeight="1">
      <c r="A202" s="8" t="s">
        <v>277</v>
      </c>
      <c r="B202" s="9" t="s">
        <v>185</v>
      </c>
      <c r="C202" s="8" t="s">
        <v>4</v>
      </c>
      <c r="D202" s="10">
        <v>7.9660000000000002</v>
      </c>
      <c r="E202" s="8">
        <v>8</v>
      </c>
      <c r="F202" s="55"/>
      <c r="G202" s="10">
        <f t="shared" si="78"/>
        <v>-8</v>
      </c>
      <c r="H202" s="10">
        <f>D202+октябрь!H201</f>
        <v>87.625999999999991</v>
      </c>
      <c r="I202" s="8">
        <f>E202+сентябрь!I201</f>
        <v>80</v>
      </c>
      <c r="J202" s="183">
        <v>87.111000000000004</v>
      </c>
      <c r="K202" s="10">
        <f t="shared" si="80"/>
        <v>7.1110000000000042</v>
      </c>
      <c r="L202" s="16">
        <f t="shared" si="89"/>
        <v>8.8887500000000053</v>
      </c>
      <c r="M202" s="220"/>
      <c r="N202" s="221"/>
      <c r="O202" s="122">
        <f t="shared" si="83"/>
        <v>-0.51499999999998636</v>
      </c>
      <c r="P202" s="123">
        <f t="shared" si="84"/>
        <v>-0.58772510442104675</v>
      </c>
      <c r="Q202" s="114">
        <v>180.55600000000001</v>
      </c>
      <c r="S202">
        <f t="shared" si="71"/>
        <v>39.83</v>
      </c>
      <c r="T202" s="44">
        <f>E202+апр!I195</f>
        <v>40</v>
      </c>
      <c r="U202" s="30">
        <f>F202+апр!J195</f>
        <v>15.260999999999999</v>
      </c>
    </row>
    <row r="203" spans="1:21" ht="37.5" customHeight="1">
      <c r="A203" s="8" t="s">
        <v>278</v>
      </c>
      <c r="B203" s="9" t="s">
        <v>186</v>
      </c>
      <c r="C203" s="8" t="s">
        <v>4</v>
      </c>
      <c r="D203" s="10">
        <v>18.437000000000001</v>
      </c>
      <c r="E203" s="8">
        <v>18.417000000000002</v>
      </c>
      <c r="F203" s="55"/>
      <c r="G203" s="10">
        <f t="shared" si="78"/>
        <v>-18.417000000000002</v>
      </c>
      <c r="H203" s="10">
        <f>D203+октябрь!H202</f>
        <v>202.80700000000004</v>
      </c>
      <c r="I203" s="8">
        <f>E203+сентябрь!I202</f>
        <v>184.17000000000002</v>
      </c>
      <c r="J203" s="183">
        <f>34.773+121.704</f>
        <v>156.477</v>
      </c>
      <c r="K203" s="10">
        <f t="shared" si="80"/>
        <v>-27.693000000000012</v>
      </c>
      <c r="L203" s="16">
        <f t="shared" si="89"/>
        <v>-15.036650920345338</v>
      </c>
      <c r="M203" s="220"/>
      <c r="N203" s="221"/>
      <c r="O203" s="122">
        <f t="shared" si="83"/>
        <v>-46.330000000000041</v>
      </c>
      <c r="P203" s="123">
        <f t="shared" si="84"/>
        <v>-22.844379138787136</v>
      </c>
      <c r="Q203" s="114"/>
      <c r="S203">
        <f t="shared" si="71"/>
        <v>92.185000000000002</v>
      </c>
      <c r="T203" s="44">
        <f>E203+апр!I196</f>
        <v>92.085000000000008</v>
      </c>
      <c r="U203" s="30">
        <f>F203+апр!J196</f>
        <v>69.545000000000002</v>
      </c>
    </row>
    <row r="204" spans="1:21" ht="17.25" customHeight="1">
      <c r="A204" s="18" t="s">
        <v>279</v>
      </c>
      <c r="B204" s="26" t="s">
        <v>187</v>
      </c>
      <c r="C204" s="8" t="s">
        <v>4</v>
      </c>
      <c r="D204" s="10">
        <v>15.818</v>
      </c>
      <c r="E204" s="8">
        <v>15.833</v>
      </c>
      <c r="F204" s="8"/>
      <c r="G204" s="10">
        <f t="shared" si="78"/>
        <v>-15.833</v>
      </c>
      <c r="H204" s="10">
        <f>D204+октябрь!H203</f>
        <v>173.99800000000002</v>
      </c>
      <c r="I204" s="8">
        <f>E204+сентябрь!I203</f>
        <v>158.255</v>
      </c>
      <c r="J204" s="54">
        <f>F204+сентябрь!J203</f>
        <v>0</v>
      </c>
      <c r="K204" s="10">
        <f t="shared" si="80"/>
        <v>-158.255</v>
      </c>
      <c r="L204" s="16">
        <f t="shared" si="89"/>
        <v>-100</v>
      </c>
      <c r="M204" s="220"/>
      <c r="N204" s="221"/>
      <c r="O204" s="122">
        <f t="shared" si="83"/>
        <v>-173.99800000000002</v>
      </c>
      <c r="P204" s="123">
        <f t="shared" si="84"/>
        <v>-100</v>
      </c>
      <c r="Q204" s="114"/>
      <c r="S204">
        <f t="shared" si="71"/>
        <v>79.09</v>
      </c>
      <c r="T204" s="44">
        <f>E204+апр!I197</f>
        <v>79.165000000000006</v>
      </c>
      <c r="U204" s="30">
        <f>F204+апр!J197</f>
        <v>0</v>
      </c>
    </row>
    <row r="205" spans="1:21" ht="17.25" customHeight="1">
      <c r="A205" s="18"/>
      <c r="B205" s="26" t="s">
        <v>125</v>
      </c>
      <c r="C205" s="8" t="s">
        <v>4</v>
      </c>
      <c r="D205" s="10">
        <v>0.34200000000000003</v>
      </c>
      <c r="E205" s="8">
        <v>0.33300000000000002</v>
      </c>
      <c r="F205" s="8"/>
      <c r="G205" s="10">
        <f t="shared" si="78"/>
        <v>-0.33300000000000002</v>
      </c>
      <c r="H205" s="10">
        <f>D205+октябрь!H204</f>
        <v>21.666999999999994</v>
      </c>
      <c r="I205" s="8">
        <f>E205+сентябрь!I204</f>
        <v>3.3300000000000005</v>
      </c>
      <c r="J205" s="54">
        <f>F205+сентябрь!J204</f>
        <v>0</v>
      </c>
      <c r="K205" s="10">
        <f t="shared" si="80"/>
        <v>-3.3300000000000005</v>
      </c>
      <c r="L205" s="16">
        <f t="shared" si="89"/>
        <v>-100</v>
      </c>
      <c r="M205" s="220"/>
      <c r="N205" s="221"/>
      <c r="O205" s="122">
        <f t="shared" si="83"/>
        <v>-21.666999999999994</v>
      </c>
      <c r="P205" s="123">
        <f t="shared" si="84"/>
        <v>-100</v>
      </c>
      <c r="Q205" s="114"/>
      <c r="S205">
        <f t="shared" si="71"/>
        <v>1.7100000000000002</v>
      </c>
      <c r="T205" s="44">
        <f>E205+апр!I198</f>
        <v>1.665</v>
      </c>
      <c r="U205" s="30">
        <f>F205+апр!J198</f>
        <v>0</v>
      </c>
    </row>
    <row r="206" spans="1:21" ht="17.25" customHeight="1">
      <c r="A206" s="18" t="s">
        <v>280</v>
      </c>
      <c r="B206" s="26" t="s">
        <v>188</v>
      </c>
      <c r="C206" s="8" t="s">
        <v>4</v>
      </c>
      <c r="D206" s="10">
        <v>0</v>
      </c>
      <c r="E206" s="8"/>
      <c r="F206" s="8"/>
      <c r="G206" s="10">
        <f t="shared" si="78"/>
        <v>0</v>
      </c>
      <c r="H206" s="10">
        <f>D206+октябрь!H205</f>
        <v>0</v>
      </c>
      <c r="I206" s="8">
        <f>E206+сентябрь!I205</f>
        <v>0</v>
      </c>
      <c r="J206" s="54">
        <f>F206+сентябрь!J205</f>
        <v>0</v>
      </c>
      <c r="K206" s="10">
        <f t="shared" si="80"/>
        <v>0</v>
      </c>
      <c r="L206" s="16"/>
      <c r="M206" s="220"/>
      <c r="N206" s="221"/>
      <c r="O206" s="122">
        <f t="shared" si="83"/>
        <v>0</v>
      </c>
      <c r="P206" s="123" t="e">
        <f t="shared" si="84"/>
        <v>#DIV/0!</v>
      </c>
      <c r="Q206" s="114"/>
      <c r="S206">
        <f t="shared" si="71"/>
        <v>0</v>
      </c>
      <c r="T206" s="44">
        <f>E206+апр!I199</f>
        <v>0</v>
      </c>
      <c r="U206" s="30">
        <f>F206+апр!J199</f>
        <v>0</v>
      </c>
    </row>
    <row r="207" spans="1:21" ht="27" customHeight="1">
      <c r="A207" s="18" t="s">
        <v>281</v>
      </c>
      <c r="B207" s="26" t="s">
        <v>189</v>
      </c>
      <c r="C207" s="8" t="s">
        <v>4</v>
      </c>
      <c r="D207" s="10">
        <v>3.923</v>
      </c>
      <c r="E207" s="8">
        <v>3.9169999999999998</v>
      </c>
      <c r="F207" s="54">
        <v>0.89300000000000002</v>
      </c>
      <c r="G207" s="10">
        <f t="shared" si="78"/>
        <v>-3.024</v>
      </c>
      <c r="H207" s="10">
        <f>D207+октябрь!H206</f>
        <v>23.538000000000004</v>
      </c>
      <c r="I207" s="8">
        <f>E207+сентябрь!I206</f>
        <v>39.170000000000009</v>
      </c>
      <c r="J207" s="183">
        <f>4.571+13.446</f>
        <v>18.016999999999999</v>
      </c>
      <c r="K207" s="10">
        <f t="shared" si="80"/>
        <v>-21.153000000000009</v>
      </c>
      <c r="L207" s="16">
        <f t="shared" si="89"/>
        <v>-54.003063569057964</v>
      </c>
      <c r="M207" s="222" t="s">
        <v>289</v>
      </c>
      <c r="N207" s="223"/>
      <c r="O207" s="122">
        <f t="shared" si="83"/>
        <v>-5.5210000000000043</v>
      </c>
      <c r="P207" s="123">
        <f t="shared" si="84"/>
        <v>-23.455688673634135</v>
      </c>
      <c r="Q207" s="115"/>
      <c r="S207">
        <f t="shared" si="71"/>
        <v>19.615000000000002</v>
      </c>
      <c r="T207" s="44">
        <f>E207+апр!I200</f>
        <v>19.585000000000001</v>
      </c>
      <c r="U207" s="30">
        <f>F207+апр!J200</f>
        <v>11.482000000000001</v>
      </c>
    </row>
    <row r="208" spans="1:21" ht="17.25" customHeight="1">
      <c r="A208" s="18" t="s">
        <v>282</v>
      </c>
      <c r="B208" s="26" t="s">
        <v>225</v>
      </c>
      <c r="C208" s="8" t="s">
        <v>4</v>
      </c>
      <c r="D208" s="10">
        <v>0</v>
      </c>
      <c r="E208" s="8"/>
      <c r="F208" s="8"/>
      <c r="G208" s="10">
        <f t="shared" si="78"/>
        <v>0</v>
      </c>
      <c r="H208" s="10">
        <f>D208+октябрь!H207</f>
        <v>0</v>
      </c>
      <c r="I208" s="8">
        <f>E208+сентябрь!I207</f>
        <v>0</v>
      </c>
      <c r="J208" s="183">
        <f>1835.034+2197.064</f>
        <v>4032.098</v>
      </c>
      <c r="K208" s="10">
        <f t="shared" si="80"/>
        <v>4032.098</v>
      </c>
      <c r="L208" s="16" t="e">
        <f>K208/I208*100</f>
        <v>#DIV/0!</v>
      </c>
      <c r="M208" s="222" t="s">
        <v>290</v>
      </c>
      <c r="N208" s="223"/>
      <c r="O208" s="122">
        <f t="shared" si="83"/>
        <v>4032.098</v>
      </c>
      <c r="P208" s="123" t="e">
        <f t="shared" si="84"/>
        <v>#DIV/0!</v>
      </c>
      <c r="Q208" s="115"/>
      <c r="S208">
        <f t="shared" ref="S208:S226" si="99">D208*5</f>
        <v>0</v>
      </c>
      <c r="T208" s="44">
        <f>E208+апр!I201</f>
        <v>0</v>
      </c>
      <c r="U208" s="30">
        <f>F208+апр!J201</f>
        <v>0</v>
      </c>
    </row>
    <row r="209" spans="1:22" ht="17.25" customHeight="1">
      <c r="A209" s="18" t="s">
        <v>283</v>
      </c>
      <c r="B209" s="26" t="s">
        <v>228</v>
      </c>
      <c r="C209" s="8" t="s">
        <v>4</v>
      </c>
      <c r="D209" s="10">
        <v>0</v>
      </c>
      <c r="E209" s="8"/>
      <c r="F209" s="8"/>
      <c r="G209" s="10">
        <f t="shared" si="78"/>
        <v>0</v>
      </c>
      <c r="H209" s="10">
        <f>D209+октябрь!H208</f>
        <v>0</v>
      </c>
      <c r="I209" s="8">
        <f>E209+сентябрь!I208</f>
        <v>0</v>
      </c>
      <c r="J209" s="54">
        <f>F209+сентябрь!J208</f>
        <v>0</v>
      </c>
      <c r="K209" s="10">
        <f t="shared" si="80"/>
        <v>0</v>
      </c>
      <c r="L209" s="16" t="e">
        <f t="shared" si="89"/>
        <v>#DIV/0!</v>
      </c>
      <c r="M209" s="222" t="s">
        <v>290</v>
      </c>
      <c r="N209" s="223"/>
      <c r="O209" s="122">
        <f t="shared" si="83"/>
        <v>0</v>
      </c>
      <c r="P209" s="123" t="e">
        <f t="shared" si="84"/>
        <v>#DIV/0!</v>
      </c>
      <c r="Q209" s="115"/>
      <c r="S209">
        <f t="shared" si="99"/>
        <v>0</v>
      </c>
      <c r="T209" s="44">
        <f>E209+апр!I202</f>
        <v>0</v>
      </c>
      <c r="U209" s="30">
        <f>F209+апр!J202</f>
        <v>0</v>
      </c>
    </row>
    <row r="210" spans="1:22" ht="34.5" customHeight="1">
      <c r="A210" s="18" t="s">
        <v>284</v>
      </c>
      <c r="B210" s="26" t="s">
        <v>231</v>
      </c>
      <c r="C210" s="8" t="s">
        <v>4</v>
      </c>
      <c r="D210" s="10">
        <v>0</v>
      </c>
      <c r="E210" s="8"/>
      <c r="F210" s="8"/>
      <c r="G210" s="10">
        <f t="shared" si="78"/>
        <v>0</v>
      </c>
      <c r="H210" s="10">
        <f>D210+октябрь!H209</f>
        <v>0</v>
      </c>
      <c r="I210" s="8">
        <f>E210+сентябрь!I209</f>
        <v>0</v>
      </c>
      <c r="J210" s="54">
        <f>F210+сентябрь!J209</f>
        <v>0</v>
      </c>
      <c r="K210" s="10">
        <f t="shared" si="80"/>
        <v>0</v>
      </c>
      <c r="L210" s="16" t="e">
        <f t="shared" si="89"/>
        <v>#DIV/0!</v>
      </c>
      <c r="M210" s="222" t="s">
        <v>290</v>
      </c>
      <c r="N210" s="223"/>
      <c r="O210" s="122">
        <f t="shared" si="83"/>
        <v>0</v>
      </c>
      <c r="P210" s="123" t="e">
        <f t="shared" si="84"/>
        <v>#DIV/0!</v>
      </c>
      <c r="Q210" s="115"/>
      <c r="S210">
        <f t="shared" si="99"/>
        <v>0</v>
      </c>
      <c r="T210" s="44">
        <f>E210+апр!I203</f>
        <v>0</v>
      </c>
      <c r="U210" s="30">
        <f>F210+апр!J203</f>
        <v>0</v>
      </c>
    </row>
    <row r="211" spans="1:22" ht="17.25" customHeight="1">
      <c r="A211" s="18" t="s">
        <v>348</v>
      </c>
      <c r="B211" s="26" t="s">
        <v>230</v>
      </c>
      <c r="C211" s="8" t="s">
        <v>4</v>
      </c>
      <c r="D211" s="10">
        <v>0</v>
      </c>
      <c r="E211" s="8"/>
      <c r="F211" s="8"/>
      <c r="G211" s="10">
        <f t="shared" si="78"/>
        <v>0</v>
      </c>
      <c r="H211" s="10">
        <f>D211+октябрь!H210</f>
        <v>7349.96</v>
      </c>
      <c r="I211" s="8">
        <f>E211+сентябрь!I210</f>
        <v>0</v>
      </c>
      <c r="J211" s="54">
        <f>F211+сентябрь!J210</f>
        <v>0</v>
      </c>
      <c r="K211" s="10">
        <f t="shared" si="80"/>
        <v>0</v>
      </c>
      <c r="L211" s="16"/>
      <c r="M211" s="220"/>
      <c r="N211" s="221"/>
      <c r="O211" s="122">
        <f t="shared" si="83"/>
        <v>-7349.96</v>
      </c>
      <c r="P211" s="123">
        <f t="shared" si="84"/>
        <v>-100</v>
      </c>
      <c r="Q211" s="114"/>
      <c r="S211">
        <f t="shared" si="99"/>
        <v>0</v>
      </c>
      <c r="T211" s="44">
        <f>E211+апр!I204</f>
        <v>0</v>
      </c>
      <c r="U211" s="30">
        <f>F211+апр!J204</f>
        <v>0</v>
      </c>
    </row>
    <row r="212" spans="1:22" ht="17.25" customHeight="1">
      <c r="A212" s="18" t="s">
        <v>349</v>
      </c>
      <c r="B212" s="26" t="s">
        <v>350</v>
      </c>
      <c r="C212" s="8" t="s">
        <v>4</v>
      </c>
      <c r="D212" s="10"/>
      <c r="E212" s="8"/>
      <c r="F212" s="8"/>
      <c r="G212" s="10"/>
      <c r="H212" s="10">
        <f>D212+октябрь!H211</f>
        <v>0</v>
      </c>
      <c r="I212" s="8"/>
      <c r="J212" s="10">
        <v>331.32499999999999</v>
      </c>
      <c r="K212" s="10"/>
      <c r="L212" s="16"/>
      <c r="M212" s="198"/>
      <c r="N212" s="199"/>
      <c r="O212" s="122"/>
      <c r="P212" s="123"/>
      <c r="Q212" s="114"/>
      <c r="T212" s="44"/>
      <c r="U212" s="30"/>
    </row>
    <row r="213" spans="1:22" ht="21" customHeight="1">
      <c r="A213" s="206" t="s">
        <v>190</v>
      </c>
      <c r="B213" s="6" t="s">
        <v>191</v>
      </c>
      <c r="C213" s="206" t="s">
        <v>4</v>
      </c>
      <c r="D213" s="7">
        <f>D8+D145</f>
        <v>76555.231</v>
      </c>
      <c r="E213" s="21">
        <f>E8+E145</f>
        <v>71086.831999999995</v>
      </c>
      <c r="F213" s="7">
        <f>F8+F145</f>
        <v>72274.350999999995</v>
      </c>
      <c r="G213" s="10">
        <f t="shared" ref="G213:G221" si="100">F213-E213</f>
        <v>1187.5190000000002</v>
      </c>
      <c r="H213" s="7">
        <f>H8+H145</f>
        <v>823718.60317322926</v>
      </c>
      <c r="I213" s="7">
        <f>I8+I145</f>
        <v>685108.88378061762</v>
      </c>
      <c r="J213" s="7">
        <f>J8+J145</f>
        <v>788343.31649999984</v>
      </c>
      <c r="K213" s="10">
        <f t="shared" ref="K213:K221" si="101">J213-I213</f>
        <v>103234.43271938222</v>
      </c>
      <c r="L213" s="16">
        <f t="shared" ref="L213:L221" si="102">K213/I213*100</f>
        <v>15.068324928105802</v>
      </c>
      <c r="M213" s="220"/>
      <c r="N213" s="221"/>
      <c r="O213" s="122">
        <f>J213-H213</f>
        <v>-35375.286673229421</v>
      </c>
      <c r="P213" s="123">
        <f t="shared" si="84"/>
        <v>-4.2945839194298179</v>
      </c>
      <c r="Q213" s="114"/>
      <c r="R213" s="30"/>
      <c r="S213">
        <f t="shared" si="99"/>
        <v>382776.15500000003</v>
      </c>
      <c r="T213" s="44">
        <f>E213+апр!I205</f>
        <v>355434.16</v>
      </c>
      <c r="U213" s="30">
        <f>F213+апр!J205</f>
        <v>355258.99949999992</v>
      </c>
    </row>
    <row r="214" spans="1:22" ht="17.25" customHeight="1">
      <c r="A214" s="206" t="s">
        <v>192</v>
      </c>
      <c r="B214" s="6" t="s">
        <v>193</v>
      </c>
      <c r="C214" s="206" t="s">
        <v>4</v>
      </c>
      <c r="D214" s="7">
        <v>1469.992</v>
      </c>
      <c r="E214" s="206">
        <v>1470.0830000000001</v>
      </c>
      <c r="F214" s="21">
        <f>F217-F213</f>
        <v>-8991.7809999999954</v>
      </c>
      <c r="G214" s="16">
        <f t="shared" si="100"/>
        <v>-10461.863999999996</v>
      </c>
      <c r="H214" s="10">
        <f>D214+октябрь!H213</f>
        <v>16169.912</v>
      </c>
      <c r="I214" s="8">
        <f>E214+сентябрь!I213</f>
        <v>14700.830000000004</v>
      </c>
      <c r="J214" s="54">
        <f>F214+сентябрь!J213</f>
        <v>75601.028579999926</v>
      </c>
      <c r="K214" s="10">
        <f t="shared" si="101"/>
        <v>60900.198579999924</v>
      </c>
      <c r="L214" s="16">
        <f t="shared" si="102"/>
        <v>414.26367477210408</v>
      </c>
      <c r="M214" s="220"/>
      <c r="N214" s="221"/>
      <c r="O214" s="122">
        <f t="shared" si="83"/>
        <v>59431.116579999929</v>
      </c>
      <c r="P214" s="123">
        <f t="shared" si="84"/>
        <v>367.54137301427448</v>
      </c>
      <c r="Q214" s="114"/>
      <c r="S214">
        <f>D214*5</f>
        <v>7349.96</v>
      </c>
      <c r="T214" s="44">
        <f>E214+апр!I206</f>
        <v>7350.4150000000009</v>
      </c>
      <c r="U214" s="30">
        <f>F214+апр!J206</f>
        <v>-1329.061460000019</v>
      </c>
    </row>
    <row r="215" spans="1:22" ht="17.25" customHeight="1">
      <c r="A215" s="206" t="s">
        <v>194</v>
      </c>
      <c r="B215" s="6" t="s">
        <v>195</v>
      </c>
      <c r="C215" s="206" t="s">
        <v>4</v>
      </c>
      <c r="D215" s="7">
        <f>D213+D214</f>
        <v>78025.222999999998</v>
      </c>
      <c r="E215" s="21">
        <f>E213+E214</f>
        <v>72556.914999999994</v>
      </c>
      <c r="F215" s="21">
        <f>F213+F214</f>
        <v>63282.57</v>
      </c>
      <c r="G215" s="16">
        <f t="shared" si="100"/>
        <v>-9274.3449999999939</v>
      </c>
      <c r="H215" s="7">
        <f>H213+H214</f>
        <v>839888.51517322927</v>
      </c>
      <c r="I215" s="7">
        <f>I213+I214</f>
        <v>699809.71378061757</v>
      </c>
      <c r="J215" s="7">
        <f>J213+J214</f>
        <v>863944.34507999977</v>
      </c>
      <c r="K215" s="10">
        <f t="shared" si="101"/>
        <v>164134.63129938219</v>
      </c>
      <c r="L215" s="16">
        <f t="shared" si="102"/>
        <v>23.454180196023479</v>
      </c>
      <c r="M215" s="220"/>
      <c r="N215" s="221"/>
      <c r="O215" s="122">
        <f t="shared" si="83"/>
        <v>24055.829906770494</v>
      </c>
      <c r="P215" s="123">
        <f t="shared" si="84"/>
        <v>2.8641694072705488</v>
      </c>
      <c r="Q215" s="114"/>
      <c r="S215">
        <f t="shared" si="99"/>
        <v>390126.11499999999</v>
      </c>
      <c r="T215" s="44">
        <f>E215+апр!I207</f>
        <v>362784.57499999995</v>
      </c>
      <c r="U215" s="30">
        <f>F215+апр!J207</f>
        <v>353929.93803999986</v>
      </c>
    </row>
    <row r="216" spans="1:22" ht="17.25" customHeight="1">
      <c r="A216" s="224" t="s">
        <v>196</v>
      </c>
      <c r="B216" s="225" t="s">
        <v>197</v>
      </c>
      <c r="C216" s="206" t="s">
        <v>114</v>
      </c>
      <c r="D216" s="7">
        <v>559.39200000000005</v>
      </c>
      <c r="E216" s="206">
        <v>523.61</v>
      </c>
      <c r="F216" s="210">
        <v>515.56799999999998</v>
      </c>
      <c r="G216" s="10">
        <f t="shared" si="100"/>
        <v>-8.04200000000003</v>
      </c>
      <c r="H216" s="10">
        <f>D216+октябрь!H215</f>
        <v>6153.311999999999</v>
      </c>
      <c r="I216" s="8">
        <f>E216+сентябрь!I215</f>
        <v>5236.0999999999995</v>
      </c>
      <c r="J216" s="54">
        <f>F216+сентябрь!J215</f>
        <v>6140.4670000000006</v>
      </c>
      <c r="K216" s="10">
        <f t="shared" si="101"/>
        <v>904.3670000000011</v>
      </c>
      <c r="L216" s="16">
        <f t="shared" si="102"/>
        <v>17.271767154943589</v>
      </c>
      <c r="M216" s="220"/>
      <c r="N216" s="221"/>
      <c r="O216" s="122">
        <f t="shared" si="83"/>
        <v>-12.844999999998436</v>
      </c>
      <c r="P216" s="123">
        <f t="shared" si="84"/>
        <v>-0.20874936944524244</v>
      </c>
      <c r="Q216" s="114"/>
      <c r="S216">
        <f t="shared" si="99"/>
        <v>2796.96</v>
      </c>
      <c r="T216" s="44">
        <f>E216+апр!I208</f>
        <v>2618.0500000000002</v>
      </c>
      <c r="U216" s="30">
        <f>F216+апр!J208</f>
        <v>2622.9300000000003</v>
      </c>
    </row>
    <row r="217" spans="1:22" ht="17.25" customHeight="1">
      <c r="A217" s="224"/>
      <c r="B217" s="225"/>
      <c r="C217" s="206" t="s">
        <v>4</v>
      </c>
      <c r="D217" s="7">
        <f>D215</f>
        <v>78025.222999999998</v>
      </c>
      <c r="E217" s="21">
        <f>E215</f>
        <v>72556.914999999994</v>
      </c>
      <c r="F217" s="206">
        <v>63282.57</v>
      </c>
      <c r="G217" s="16">
        <f t="shared" si="100"/>
        <v>-9274.3449999999939</v>
      </c>
      <c r="H217" s="10">
        <f>D217+октябрь!H216</f>
        <v>858277.45299999998</v>
      </c>
      <c r="I217" s="7">
        <f>I215</f>
        <v>699809.71378061757</v>
      </c>
      <c r="J217" s="206">
        <f>J221*J216</f>
        <v>863944.34507999977</v>
      </c>
      <c r="K217" s="10">
        <f t="shared" si="101"/>
        <v>164134.63129938219</v>
      </c>
      <c r="L217" s="16">
        <f t="shared" si="102"/>
        <v>23.454180196023479</v>
      </c>
      <c r="M217" s="220"/>
      <c r="N217" s="221"/>
      <c r="O217" s="122">
        <f t="shared" si="83"/>
        <v>5666.8920799997868</v>
      </c>
      <c r="P217" s="123">
        <f t="shared" si="84"/>
        <v>0.66026342183310116</v>
      </c>
      <c r="Q217" s="114"/>
      <c r="S217">
        <f t="shared" si="99"/>
        <v>390126.11499999999</v>
      </c>
      <c r="T217" s="44">
        <f>E217+апр!I209</f>
        <v>362784.57499999995</v>
      </c>
      <c r="U217" s="30">
        <f>F217+апр!J209</f>
        <v>353929.93803999986</v>
      </c>
    </row>
    <row r="218" spans="1:22" ht="17.25" customHeight="1">
      <c r="A218" s="206" t="s">
        <v>198</v>
      </c>
      <c r="B218" s="207" t="s">
        <v>199</v>
      </c>
      <c r="C218" s="206" t="s">
        <v>114</v>
      </c>
      <c r="D218" s="7">
        <v>761.69899999999996</v>
      </c>
      <c r="E218" s="21">
        <v>713</v>
      </c>
      <c r="F218" s="7">
        <v>715.58</v>
      </c>
      <c r="G218" s="10">
        <f t="shared" si="100"/>
        <v>2.5800000000000409</v>
      </c>
      <c r="H218" s="10">
        <f>D218+октябрь!H217</f>
        <v>8378.6889999999985</v>
      </c>
      <c r="I218" s="8">
        <f>E218+сентябрь!I217</f>
        <v>7130</v>
      </c>
      <c r="J218" s="54">
        <f>F218+сентябрь!J217</f>
        <v>7683.1819999999998</v>
      </c>
      <c r="K218" s="10">
        <f t="shared" si="101"/>
        <v>553.18199999999979</v>
      </c>
      <c r="L218" s="16">
        <f t="shared" si="102"/>
        <v>7.7585133239831672</v>
      </c>
      <c r="M218" s="220"/>
      <c r="N218" s="221"/>
      <c r="O218" s="122">
        <f t="shared" ref="O218:O221" si="103">J218-H218</f>
        <v>-695.5069999999987</v>
      </c>
      <c r="P218" s="123">
        <f t="shared" ref="P218:P221" si="104">O218/H218*100</f>
        <v>-8.3009048312928044</v>
      </c>
      <c r="Q218" s="114"/>
      <c r="S218">
        <f t="shared" si="99"/>
        <v>3808.4949999999999</v>
      </c>
      <c r="T218" s="44">
        <f>E218+апр!I210</f>
        <v>3565</v>
      </c>
      <c r="U218" s="30">
        <f>F218+апр!J210</f>
        <v>3369.2620000000002</v>
      </c>
    </row>
    <row r="219" spans="1:22" ht="17.25" customHeight="1">
      <c r="A219" s="224" t="s">
        <v>200</v>
      </c>
      <c r="B219" s="225" t="s">
        <v>201</v>
      </c>
      <c r="C219" s="206" t="s">
        <v>202</v>
      </c>
      <c r="D219" s="21">
        <f>D220/D218*100</f>
        <v>26.559966600980168</v>
      </c>
      <c r="E219" s="21">
        <f>E220/E218*100</f>
        <v>26.562412342215985</v>
      </c>
      <c r="F219" s="21">
        <f>F220/F218*100</f>
        <v>27.951032728695608</v>
      </c>
      <c r="G219" s="10">
        <f t="shared" si="100"/>
        <v>1.3886203864796229</v>
      </c>
      <c r="H219" s="21">
        <f>H220/H218*100</f>
        <v>26.559966600980179</v>
      </c>
      <c r="I219" s="21">
        <f>I220/I218*100</f>
        <v>26.562412342215996</v>
      </c>
      <c r="J219" s="21">
        <f>J220/J218*100</f>
        <v>20.079115658069785</v>
      </c>
      <c r="K219" s="10">
        <f t="shared" si="101"/>
        <v>-6.483296684146211</v>
      </c>
      <c r="L219" s="16">
        <f t="shared" si="102"/>
        <v>-24.407785710946971</v>
      </c>
      <c r="M219" s="220"/>
      <c r="N219" s="221"/>
      <c r="O219" s="122">
        <f t="shared" si="103"/>
        <v>-6.4808509429103935</v>
      </c>
      <c r="P219" s="123">
        <f t="shared" si="104"/>
        <v>-24.400824896636813</v>
      </c>
      <c r="Q219" s="114"/>
      <c r="S219">
        <f t="shared" si="99"/>
        <v>132.79983300490085</v>
      </c>
      <c r="T219" s="44">
        <f>E219+апр!I211</f>
        <v>53.124824684431971</v>
      </c>
      <c r="U219" s="30">
        <f>F219+апр!J211</f>
        <v>48.538277168685028</v>
      </c>
    </row>
    <row r="220" spans="1:22" ht="17.25" customHeight="1">
      <c r="A220" s="224"/>
      <c r="B220" s="225"/>
      <c r="C220" s="206" t="s">
        <v>114</v>
      </c>
      <c r="D220" s="7">
        <f>D218-D216</f>
        <v>202.3069999999999</v>
      </c>
      <c r="E220" s="7">
        <f>E218-E216</f>
        <v>189.39</v>
      </c>
      <c r="F220" s="7">
        <f>F218-F216</f>
        <v>200.01200000000006</v>
      </c>
      <c r="G220" s="10">
        <f t="shared" si="100"/>
        <v>10.622000000000071</v>
      </c>
      <c r="H220" s="7">
        <f>H218-H216</f>
        <v>2225.3769999999995</v>
      </c>
      <c r="I220" s="7">
        <f>I218-I216</f>
        <v>1893.9000000000005</v>
      </c>
      <c r="J220" s="7">
        <f>J218-J216</f>
        <v>1542.7149999999992</v>
      </c>
      <c r="K220" s="10">
        <f t="shared" si="101"/>
        <v>-351.18500000000131</v>
      </c>
      <c r="L220" s="16">
        <f t="shared" si="102"/>
        <v>-18.542953693436885</v>
      </c>
      <c r="M220" s="220"/>
      <c r="N220" s="221"/>
      <c r="O220" s="122">
        <f t="shared" si="103"/>
        <v>-682.66200000000026</v>
      </c>
      <c r="P220" s="123">
        <f t="shared" si="104"/>
        <v>-30.676240475209386</v>
      </c>
      <c r="Q220" s="114"/>
      <c r="S220">
        <f t="shared" si="99"/>
        <v>1011.5349999999995</v>
      </c>
      <c r="T220" s="44">
        <f>E220+апр!I212</f>
        <v>946.94999999999993</v>
      </c>
      <c r="U220" s="30">
        <f>F220+апр!J212</f>
        <v>746.33200000000022</v>
      </c>
    </row>
    <row r="221" spans="1:22" s="1" customFormat="1" ht="21" customHeight="1">
      <c r="A221" s="206" t="s">
        <v>203</v>
      </c>
      <c r="B221" s="6" t="s">
        <v>204</v>
      </c>
      <c r="C221" s="206" t="s">
        <v>205</v>
      </c>
      <c r="D221" s="21">
        <f>D215/D216</f>
        <v>139.48219316686686</v>
      </c>
      <c r="E221" s="21">
        <f>E217/E216</f>
        <v>138.57052959263572</v>
      </c>
      <c r="F221" s="21">
        <f>F217/F216</f>
        <v>122.74340145237873</v>
      </c>
      <c r="G221" s="10">
        <f t="shared" si="100"/>
        <v>-15.827128140256988</v>
      </c>
      <c r="H221" s="21">
        <f>H215/H216</f>
        <v>136.49373137153282</v>
      </c>
      <c r="I221" s="21">
        <f>I215/I216</f>
        <v>133.65094512721637</v>
      </c>
      <c r="J221" s="21">
        <f>J215/J216</f>
        <v>140.69684684894483</v>
      </c>
      <c r="K221" s="10">
        <f t="shared" si="101"/>
        <v>7.0459017217284554</v>
      </c>
      <c r="L221" s="16">
        <f t="shared" si="102"/>
        <v>5.2718682348424668</v>
      </c>
      <c r="M221" s="220"/>
      <c r="N221" s="221"/>
      <c r="O221" s="122">
        <f t="shared" si="103"/>
        <v>4.2031154774120125</v>
      </c>
      <c r="P221" s="123">
        <f t="shared" si="104"/>
        <v>3.0793468939399338</v>
      </c>
      <c r="Q221" s="114"/>
      <c r="R221"/>
      <c r="S221">
        <f t="shared" si="99"/>
        <v>697.41096583433432</v>
      </c>
      <c r="T221" s="44">
        <f>E221+апр!I213</f>
        <v>277.14105918527144</v>
      </c>
      <c r="U221" s="30">
        <f>F221+апр!J213</f>
        <v>260.66340192690558</v>
      </c>
      <c r="V221"/>
    </row>
    <row r="222" spans="1:22" ht="17.25" customHeight="1">
      <c r="A222" s="8"/>
      <c r="B222" s="9" t="s">
        <v>206</v>
      </c>
      <c r="C222" s="8"/>
      <c r="D222" s="21"/>
      <c r="E222" s="8"/>
      <c r="F222" s="8"/>
      <c r="G222" s="8"/>
      <c r="H222" s="10"/>
      <c r="I222" s="8"/>
      <c r="J222" s="10"/>
      <c r="K222" s="8"/>
      <c r="L222" s="16"/>
      <c r="M222" s="220"/>
      <c r="N222" s="221"/>
      <c r="O222" s="114"/>
      <c r="P222" s="114"/>
      <c r="Q222" s="114"/>
      <c r="S222">
        <f t="shared" si="99"/>
        <v>0</v>
      </c>
      <c r="T222" s="44">
        <f>E222+апр!I214</f>
        <v>0</v>
      </c>
      <c r="U222" s="30">
        <f>F222+апр!J214</f>
        <v>0</v>
      </c>
    </row>
    <row r="223" spans="1:22" ht="35.25" customHeight="1">
      <c r="A223" s="8">
        <v>7</v>
      </c>
      <c r="B223" s="9" t="s">
        <v>207</v>
      </c>
      <c r="C223" s="8" t="s">
        <v>208</v>
      </c>
      <c r="D223" s="14">
        <f>D224+D225</f>
        <v>253</v>
      </c>
      <c r="E223" s="14">
        <f t="shared" ref="E223:G223" si="105">E224+E225</f>
        <v>0</v>
      </c>
      <c r="F223" s="14">
        <f t="shared" si="105"/>
        <v>0</v>
      </c>
      <c r="G223" s="14">
        <f t="shared" si="105"/>
        <v>0</v>
      </c>
      <c r="H223" s="14">
        <f>H224+H225</f>
        <v>253</v>
      </c>
      <c r="I223" s="14">
        <f t="shared" ref="I223:K223" si="106">I224+I225</f>
        <v>0</v>
      </c>
      <c r="J223" s="14">
        <f t="shared" si="106"/>
        <v>172</v>
      </c>
      <c r="K223" s="14">
        <f t="shared" si="106"/>
        <v>0</v>
      </c>
      <c r="L223" s="16"/>
      <c r="M223" s="220"/>
      <c r="N223" s="221"/>
      <c r="O223" s="114"/>
      <c r="P223" s="114"/>
      <c r="Q223" s="114"/>
      <c r="S223">
        <f t="shared" si="99"/>
        <v>1265</v>
      </c>
      <c r="T223" s="44">
        <f>E223+апр!I215</f>
        <v>0</v>
      </c>
      <c r="U223" s="30">
        <f>F223+апр!J215</f>
        <v>172</v>
      </c>
    </row>
    <row r="224" spans="1:22" ht="17.25" customHeight="1">
      <c r="A224" s="18" t="s">
        <v>209</v>
      </c>
      <c r="B224" s="9" t="s">
        <v>210</v>
      </c>
      <c r="C224" s="8" t="s">
        <v>208</v>
      </c>
      <c r="D224" s="14">
        <v>236</v>
      </c>
      <c r="E224" s="8"/>
      <c r="F224" s="8"/>
      <c r="G224" s="8"/>
      <c r="H224" s="14">
        <v>236</v>
      </c>
      <c r="I224" s="8"/>
      <c r="J224" s="8">
        <v>164</v>
      </c>
      <c r="K224" s="8"/>
      <c r="L224" s="16"/>
      <c r="M224" s="220"/>
      <c r="N224" s="221"/>
      <c r="O224" s="114"/>
      <c r="P224" s="114"/>
      <c r="Q224" s="114"/>
      <c r="S224">
        <f t="shared" si="99"/>
        <v>1180</v>
      </c>
      <c r="T224" s="44">
        <f>E224+апр!I216</f>
        <v>0</v>
      </c>
      <c r="U224" s="30">
        <f>F224+апр!J216</f>
        <v>164</v>
      </c>
    </row>
    <row r="225" spans="1:21" ht="17.25" customHeight="1">
      <c r="A225" s="18" t="s">
        <v>211</v>
      </c>
      <c r="B225" s="9" t="s">
        <v>212</v>
      </c>
      <c r="C225" s="8" t="s">
        <v>208</v>
      </c>
      <c r="D225" s="14">
        <v>17</v>
      </c>
      <c r="E225" s="8"/>
      <c r="F225" s="8"/>
      <c r="G225" s="8"/>
      <c r="H225" s="14">
        <v>17</v>
      </c>
      <c r="I225" s="8"/>
      <c r="J225" s="8">
        <v>8</v>
      </c>
      <c r="K225" s="8"/>
      <c r="L225" s="16"/>
      <c r="M225" s="220"/>
      <c r="N225" s="221"/>
      <c r="O225" s="114"/>
      <c r="P225" s="114"/>
      <c r="Q225" s="114"/>
      <c r="S225">
        <f t="shared" si="99"/>
        <v>85</v>
      </c>
      <c r="T225" s="44">
        <f>E225+апр!I217</f>
        <v>0</v>
      </c>
      <c r="U225" s="30">
        <f>F225+апр!J217</f>
        <v>8</v>
      </c>
    </row>
    <row r="226" spans="1:21" ht="36" customHeight="1">
      <c r="A226" s="18" t="s">
        <v>213</v>
      </c>
      <c r="B226" s="9" t="s">
        <v>214</v>
      </c>
      <c r="C226" s="8" t="s">
        <v>16</v>
      </c>
      <c r="D226" s="14">
        <f>(D88+D152)/D223*1000</f>
        <v>86746.573122529648</v>
      </c>
      <c r="E226" s="8"/>
      <c r="F226" s="8"/>
      <c r="G226" s="8"/>
      <c r="H226" s="14">
        <f>(H88+H152)/H223*1000/10</f>
        <v>95421.230434782599</v>
      </c>
      <c r="I226" s="8"/>
      <c r="J226" s="14">
        <f>(J88+J152)/J223*1000/6</f>
        <v>198591.21027131783</v>
      </c>
      <c r="K226" s="8"/>
      <c r="L226" s="16"/>
      <c r="M226" s="220"/>
      <c r="N226" s="221"/>
      <c r="O226" s="114"/>
      <c r="P226" s="114"/>
      <c r="Q226" s="114"/>
      <c r="S226">
        <f t="shared" si="99"/>
        <v>433732.86561264825</v>
      </c>
      <c r="T226" s="44">
        <f>E226+апр!I218</f>
        <v>0</v>
      </c>
      <c r="U226" s="30">
        <f>F226+апр!J218</f>
        <v>113361.80523255812</v>
      </c>
    </row>
    <row r="227" spans="1:21" ht="17.25" customHeight="1">
      <c r="A227" s="18" t="s">
        <v>215</v>
      </c>
      <c r="B227" s="9" t="s">
        <v>210</v>
      </c>
      <c r="C227" s="8" t="s">
        <v>16</v>
      </c>
      <c r="D227" s="14">
        <f>D88/D224*1000</f>
        <v>84883.580508474581</v>
      </c>
      <c r="E227" s="8"/>
      <c r="F227" s="8"/>
      <c r="G227" s="8"/>
      <c r="H227" s="14">
        <f>H88/H224*1000/10</f>
        <v>93371.938559322007</v>
      </c>
      <c r="I227" s="8"/>
      <c r="J227" s="14">
        <f>J88/J224*1000/6</f>
        <v>193938.03353658537</v>
      </c>
      <c r="K227" s="8"/>
      <c r="L227" s="16"/>
      <c r="M227" s="220"/>
      <c r="N227" s="221"/>
      <c r="O227" s="114"/>
      <c r="P227" s="114"/>
      <c r="Q227" s="114"/>
      <c r="T227" s="44">
        <f>E227+апр!I219</f>
        <v>0</v>
      </c>
      <c r="U227" s="30">
        <f>F227+апр!J219</f>
        <v>110632.42835365853</v>
      </c>
    </row>
    <row r="228" spans="1:21" ht="17.25" customHeight="1">
      <c r="A228" s="18" t="s">
        <v>216</v>
      </c>
      <c r="B228" s="9" t="s">
        <v>212</v>
      </c>
      <c r="C228" s="8" t="s">
        <v>16</v>
      </c>
      <c r="D228" s="14">
        <f>D152/D225*1000</f>
        <v>112609.29411764705</v>
      </c>
      <c r="E228" s="8"/>
      <c r="F228" s="8"/>
      <c r="G228" s="8"/>
      <c r="H228" s="10"/>
      <c r="I228" s="8"/>
      <c r="J228" s="14">
        <f>J152/J225*1000/6</f>
        <v>293981.33333333331</v>
      </c>
      <c r="K228" s="8"/>
      <c r="L228" s="16"/>
      <c r="M228" s="220"/>
      <c r="N228" s="221"/>
      <c r="O228" s="114"/>
      <c r="P228" s="114"/>
      <c r="Q228" s="114"/>
      <c r="T228" s="44">
        <f>E228+апр!I220</f>
        <v>0</v>
      </c>
      <c r="U228" s="30">
        <f>F228+апр!J220</f>
        <v>169314.03125</v>
      </c>
    </row>
    <row r="229" spans="1:21" ht="18.75" hidden="1">
      <c r="A229" s="29"/>
      <c r="B229" s="29"/>
      <c r="C229" s="29"/>
      <c r="D229" s="29"/>
      <c r="E229" s="29"/>
      <c r="F229" s="29"/>
      <c r="G229" s="29"/>
      <c r="H229" s="29">
        <f>H228*I225*12/1000</f>
        <v>0</v>
      </c>
      <c r="I229" s="29">
        <f>H226*I224*12/1000</f>
        <v>0</v>
      </c>
      <c r="J229" s="29"/>
      <c r="K229" s="29"/>
      <c r="L229" s="29"/>
      <c r="M229" s="29"/>
      <c r="N229" s="29">
        <f>H229+I229</f>
        <v>0</v>
      </c>
      <c r="O229" s="29"/>
      <c r="P229" s="29"/>
      <c r="Q229" s="29"/>
    </row>
    <row r="230" spans="1:21" ht="18.75" hidden="1">
      <c r="A230" s="29"/>
      <c r="B230" s="29"/>
      <c r="C230" s="29"/>
      <c r="D230" s="29"/>
      <c r="E230" s="29"/>
      <c r="F230" s="29"/>
      <c r="G230" s="29"/>
      <c r="H230" s="29">
        <v>607.40800000000002</v>
      </c>
      <c r="I230" s="29">
        <v>9999.5409999999993</v>
      </c>
      <c r="J230" s="29"/>
      <c r="K230" s="29"/>
      <c r="L230" s="29"/>
      <c r="M230" s="29"/>
      <c r="N230" s="29"/>
      <c r="O230" s="29"/>
      <c r="P230" s="29"/>
      <c r="Q230" s="29"/>
    </row>
    <row r="231" spans="1:21" ht="18.75" hidden="1">
      <c r="A231" s="29"/>
      <c r="B231" s="29"/>
      <c r="C231" s="29"/>
      <c r="D231" s="29"/>
      <c r="E231" s="29"/>
      <c r="F231" s="29"/>
      <c r="G231" s="29"/>
      <c r="H231" s="29">
        <v>953.40200000000004</v>
      </c>
      <c r="I231" s="29">
        <v>10043.467000000001</v>
      </c>
      <c r="J231" s="29"/>
      <c r="K231" s="29"/>
      <c r="L231" s="29"/>
      <c r="M231" s="29"/>
      <c r="N231" s="29"/>
      <c r="O231" s="29"/>
      <c r="P231" s="29"/>
      <c r="Q231" s="29"/>
    </row>
    <row r="232" spans="1:21" ht="18.75" hidden="1">
      <c r="A232" s="29"/>
      <c r="B232" s="29"/>
      <c r="C232" s="29"/>
      <c r="D232" s="29"/>
      <c r="E232" s="29"/>
      <c r="F232" s="29"/>
      <c r="G232" s="29"/>
      <c r="H232" s="29"/>
      <c r="I232" s="29">
        <f>888.772+371.175+148.47</f>
        <v>1408.4170000000001</v>
      </c>
      <c r="J232" s="29"/>
      <c r="K232" s="29"/>
      <c r="L232" s="29"/>
      <c r="M232" s="29"/>
      <c r="N232" s="29"/>
      <c r="O232" s="29"/>
      <c r="P232" s="29"/>
      <c r="Q232" s="29"/>
    </row>
    <row r="233" spans="1:21" ht="18.75" hidden="1">
      <c r="A233" s="29"/>
      <c r="B233" s="29"/>
      <c r="C233" s="29"/>
      <c r="D233" s="29"/>
      <c r="E233" s="29"/>
      <c r="F233" s="29"/>
      <c r="G233" s="29"/>
      <c r="H233" s="29">
        <f>SUM(H229:H231)</f>
        <v>1560.81</v>
      </c>
      <c r="I233" s="29">
        <f>SUM(I229:I232)</f>
        <v>21451.425000000003</v>
      </c>
      <c r="J233" s="29"/>
      <c r="K233" s="29"/>
      <c r="L233" s="29"/>
      <c r="M233" s="29"/>
      <c r="N233" s="29">
        <f>SUM(H233:M233)</f>
        <v>23012.235000000004</v>
      </c>
      <c r="O233" s="29"/>
      <c r="P233" s="29"/>
      <c r="Q233" s="29"/>
    </row>
    <row r="234" spans="1:21" ht="72.75" customHeight="1">
      <c r="A234" s="29"/>
      <c r="B234" s="29" t="s">
        <v>322</v>
      </c>
      <c r="C234" s="29"/>
      <c r="D234" s="29"/>
      <c r="E234" s="29"/>
      <c r="F234" s="29"/>
      <c r="G234" s="29"/>
      <c r="H234" s="29"/>
      <c r="I234" s="29" t="s">
        <v>346</v>
      </c>
      <c r="J234" s="29"/>
      <c r="K234" s="29"/>
      <c r="L234" s="29"/>
      <c r="M234" s="29"/>
      <c r="N234" s="29"/>
      <c r="O234" s="29"/>
      <c r="P234" s="29"/>
      <c r="Q234" s="29"/>
    </row>
    <row r="235" spans="1:21" ht="9" customHeight="1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</row>
    <row r="236" spans="1:21" ht="52.5" hidden="1" customHeight="1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</row>
    <row r="237" spans="1:21" ht="15.75" hidden="1" customHeight="1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</row>
    <row r="238" spans="1:21" ht="27" hidden="1" customHeight="1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</row>
    <row r="239" spans="1:21" ht="30" customHeight="1">
      <c r="A239" s="29"/>
      <c r="B239" s="29" t="s">
        <v>233</v>
      </c>
      <c r="C239" s="29"/>
      <c r="D239" s="29"/>
      <c r="E239" s="29"/>
      <c r="F239" s="29"/>
      <c r="G239" s="29"/>
      <c r="H239" s="29"/>
      <c r="I239" s="29" t="s">
        <v>324</v>
      </c>
      <c r="J239" s="29"/>
      <c r="K239" s="29"/>
      <c r="L239" s="29"/>
      <c r="M239" s="29"/>
      <c r="N239" s="29"/>
      <c r="O239" s="29"/>
      <c r="P239" s="29"/>
      <c r="Q239" s="29"/>
    </row>
    <row r="240" spans="1:21" ht="28.5" customHeight="1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</row>
    <row r="241" spans="1:8" ht="4.5" hidden="1" customHeight="1">
      <c r="B241" s="3" t="s">
        <v>233</v>
      </c>
      <c r="C241" s="3"/>
      <c r="D241" s="3"/>
      <c r="E241" s="3"/>
      <c r="F241" s="3"/>
      <c r="G241" s="3"/>
      <c r="H241" t="s">
        <v>234</v>
      </c>
    </row>
    <row r="242" spans="1:8" ht="16.5" customHeight="1">
      <c r="B242" s="4"/>
      <c r="C242" s="2"/>
      <c r="D242" s="2"/>
      <c r="E242" s="2"/>
      <c r="F242" s="2"/>
      <c r="G242" s="2"/>
    </row>
    <row r="243" spans="1:8" ht="15.75">
      <c r="A243" s="2"/>
      <c r="B243" s="2"/>
      <c r="C243" s="2"/>
      <c r="D243" s="2"/>
      <c r="E243" s="2"/>
      <c r="F243" s="2"/>
      <c r="G243" s="2"/>
    </row>
    <row r="244" spans="1:8" ht="15.75">
      <c r="A244" s="2"/>
      <c r="B244" s="2"/>
      <c r="C244" s="2"/>
      <c r="D244" s="2"/>
      <c r="E244" s="2"/>
      <c r="F244" s="2"/>
      <c r="G244" s="2"/>
    </row>
    <row r="245" spans="1:8" ht="15.75">
      <c r="A245" s="2"/>
      <c r="B245" s="2"/>
      <c r="C245" s="2"/>
      <c r="D245" s="2"/>
      <c r="E245" s="2"/>
      <c r="F245" s="2"/>
      <c r="G245" s="2"/>
    </row>
    <row r="246" spans="1:8" ht="15.75">
      <c r="A246" s="4" t="s">
        <v>347</v>
      </c>
      <c r="B246" s="2"/>
      <c r="C246" s="2"/>
      <c r="D246" s="2"/>
      <c r="E246" s="2"/>
      <c r="F246" s="2"/>
      <c r="G246" s="2"/>
    </row>
    <row r="247" spans="1:8" ht="15.75">
      <c r="A247" s="2"/>
      <c r="B247" s="2"/>
      <c r="C247" s="2"/>
      <c r="D247" s="2"/>
      <c r="E247" s="2"/>
      <c r="F247" s="2"/>
      <c r="G247" s="2"/>
    </row>
  </sheetData>
  <mergeCells count="224">
    <mergeCell ref="M228:N228"/>
    <mergeCell ref="M222:N222"/>
    <mergeCell ref="M223:N223"/>
    <mergeCell ref="M224:N224"/>
    <mergeCell ref="M225:N225"/>
    <mergeCell ref="M226:N226"/>
    <mergeCell ref="M227:N227"/>
    <mergeCell ref="M218:N218"/>
    <mergeCell ref="A219:A220"/>
    <mergeCell ref="B219:B220"/>
    <mergeCell ref="M219:N219"/>
    <mergeCell ref="M220:N220"/>
    <mergeCell ref="M221:N221"/>
    <mergeCell ref="M210:N210"/>
    <mergeCell ref="M211:N211"/>
    <mergeCell ref="M213:N213"/>
    <mergeCell ref="M214:N214"/>
    <mergeCell ref="M215:N215"/>
    <mergeCell ref="A216:A217"/>
    <mergeCell ref="B216:B217"/>
    <mergeCell ref="M216:N216"/>
    <mergeCell ref="M217:N217"/>
    <mergeCell ref="M204:N204"/>
    <mergeCell ref="M205:N205"/>
    <mergeCell ref="M206:N206"/>
    <mergeCell ref="M207:N207"/>
    <mergeCell ref="M208:N208"/>
    <mergeCell ref="M209:N209"/>
    <mergeCell ref="M198:N198"/>
    <mergeCell ref="M199:N199"/>
    <mergeCell ref="M200:N200"/>
    <mergeCell ref="M201:N201"/>
    <mergeCell ref="M202:N202"/>
    <mergeCell ref="M203:N203"/>
    <mergeCell ref="M192:N192"/>
    <mergeCell ref="M193:N193"/>
    <mergeCell ref="M194:N194"/>
    <mergeCell ref="M195:N195"/>
    <mergeCell ref="M196:N196"/>
    <mergeCell ref="M197:N197"/>
    <mergeCell ref="M186:N186"/>
    <mergeCell ref="M187:N187"/>
    <mergeCell ref="M188:N188"/>
    <mergeCell ref="M189:N189"/>
    <mergeCell ref="M190:N190"/>
    <mergeCell ref="M191:N191"/>
    <mergeCell ref="M179:N179"/>
    <mergeCell ref="M180:N180"/>
    <mergeCell ref="M181:N181"/>
    <mergeCell ref="M182:N182"/>
    <mergeCell ref="M183:N183"/>
    <mergeCell ref="M184:N184"/>
    <mergeCell ref="M173:N173"/>
    <mergeCell ref="M174:N174"/>
    <mergeCell ref="M175:N175"/>
    <mergeCell ref="M176:N176"/>
    <mergeCell ref="M177:N177"/>
    <mergeCell ref="M178:N178"/>
    <mergeCell ref="M167:N167"/>
    <mergeCell ref="M168:N168"/>
    <mergeCell ref="M169:N169"/>
    <mergeCell ref="M170:N170"/>
    <mergeCell ref="M171:N171"/>
    <mergeCell ref="M172:N172"/>
    <mergeCell ref="M161:N161"/>
    <mergeCell ref="M162:N162"/>
    <mergeCell ref="M163:N163"/>
    <mergeCell ref="M164:N164"/>
    <mergeCell ref="M165:N165"/>
    <mergeCell ref="M166:N166"/>
    <mergeCell ref="M152:N152"/>
    <mergeCell ref="M153:N153"/>
    <mergeCell ref="M157:N157"/>
    <mergeCell ref="M158:N158"/>
    <mergeCell ref="M159:N159"/>
    <mergeCell ref="M160:N160"/>
    <mergeCell ref="M146:N146"/>
    <mergeCell ref="M147:N147"/>
    <mergeCell ref="M148:N148"/>
    <mergeCell ref="M149:N149"/>
    <mergeCell ref="M150:N150"/>
    <mergeCell ref="M151:N151"/>
    <mergeCell ref="M131:N131"/>
    <mergeCell ref="M132:N132"/>
    <mergeCell ref="M133:N133"/>
    <mergeCell ref="M134:N134"/>
    <mergeCell ref="M135:N135"/>
    <mergeCell ref="M145:N145"/>
    <mergeCell ref="M125:N125"/>
    <mergeCell ref="M126:N126"/>
    <mergeCell ref="M127:N127"/>
    <mergeCell ref="M128:N128"/>
    <mergeCell ref="M129:N129"/>
    <mergeCell ref="M130:N130"/>
    <mergeCell ref="M119:N119"/>
    <mergeCell ref="M120:N120"/>
    <mergeCell ref="M121:N121"/>
    <mergeCell ref="M122:N122"/>
    <mergeCell ref="M123:N123"/>
    <mergeCell ref="M124:N124"/>
    <mergeCell ref="M113:N113"/>
    <mergeCell ref="M114:N114"/>
    <mergeCell ref="M115:N115"/>
    <mergeCell ref="M116:N116"/>
    <mergeCell ref="M117:N117"/>
    <mergeCell ref="M118:N118"/>
    <mergeCell ref="M107:N107"/>
    <mergeCell ref="M108:N108"/>
    <mergeCell ref="M109:N109"/>
    <mergeCell ref="M110:N110"/>
    <mergeCell ref="M111:N111"/>
    <mergeCell ref="M112:N112"/>
    <mergeCell ref="M101:N101"/>
    <mergeCell ref="M102:N102"/>
    <mergeCell ref="M103:N103"/>
    <mergeCell ref="M104:N104"/>
    <mergeCell ref="M105:N105"/>
    <mergeCell ref="M106:N106"/>
    <mergeCell ref="M95:N95"/>
    <mergeCell ref="M96:N96"/>
    <mergeCell ref="M97:N97"/>
    <mergeCell ref="M98:N98"/>
    <mergeCell ref="M99:N99"/>
    <mergeCell ref="M100:N100"/>
    <mergeCell ref="M86:N86"/>
    <mergeCell ref="M87:N87"/>
    <mergeCell ref="M88:N88"/>
    <mergeCell ref="M89:N89"/>
    <mergeCell ref="M93:N93"/>
    <mergeCell ref="M94:N94"/>
    <mergeCell ref="M79:N79"/>
    <mergeCell ref="M80:N80"/>
    <mergeCell ref="M81:N81"/>
    <mergeCell ref="M82:N82"/>
    <mergeCell ref="M83:N83"/>
    <mergeCell ref="M84:N85"/>
    <mergeCell ref="M73:N73"/>
    <mergeCell ref="M74:N74"/>
    <mergeCell ref="M75:N75"/>
    <mergeCell ref="M76:N76"/>
    <mergeCell ref="M77:N77"/>
    <mergeCell ref="M78:N78"/>
    <mergeCell ref="M66:N66"/>
    <mergeCell ref="M67:N67"/>
    <mergeCell ref="M68:N68"/>
    <mergeCell ref="M69:N70"/>
    <mergeCell ref="M71:N71"/>
    <mergeCell ref="M72:N72"/>
    <mergeCell ref="M59:N59"/>
    <mergeCell ref="M60:N61"/>
    <mergeCell ref="M62:N62"/>
    <mergeCell ref="M63:N63"/>
    <mergeCell ref="M64:N64"/>
    <mergeCell ref="M65:N65"/>
    <mergeCell ref="M52:N52"/>
    <mergeCell ref="M53:N53"/>
    <mergeCell ref="M54:N54"/>
    <mergeCell ref="M55:N55"/>
    <mergeCell ref="M56:N56"/>
    <mergeCell ref="M57:N58"/>
    <mergeCell ref="M46:N46"/>
    <mergeCell ref="M47:N47"/>
    <mergeCell ref="M48:N48"/>
    <mergeCell ref="M49:N49"/>
    <mergeCell ref="M50:N50"/>
    <mergeCell ref="M51:N51"/>
    <mergeCell ref="M39:N39"/>
    <mergeCell ref="M40:N40"/>
    <mergeCell ref="M41:N41"/>
    <mergeCell ref="M42:N43"/>
    <mergeCell ref="M44:N44"/>
    <mergeCell ref="M45:N45"/>
    <mergeCell ref="M33:N33"/>
    <mergeCell ref="M34:N34"/>
    <mergeCell ref="M35:N35"/>
    <mergeCell ref="M36:N36"/>
    <mergeCell ref="M37:N37"/>
    <mergeCell ref="M38:N38"/>
    <mergeCell ref="M27:N27"/>
    <mergeCell ref="M28:N28"/>
    <mergeCell ref="M29:N29"/>
    <mergeCell ref="M30:N30"/>
    <mergeCell ref="M31:N31"/>
    <mergeCell ref="M32:N32"/>
    <mergeCell ref="M21:N21"/>
    <mergeCell ref="M22:N22"/>
    <mergeCell ref="M23:N23"/>
    <mergeCell ref="M24:N24"/>
    <mergeCell ref="M25:N25"/>
    <mergeCell ref="M26:N26"/>
    <mergeCell ref="M15:N15"/>
    <mergeCell ref="M16:N16"/>
    <mergeCell ref="M17:N17"/>
    <mergeCell ref="M18:N18"/>
    <mergeCell ref="M19:N19"/>
    <mergeCell ref="M20:N20"/>
    <mergeCell ref="M9:N9"/>
    <mergeCell ref="M10:N10"/>
    <mergeCell ref="M11:N11"/>
    <mergeCell ref="M12:N12"/>
    <mergeCell ref="M13:N13"/>
    <mergeCell ref="M14:N14"/>
    <mergeCell ref="O5:O6"/>
    <mergeCell ref="P5:P6"/>
    <mergeCell ref="M7:N7"/>
    <mergeCell ref="M8:N8"/>
    <mergeCell ref="E5:E6"/>
    <mergeCell ref="F5:F6"/>
    <mergeCell ref="G5:G6"/>
    <mergeCell ref="H5:H6"/>
    <mergeCell ref="I5:I6"/>
    <mergeCell ref="J5:J6"/>
    <mergeCell ref="A1:N1"/>
    <mergeCell ref="A2:N2"/>
    <mergeCell ref="A3:C3"/>
    <mergeCell ref="A4:A6"/>
    <mergeCell ref="B4:B6"/>
    <mergeCell ref="C4:C6"/>
    <mergeCell ref="D4:G4"/>
    <mergeCell ref="H4:L4"/>
    <mergeCell ref="M4:N6"/>
    <mergeCell ref="D5:D6"/>
    <mergeCell ref="K5:K6"/>
    <mergeCell ref="L5:L6"/>
  </mergeCells>
  <pageMargins left="0" right="0" top="0.94488188976377963" bottom="0.39370078740157483" header="0.31496062992125984" footer="0.31496062992125984"/>
  <pageSetup paperSize="9" scale="78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X242"/>
  <sheetViews>
    <sheetView tabSelected="1" workbookViewId="0">
      <pane xSplit="10" ySplit="15" topLeftCell="K16" activePane="bottomRight" state="frozen"/>
      <selection pane="topRight" activeCell="J1" sqref="J1"/>
      <selection pane="bottomLeft" activeCell="A16" sqref="A16"/>
      <selection pane="bottomRight" activeCell="H241" sqref="H241"/>
    </sheetView>
  </sheetViews>
  <sheetFormatPr defaultRowHeight="15"/>
  <cols>
    <col min="1" max="1" width="6.5703125" customWidth="1"/>
    <col min="2" max="2" width="35" customWidth="1"/>
    <col min="3" max="3" width="13.140625" customWidth="1"/>
    <col min="4" max="4" width="14.5703125" hidden="1" customWidth="1"/>
    <col min="5" max="5" width="13" hidden="1" customWidth="1"/>
    <col min="6" max="6" width="14.5703125" style="60" hidden="1" customWidth="1"/>
    <col min="7" max="7" width="15" hidden="1" customWidth="1"/>
    <col min="8" max="8" width="15" customWidth="1"/>
    <col min="9" max="9" width="14.7109375" style="60" hidden="1" customWidth="1"/>
    <col min="10" max="10" width="15" customWidth="1"/>
    <col min="11" max="11" width="15" hidden="1" customWidth="1"/>
    <col min="12" max="12" width="10.7109375" hidden="1" customWidth="1"/>
    <col min="13" max="13" width="14.85546875" hidden="1" customWidth="1"/>
    <col min="14" max="14" width="6" hidden="1" customWidth="1"/>
    <col min="15" max="15" width="14" customWidth="1"/>
    <col min="16" max="16" width="10.7109375" customWidth="1"/>
    <col min="17" max="17" width="11.140625" hidden="1" customWidth="1"/>
    <col min="18" max="18" width="13.42578125" hidden="1" customWidth="1"/>
    <col min="19" max="19" width="12.85546875" hidden="1" customWidth="1"/>
    <col min="20" max="20" width="13.28515625" hidden="1" customWidth="1"/>
    <col min="21" max="21" width="13.7109375" hidden="1" customWidth="1"/>
    <col min="22" max="22" width="11.85546875" hidden="1" customWidth="1"/>
    <col min="23" max="23" width="9.140625" hidden="1" customWidth="1"/>
    <col min="24" max="27" width="9.140625" customWidth="1"/>
  </cols>
  <sheetData>
    <row r="1" spans="1:24" ht="54" customHeight="1">
      <c r="A1" s="241" t="s">
        <v>226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14"/>
      <c r="R1" s="261"/>
      <c r="S1" s="261"/>
      <c r="T1" s="261"/>
      <c r="U1" s="261"/>
      <c r="V1" s="261"/>
      <c r="W1" s="261"/>
      <c r="X1" s="261"/>
    </row>
    <row r="2" spans="1:24" ht="42.75" customHeight="1">
      <c r="A2" s="242" t="s">
        <v>353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15"/>
      <c r="R2" s="261"/>
      <c r="S2" s="261"/>
      <c r="T2" s="262"/>
      <c r="U2" s="261"/>
      <c r="V2" s="261"/>
      <c r="W2" s="261"/>
      <c r="X2" s="261"/>
    </row>
    <row r="3" spans="1:24" ht="1.5" customHeight="1">
      <c r="A3" s="243"/>
      <c r="B3" s="243"/>
      <c r="C3" s="243"/>
      <c r="D3" s="216"/>
      <c r="E3" s="216"/>
      <c r="F3" s="216"/>
      <c r="G3" s="216"/>
      <c r="H3" s="29"/>
      <c r="I3" s="29"/>
      <c r="J3" s="29"/>
      <c r="K3" s="29"/>
      <c r="L3" s="29"/>
      <c r="M3" s="29"/>
      <c r="N3" s="29"/>
      <c r="O3" s="29"/>
      <c r="P3" s="29"/>
      <c r="Q3" s="29"/>
      <c r="R3" s="261"/>
      <c r="S3" s="261"/>
      <c r="T3" s="261"/>
      <c r="U3" s="261"/>
      <c r="V3" s="261"/>
      <c r="W3" s="261"/>
      <c r="X3" s="261"/>
    </row>
    <row r="4" spans="1:24" ht="18.75">
      <c r="A4" s="244" t="s">
        <v>0</v>
      </c>
      <c r="B4" s="247" t="s">
        <v>1</v>
      </c>
      <c r="C4" s="244" t="s">
        <v>217</v>
      </c>
      <c r="D4" s="250" t="s">
        <v>304</v>
      </c>
      <c r="E4" s="251"/>
      <c r="F4" s="251"/>
      <c r="G4" s="252"/>
      <c r="H4" s="250" t="s">
        <v>227</v>
      </c>
      <c r="I4" s="251"/>
      <c r="J4" s="251"/>
      <c r="K4" s="251"/>
      <c r="L4" s="252"/>
      <c r="M4" s="253" t="s">
        <v>239</v>
      </c>
      <c r="N4" s="254"/>
      <c r="O4" s="121"/>
      <c r="P4" s="121"/>
      <c r="Q4" s="112"/>
      <c r="R4" s="261"/>
      <c r="S4" s="261"/>
      <c r="T4" s="261"/>
      <c r="U4" s="261"/>
      <c r="V4" s="261"/>
      <c r="W4" s="261"/>
      <c r="X4" s="261"/>
    </row>
    <row r="5" spans="1:24" ht="15" customHeight="1">
      <c r="A5" s="245"/>
      <c r="B5" s="248"/>
      <c r="C5" s="245"/>
      <c r="D5" s="237" t="s">
        <v>305</v>
      </c>
      <c r="E5" s="237" t="s">
        <v>306</v>
      </c>
      <c r="F5" s="237" t="s">
        <v>229</v>
      </c>
      <c r="G5" s="237" t="s">
        <v>219</v>
      </c>
      <c r="H5" s="237" t="s">
        <v>305</v>
      </c>
      <c r="I5" s="237" t="s">
        <v>306</v>
      </c>
      <c r="J5" s="237" t="s">
        <v>229</v>
      </c>
      <c r="K5" s="237" t="s">
        <v>341</v>
      </c>
      <c r="L5" s="237" t="s">
        <v>342</v>
      </c>
      <c r="M5" s="255"/>
      <c r="N5" s="256"/>
      <c r="O5" s="237" t="s">
        <v>329</v>
      </c>
      <c r="P5" s="237" t="s">
        <v>330</v>
      </c>
      <c r="Q5" s="112"/>
      <c r="R5" s="261"/>
      <c r="S5" s="261"/>
      <c r="T5" s="262">
        <f>F78+F81+F84</f>
        <v>0</v>
      </c>
      <c r="U5" s="261"/>
      <c r="V5" s="261"/>
      <c r="W5" s="261"/>
      <c r="X5" s="261"/>
    </row>
    <row r="6" spans="1:24" ht="41.25" customHeight="1">
      <c r="A6" s="246"/>
      <c r="B6" s="249"/>
      <c r="C6" s="246"/>
      <c r="D6" s="238"/>
      <c r="E6" s="238"/>
      <c r="F6" s="238"/>
      <c r="G6" s="238"/>
      <c r="H6" s="238"/>
      <c r="I6" s="238"/>
      <c r="J6" s="238"/>
      <c r="K6" s="238"/>
      <c r="L6" s="238"/>
      <c r="M6" s="257"/>
      <c r="N6" s="258"/>
      <c r="O6" s="238"/>
      <c r="P6" s="238"/>
      <c r="Q6" s="112"/>
      <c r="R6" s="261"/>
      <c r="S6" s="261"/>
      <c r="T6" s="261"/>
      <c r="U6" s="261"/>
      <c r="V6" s="261"/>
      <c r="W6" s="261"/>
      <c r="X6" s="261"/>
    </row>
    <row r="7" spans="1:24" s="282" customFormat="1" ht="15.75" customHeight="1">
      <c r="A7" s="35">
        <v>1</v>
      </c>
      <c r="B7" s="35">
        <v>2</v>
      </c>
      <c r="C7" s="35">
        <v>3</v>
      </c>
      <c r="D7" s="35"/>
      <c r="E7" s="35"/>
      <c r="F7" s="35"/>
      <c r="G7" s="35"/>
      <c r="H7" s="35">
        <v>4</v>
      </c>
      <c r="I7" s="35">
        <v>5</v>
      </c>
      <c r="J7" s="35">
        <v>5</v>
      </c>
      <c r="K7" s="35"/>
      <c r="L7" s="35">
        <v>7</v>
      </c>
      <c r="M7" s="276">
        <v>8</v>
      </c>
      <c r="N7" s="277"/>
      <c r="O7" s="211">
        <v>6</v>
      </c>
      <c r="P7" s="278">
        <v>7</v>
      </c>
      <c r="Q7" s="279"/>
      <c r="R7" s="280">
        <f>J8-R8</f>
        <v>542628.24899999984</v>
      </c>
      <c r="S7" s="281">
        <v>272681.63099999999</v>
      </c>
      <c r="T7" s="280">
        <f>J8-S7</f>
        <v>543268.70399999991</v>
      </c>
      <c r="U7" s="281"/>
      <c r="V7" s="281"/>
      <c r="W7" s="281"/>
      <c r="X7" s="281"/>
    </row>
    <row r="8" spans="1:24" ht="39" customHeight="1">
      <c r="A8" s="218" t="s">
        <v>2</v>
      </c>
      <c r="B8" s="6" t="s">
        <v>3</v>
      </c>
      <c r="C8" s="218" t="s">
        <v>4</v>
      </c>
      <c r="D8" s="7">
        <f>D9+D87+D93+D95+D97</f>
        <v>73170.115000000005</v>
      </c>
      <c r="E8" s="21">
        <f>E9+E87+E93+E95+E97</f>
        <v>68097.582999999999</v>
      </c>
      <c r="F8" s="7">
        <f>F9+F87+F93+F95+F97</f>
        <v>27704.759000000002</v>
      </c>
      <c r="G8" s="7">
        <f>F8-E8</f>
        <v>-40392.823999999993</v>
      </c>
      <c r="H8" s="7">
        <f>H9+H87+H93+H95+H97</f>
        <v>778239.32299999997</v>
      </c>
      <c r="I8" s="21">
        <f>I9+I87+I93+I95+I97</f>
        <v>656667.82999999996</v>
      </c>
      <c r="J8" s="7">
        <f>J9+J87+J93+J95+J97</f>
        <v>815950.33499999985</v>
      </c>
      <c r="K8" s="71">
        <f>J8-I8</f>
        <v>159282.50499999989</v>
      </c>
      <c r="L8" s="21">
        <f>K8/I8*100</f>
        <v>24.256176063931729</v>
      </c>
      <c r="M8" s="220"/>
      <c r="N8" s="221"/>
      <c r="O8" s="263">
        <f>J8-H8</f>
        <v>37711.011999999871</v>
      </c>
      <c r="P8" s="264">
        <f>O8/H8*100</f>
        <v>4.8456831832436045</v>
      </c>
      <c r="Q8" s="118"/>
      <c r="R8" s="261">
        <f>640.455+272681.631</f>
        <v>273322.08600000001</v>
      </c>
      <c r="S8" s="261">
        <f>D8*5</f>
        <v>365850.57500000001</v>
      </c>
      <c r="T8" s="265">
        <f>E8+апр!I8</f>
        <v>340487.91499999998</v>
      </c>
      <c r="U8" s="262">
        <f>F8+апр!J8</f>
        <v>301516.21149999992</v>
      </c>
      <c r="V8" s="262">
        <f>J8-U8</f>
        <v>514434.12349999993</v>
      </c>
      <c r="W8" s="261"/>
      <c r="X8" s="261"/>
    </row>
    <row r="9" spans="1:24" ht="17.25" customHeight="1">
      <c r="A9" s="218" t="s">
        <v>5</v>
      </c>
      <c r="B9" s="6" t="s">
        <v>6</v>
      </c>
      <c r="C9" s="218" t="s">
        <v>4</v>
      </c>
      <c r="D9" s="7">
        <f>D10+D37+D72</f>
        <v>35732.106</v>
      </c>
      <c r="E9" s="21">
        <f>E10+E37+E72</f>
        <v>32135.084000000003</v>
      </c>
      <c r="F9" s="7">
        <f>F10+F37+F72</f>
        <v>27346.969000000001</v>
      </c>
      <c r="G9" s="7">
        <f>F9-E9</f>
        <v>-4788.1150000000016</v>
      </c>
      <c r="H9" s="7">
        <f>H10+H37+H72</f>
        <v>366535.495</v>
      </c>
      <c r="I9" s="21">
        <f>I10+I37+I72</f>
        <v>297044.17300000001</v>
      </c>
      <c r="J9" s="7">
        <f>J10+J37+J72</f>
        <v>391339.59600000002</v>
      </c>
      <c r="K9" s="21">
        <f>J9-I9</f>
        <v>94295.42300000001</v>
      </c>
      <c r="L9" s="21">
        <f>K9/I9*100</f>
        <v>31.744579281816108</v>
      </c>
      <c r="M9" s="220"/>
      <c r="N9" s="221"/>
      <c r="O9" s="263">
        <f t="shared" ref="O9:O72" si="0">J9-H9</f>
        <v>24804.101000000024</v>
      </c>
      <c r="P9" s="264">
        <f t="shared" ref="P9:P72" si="1">O9/H9*100</f>
        <v>6.767175713773649</v>
      </c>
      <c r="Q9" s="114"/>
      <c r="R9" s="261"/>
      <c r="S9" s="261">
        <f t="shared" ref="S9:S72" si="2">D9*5</f>
        <v>178660.53</v>
      </c>
      <c r="T9" s="265">
        <f>E9+апр!I9</f>
        <v>160675.42000000001</v>
      </c>
      <c r="U9" s="262">
        <f>F9+апр!J9</f>
        <v>166313.99100000001</v>
      </c>
      <c r="V9" s="261"/>
      <c r="W9" s="261"/>
      <c r="X9" s="261"/>
    </row>
    <row r="10" spans="1:24" ht="17.25" customHeight="1">
      <c r="A10" s="8" t="s">
        <v>7</v>
      </c>
      <c r="B10" s="9" t="s">
        <v>8</v>
      </c>
      <c r="C10" s="8" t="s">
        <v>4</v>
      </c>
      <c r="D10" s="10">
        <f>D11+D30+D35</f>
        <v>7601.0440000000008</v>
      </c>
      <c r="E10" s="10">
        <f>E11+E30+E35</f>
        <v>5895.3339999999998</v>
      </c>
      <c r="F10" s="10">
        <f>F11+F30+F35</f>
        <v>0</v>
      </c>
      <c r="G10" s="10">
        <f>F10-E10</f>
        <v>-5895.3339999999998</v>
      </c>
      <c r="H10" s="10">
        <f>H11+H30+H35</f>
        <v>83611.484000000011</v>
      </c>
      <c r="I10" s="10">
        <f>I11+I30+I35</f>
        <v>58953.34</v>
      </c>
      <c r="J10" s="10">
        <f>J11+J30+J35</f>
        <v>70521.890999999989</v>
      </c>
      <c r="K10" s="10">
        <f>J10-I10</f>
        <v>11568.550999999992</v>
      </c>
      <c r="L10" s="16">
        <f>K10/I10*100</f>
        <v>19.623232542888992</v>
      </c>
      <c r="M10" s="220"/>
      <c r="N10" s="221"/>
      <c r="O10" s="263">
        <f t="shared" si="0"/>
        <v>-13089.593000000023</v>
      </c>
      <c r="P10" s="264">
        <f t="shared" si="1"/>
        <v>-15.655257356752598</v>
      </c>
      <c r="Q10" s="114"/>
      <c r="R10" s="261"/>
      <c r="S10" s="261">
        <f t="shared" si="2"/>
        <v>38005.22</v>
      </c>
      <c r="T10" s="265">
        <f>E10+апр!I10</f>
        <v>29476.67</v>
      </c>
      <c r="U10" s="262">
        <f>F10+апр!J10</f>
        <v>22702.712</v>
      </c>
      <c r="V10" s="261"/>
      <c r="W10" s="261"/>
      <c r="X10" s="261"/>
    </row>
    <row r="11" spans="1:24" ht="17.25" customHeight="1">
      <c r="A11" s="8" t="s">
        <v>9</v>
      </c>
      <c r="B11" s="9" t="s">
        <v>10</v>
      </c>
      <c r="C11" s="8" t="s">
        <v>4</v>
      </c>
      <c r="D11" s="10">
        <f>D12+D15+D18+D21+D24+D27</f>
        <v>5032.2450000000008</v>
      </c>
      <c r="E11" s="8">
        <v>4970.0829999999996</v>
      </c>
      <c r="F11" s="10">
        <f>F12+F15+F18+F21+F24+F27</f>
        <v>0</v>
      </c>
      <c r="G11" s="10">
        <f t="shared" ref="G11:G74" si="3">F11-E11</f>
        <v>-4970.0829999999996</v>
      </c>
      <c r="H11" s="10">
        <f>H12+H15+H18+H21+H24+H27</f>
        <v>55354.695</v>
      </c>
      <c r="I11" s="8">
        <f>E11+сентябрь!I11</f>
        <v>49700.829999999994</v>
      </c>
      <c r="J11" s="10">
        <f>8221.907+651+3391.2+7276.955+14165.973+509.96+6768.42+6794.68+483.414</f>
        <v>48263.508999999991</v>
      </c>
      <c r="K11" s="10">
        <f t="shared" ref="K11:K74" si="4">J11-I11</f>
        <v>-1437.3210000000036</v>
      </c>
      <c r="L11" s="16">
        <f t="shared" ref="L11:L72" si="5">K11/I11*100</f>
        <v>-2.8919456677081725</v>
      </c>
      <c r="M11" s="220"/>
      <c r="N11" s="221"/>
      <c r="O11" s="263">
        <f t="shared" si="0"/>
        <v>-7091.1860000000088</v>
      </c>
      <c r="P11" s="264">
        <f t="shared" si="1"/>
        <v>-12.810450856968878</v>
      </c>
      <c r="Q11" s="114"/>
      <c r="R11" s="261"/>
      <c r="S11" s="261">
        <f t="shared" si="2"/>
        <v>25161.225000000006</v>
      </c>
      <c r="T11" s="265">
        <f>E11+апр!I11</f>
        <v>24850.414999999997</v>
      </c>
      <c r="U11" s="262">
        <f>F11+апр!J11</f>
        <v>11746.415000000001</v>
      </c>
      <c r="V11" s="261"/>
      <c r="W11" s="261"/>
      <c r="X11" s="261"/>
    </row>
    <row r="12" spans="1:24" ht="18.75" hidden="1" customHeight="1">
      <c r="A12" s="8" t="s">
        <v>11</v>
      </c>
      <c r="B12" s="9" t="s">
        <v>12</v>
      </c>
      <c r="C12" s="8" t="s">
        <v>4</v>
      </c>
      <c r="D12" s="10">
        <v>852.13199999999995</v>
      </c>
      <c r="E12" s="8"/>
      <c r="F12" s="54"/>
      <c r="G12" s="10">
        <f t="shared" si="3"/>
        <v>0</v>
      </c>
      <c r="H12" s="10">
        <f>D12+октябрь!H12</f>
        <v>9373.4519999999975</v>
      </c>
      <c r="I12" s="8"/>
      <c r="J12" s="183">
        <f>7276.955+6794.68</f>
        <v>14071.635</v>
      </c>
      <c r="K12" s="10">
        <f t="shared" si="4"/>
        <v>14071.635</v>
      </c>
      <c r="L12" s="16"/>
      <c r="M12" s="231" t="s">
        <v>297</v>
      </c>
      <c r="N12" s="232"/>
      <c r="O12" s="263">
        <f t="shared" si="0"/>
        <v>4698.1830000000027</v>
      </c>
      <c r="P12" s="264">
        <f t="shared" si="1"/>
        <v>50.122228182317507</v>
      </c>
      <c r="Q12" s="261"/>
      <c r="R12" s="261"/>
      <c r="S12" s="261">
        <f t="shared" si="2"/>
        <v>4260.66</v>
      </c>
      <c r="T12" s="265">
        <f>E12+апр!I12</f>
        <v>0</v>
      </c>
      <c r="U12" s="262">
        <f>F12+апр!J12</f>
        <v>2319.59</v>
      </c>
      <c r="V12" s="261"/>
      <c r="W12" s="261"/>
      <c r="X12" s="261"/>
    </row>
    <row r="13" spans="1:24" ht="17.25" hidden="1" customHeight="1">
      <c r="A13" s="8"/>
      <c r="B13" s="12" t="s">
        <v>13</v>
      </c>
      <c r="C13" s="13" t="s">
        <v>14</v>
      </c>
      <c r="D13" s="14">
        <v>3667</v>
      </c>
      <c r="E13" s="13"/>
      <c r="F13" s="8"/>
      <c r="G13" s="10">
        <f t="shared" si="3"/>
        <v>0</v>
      </c>
      <c r="H13" s="10">
        <f>D13+октябрь!H13</f>
        <v>40337</v>
      </c>
      <c r="I13" s="8"/>
      <c r="J13" s="183">
        <f>F13+октябрь!J13</f>
        <v>34.588999999999999</v>
      </c>
      <c r="K13" s="10">
        <f t="shared" si="4"/>
        <v>34.588999999999999</v>
      </c>
      <c r="L13" s="16"/>
      <c r="M13" s="220"/>
      <c r="N13" s="221"/>
      <c r="O13" s="263">
        <f t="shared" si="0"/>
        <v>-40302.411</v>
      </c>
      <c r="P13" s="264">
        <f t="shared" si="1"/>
        <v>-99.914249944219947</v>
      </c>
      <c r="Q13" s="114"/>
      <c r="R13" s="261"/>
      <c r="S13" s="261">
        <f t="shared" si="2"/>
        <v>18335</v>
      </c>
      <c r="T13" s="265">
        <f>E13+апр!I13</f>
        <v>0</v>
      </c>
      <c r="U13" s="262">
        <f>F13+апр!J13</f>
        <v>7641</v>
      </c>
      <c r="V13" s="261"/>
      <c r="W13" s="261"/>
      <c r="X13" s="261"/>
    </row>
    <row r="14" spans="1:24" ht="17.25" hidden="1" customHeight="1">
      <c r="A14" s="15"/>
      <c r="B14" s="12" t="s">
        <v>15</v>
      </c>
      <c r="C14" s="13" t="s">
        <v>16</v>
      </c>
      <c r="D14" s="16">
        <f>D12/D13*1000</f>
        <v>232.37851104445048</v>
      </c>
      <c r="E14" s="16"/>
      <c r="F14" s="16" t="e">
        <f t="shared" ref="F14" si="6">F12/F13*1000</f>
        <v>#DIV/0!</v>
      </c>
      <c r="G14" s="10" t="e">
        <f t="shared" si="3"/>
        <v>#DIV/0!</v>
      </c>
      <c r="H14" s="16">
        <f>H12/H13*1000</f>
        <v>232.37851104445045</v>
      </c>
      <c r="I14" s="16"/>
      <c r="J14" s="16">
        <f t="shared" ref="J14" si="7">J12/J13*1000</f>
        <v>406823.99028592906</v>
      </c>
      <c r="K14" s="10">
        <f t="shared" si="4"/>
        <v>406823.99028592906</v>
      </c>
      <c r="L14" s="16"/>
      <c r="M14" s="220"/>
      <c r="N14" s="221"/>
      <c r="O14" s="263">
        <f t="shared" si="0"/>
        <v>406591.61177488463</v>
      </c>
      <c r="P14" s="264">
        <f t="shared" si="1"/>
        <v>174969.53997485159</v>
      </c>
      <c r="Q14" s="114"/>
      <c r="R14" s="261"/>
      <c r="S14" s="261">
        <f t="shared" si="2"/>
        <v>1161.8925552222524</v>
      </c>
      <c r="T14" s="265">
        <f>E14+апр!I14</f>
        <v>0</v>
      </c>
      <c r="U14" s="262" t="e">
        <f>F14+апр!J14</f>
        <v>#DIV/0!</v>
      </c>
      <c r="V14" s="261"/>
      <c r="W14" s="261"/>
      <c r="X14" s="261"/>
    </row>
    <row r="15" spans="1:24" ht="17.25" hidden="1" customHeight="1">
      <c r="A15" s="8" t="s">
        <v>17</v>
      </c>
      <c r="B15" s="9" t="s">
        <v>18</v>
      </c>
      <c r="C15" s="8" t="s">
        <v>4</v>
      </c>
      <c r="D15" s="10">
        <v>2808.576</v>
      </c>
      <c r="E15" s="8"/>
      <c r="F15" s="54"/>
      <c r="G15" s="10">
        <f t="shared" si="3"/>
        <v>0</v>
      </c>
      <c r="H15" s="10">
        <f>D15+октябрь!H15</f>
        <v>30894.336000000007</v>
      </c>
      <c r="I15" s="8"/>
      <c r="J15" s="183">
        <f>8221.907+14165.973</f>
        <v>22387.879999999997</v>
      </c>
      <c r="K15" s="10">
        <f t="shared" si="4"/>
        <v>22387.879999999997</v>
      </c>
      <c r="L15" s="16"/>
      <c r="M15" s="220"/>
      <c r="N15" s="221"/>
      <c r="O15" s="263">
        <f t="shared" si="0"/>
        <v>-8506.4560000000092</v>
      </c>
      <c r="P15" s="264">
        <f t="shared" si="1"/>
        <v>-27.534030833354073</v>
      </c>
      <c r="Q15" s="117">
        <f>6457.287+14165.973</f>
        <v>20623.260000000002</v>
      </c>
      <c r="R15" s="261"/>
      <c r="S15" s="261">
        <f t="shared" si="2"/>
        <v>14042.880000000001</v>
      </c>
      <c r="T15" s="265">
        <f>E15+апр!I15</f>
        <v>0</v>
      </c>
      <c r="U15" s="262">
        <f>F15+апр!J15</f>
        <v>4970.8050000000003</v>
      </c>
      <c r="V15" s="261"/>
      <c r="W15" s="261"/>
      <c r="X15" s="261"/>
    </row>
    <row r="16" spans="1:24" ht="17.25" hidden="1" customHeight="1">
      <c r="A16" s="8"/>
      <c r="B16" s="12" t="s">
        <v>13</v>
      </c>
      <c r="C16" s="13" t="s">
        <v>14</v>
      </c>
      <c r="D16" s="14">
        <v>15000</v>
      </c>
      <c r="E16" s="13"/>
      <c r="F16" s="8"/>
      <c r="G16" s="10">
        <f t="shared" si="3"/>
        <v>0</v>
      </c>
      <c r="H16" s="10">
        <f>D16+октябрь!H16</f>
        <v>165000</v>
      </c>
      <c r="I16" s="8"/>
      <c r="J16" s="183">
        <f>F16+октябрь!J16</f>
        <v>158204</v>
      </c>
      <c r="K16" s="10">
        <f t="shared" si="4"/>
        <v>158204</v>
      </c>
      <c r="L16" s="16"/>
      <c r="M16" s="220"/>
      <c r="N16" s="221"/>
      <c r="O16" s="263">
        <f t="shared" si="0"/>
        <v>-6796</v>
      </c>
      <c r="P16" s="264">
        <f t="shared" si="1"/>
        <v>-4.1187878787878791</v>
      </c>
      <c r="Q16" s="114"/>
      <c r="R16" s="261"/>
      <c r="S16" s="261">
        <f t="shared" si="2"/>
        <v>75000</v>
      </c>
      <c r="T16" s="265">
        <f>E16+апр!I16</f>
        <v>0</v>
      </c>
      <c r="U16" s="262">
        <f>F16+апр!J16</f>
        <v>39326</v>
      </c>
      <c r="V16" s="261"/>
      <c r="W16" s="261"/>
      <c r="X16" s="261"/>
    </row>
    <row r="17" spans="1:24" ht="17.25" hidden="1" customHeight="1">
      <c r="A17" s="8"/>
      <c r="B17" s="12" t="s">
        <v>15</v>
      </c>
      <c r="C17" s="13" t="s">
        <v>16</v>
      </c>
      <c r="D17" s="16">
        <f>D15/D16*1000</f>
        <v>187.23840000000001</v>
      </c>
      <c r="E17" s="16"/>
      <c r="F17" s="16" t="e">
        <f t="shared" ref="F17" si="8">F15/F16*1000</f>
        <v>#DIV/0!</v>
      </c>
      <c r="G17" s="10" t="e">
        <f t="shared" si="3"/>
        <v>#DIV/0!</v>
      </c>
      <c r="H17" s="16">
        <f>H15/H16*1000</f>
        <v>187.23840000000001</v>
      </c>
      <c r="I17" s="8"/>
      <c r="J17" s="16">
        <f t="shared" ref="J17" si="9">J15/J16*1000</f>
        <v>141.51273039872567</v>
      </c>
      <c r="K17" s="10">
        <f t="shared" si="4"/>
        <v>141.51273039872567</v>
      </c>
      <c r="L17" s="16"/>
      <c r="M17" s="220"/>
      <c r="N17" s="221"/>
      <c r="O17" s="263">
        <f t="shared" si="0"/>
        <v>-45.725669601274348</v>
      </c>
      <c r="P17" s="264">
        <f t="shared" si="1"/>
        <v>-24.42109610062591</v>
      </c>
      <c r="Q17" s="114"/>
      <c r="R17" s="261"/>
      <c r="S17" s="261">
        <f t="shared" si="2"/>
        <v>936.19200000000001</v>
      </c>
      <c r="T17" s="265">
        <f>E17+апр!I17</f>
        <v>0</v>
      </c>
      <c r="U17" s="262" t="e">
        <f>F17+апр!J17</f>
        <v>#DIV/0!</v>
      </c>
      <c r="V17" s="261"/>
      <c r="W17" s="261"/>
      <c r="X17" s="261"/>
    </row>
    <row r="18" spans="1:24" ht="17.25" hidden="1" customHeight="1">
      <c r="A18" s="8" t="s">
        <v>19</v>
      </c>
      <c r="B18" s="9" t="s">
        <v>20</v>
      </c>
      <c r="C18" s="8" t="s">
        <v>4</v>
      </c>
      <c r="D18" s="10">
        <v>241.64599999999999</v>
      </c>
      <c r="E18" s="8"/>
      <c r="F18" s="54"/>
      <c r="G18" s="10">
        <f t="shared" si="3"/>
        <v>0</v>
      </c>
      <c r="H18" s="10">
        <f>D18+октябрь!H18</f>
        <v>2658.1060000000002</v>
      </c>
      <c r="I18" s="8"/>
      <c r="J18" s="183">
        <f>F18+октябрь!J18</f>
        <v>1108.46</v>
      </c>
      <c r="K18" s="10">
        <f t="shared" si="4"/>
        <v>1108.46</v>
      </c>
      <c r="L18" s="16"/>
      <c r="M18" s="220"/>
      <c r="N18" s="221"/>
      <c r="O18" s="263">
        <f t="shared" si="0"/>
        <v>-1549.6460000000002</v>
      </c>
      <c r="P18" s="264">
        <f t="shared" si="1"/>
        <v>-58.29887897623346</v>
      </c>
      <c r="Q18" s="114"/>
      <c r="R18" s="261"/>
      <c r="S18" s="261">
        <f t="shared" si="2"/>
        <v>1208.23</v>
      </c>
      <c r="T18" s="265">
        <f>E18+апр!I18</f>
        <v>0</v>
      </c>
      <c r="U18" s="262">
        <f>F18+апр!J18</f>
        <v>145.96</v>
      </c>
      <c r="V18" s="261"/>
      <c r="W18" s="261"/>
      <c r="X18" s="261"/>
    </row>
    <row r="19" spans="1:24" ht="17.25" hidden="1" customHeight="1">
      <c r="A19" s="8"/>
      <c r="B19" s="12" t="s">
        <v>13</v>
      </c>
      <c r="C19" s="13" t="s">
        <v>14</v>
      </c>
      <c r="D19" s="14">
        <v>1025</v>
      </c>
      <c r="E19" s="13"/>
      <c r="F19" s="8"/>
      <c r="G19" s="10">
        <f t="shared" si="3"/>
        <v>0</v>
      </c>
      <c r="H19" s="10">
        <f>D19+октябрь!H19</f>
        <v>11275</v>
      </c>
      <c r="I19" s="8"/>
      <c r="J19" s="183">
        <v>3040</v>
      </c>
      <c r="K19" s="10">
        <f t="shared" si="4"/>
        <v>3040</v>
      </c>
      <c r="L19" s="16"/>
      <c r="M19" s="220"/>
      <c r="N19" s="221"/>
      <c r="O19" s="263">
        <f t="shared" si="0"/>
        <v>-8235</v>
      </c>
      <c r="P19" s="264">
        <f t="shared" si="1"/>
        <v>-73.037694013303764</v>
      </c>
      <c r="Q19" s="114"/>
      <c r="R19" s="261"/>
      <c r="S19" s="261">
        <f t="shared" si="2"/>
        <v>5125</v>
      </c>
      <c r="T19" s="265">
        <f>E19+апр!I19</f>
        <v>0</v>
      </c>
      <c r="U19" s="262">
        <f>F19+апр!J19</f>
        <v>290</v>
      </c>
      <c r="V19" s="261"/>
      <c r="W19" s="261"/>
      <c r="X19" s="261"/>
    </row>
    <row r="20" spans="1:24" ht="17.25" hidden="1" customHeight="1">
      <c r="A20" s="8"/>
      <c r="B20" s="12" t="s">
        <v>15</v>
      </c>
      <c r="C20" s="13" t="s">
        <v>16</v>
      </c>
      <c r="D20" s="16">
        <f>D18/D19*1000</f>
        <v>235.75219512195119</v>
      </c>
      <c r="E20" s="16"/>
      <c r="F20" s="16" t="e">
        <f>F18/F19*1000</f>
        <v>#DIV/0!</v>
      </c>
      <c r="G20" s="10" t="e">
        <f t="shared" si="3"/>
        <v>#DIV/0!</v>
      </c>
      <c r="H20" s="16">
        <f>H18/H19*1000</f>
        <v>235.75219512195125</v>
      </c>
      <c r="I20" s="8"/>
      <c r="J20" s="16">
        <f t="shared" ref="J20" si="10">J18/J19*1000</f>
        <v>364.62500000000006</v>
      </c>
      <c r="K20" s="10">
        <f t="shared" si="4"/>
        <v>364.62500000000006</v>
      </c>
      <c r="L20" s="16"/>
      <c r="M20" s="220"/>
      <c r="N20" s="221"/>
      <c r="O20" s="263">
        <f t="shared" si="0"/>
        <v>128.87280487804881</v>
      </c>
      <c r="P20" s="264">
        <f t="shared" si="1"/>
        <v>54.664519586502578</v>
      </c>
      <c r="Q20" s="114"/>
      <c r="R20" s="261"/>
      <c r="S20" s="261">
        <f t="shared" si="2"/>
        <v>1178.7609756097559</v>
      </c>
      <c r="T20" s="265">
        <f>E20+апр!I20</f>
        <v>0</v>
      </c>
      <c r="U20" s="262" t="e">
        <f>F20+апр!J20</f>
        <v>#DIV/0!</v>
      </c>
      <c r="V20" s="261"/>
      <c r="W20" s="261"/>
      <c r="X20" s="261"/>
    </row>
    <row r="21" spans="1:24" ht="17.25" hidden="1" customHeight="1">
      <c r="A21" s="8" t="s">
        <v>21</v>
      </c>
      <c r="B21" s="9" t="s">
        <v>22</v>
      </c>
      <c r="C21" s="8" t="s">
        <v>4</v>
      </c>
      <c r="D21" s="10">
        <v>750.73</v>
      </c>
      <c r="E21" s="8"/>
      <c r="F21" s="54"/>
      <c r="G21" s="10">
        <f t="shared" si="3"/>
        <v>0</v>
      </c>
      <c r="H21" s="10">
        <f>D21+октябрь!H21</f>
        <v>8258.0299999999988</v>
      </c>
      <c r="I21" s="8"/>
      <c r="J21" s="183">
        <f>F21+сентябрь!J21</f>
        <v>8724.619999999999</v>
      </c>
      <c r="K21" s="10">
        <f t="shared" si="4"/>
        <v>8724.619999999999</v>
      </c>
      <c r="L21" s="16"/>
      <c r="M21" s="220"/>
      <c r="N21" s="221"/>
      <c r="O21" s="263">
        <f t="shared" si="0"/>
        <v>466.59000000000015</v>
      </c>
      <c r="P21" s="264">
        <f t="shared" si="1"/>
        <v>5.6501368970565649</v>
      </c>
      <c r="Q21" s="114"/>
      <c r="R21" s="261"/>
      <c r="S21" s="261">
        <f t="shared" si="2"/>
        <v>3753.65</v>
      </c>
      <c r="T21" s="265">
        <f>E21+апр!I21</f>
        <v>0</v>
      </c>
      <c r="U21" s="262">
        <f>F21+апр!J21</f>
        <v>3894.22</v>
      </c>
      <c r="V21" s="261"/>
      <c r="W21" s="261"/>
      <c r="X21" s="261"/>
    </row>
    <row r="22" spans="1:24" ht="17.25" hidden="1" customHeight="1">
      <c r="A22" s="8"/>
      <c r="B22" s="12" t="s">
        <v>13</v>
      </c>
      <c r="C22" s="13" t="s">
        <v>14</v>
      </c>
      <c r="D22" s="14">
        <v>5883</v>
      </c>
      <c r="E22" s="13"/>
      <c r="F22" s="8"/>
      <c r="G22" s="10">
        <f t="shared" si="3"/>
        <v>0</v>
      </c>
      <c r="H22" s="10">
        <f>D22+октябрь!H22</f>
        <v>64713</v>
      </c>
      <c r="I22" s="8"/>
      <c r="J22" s="183">
        <v>56390</v>
      </c>
      <c r="K22" s="10">
        <f t="shared" si="4"/>
        <v>56390</v>
      </c>
      <c r="L22" s="16"/>
      <c r="M22" s="220"/>
      <c r="N22" s="221"/>
      <c r="O22" s="263">
        <f t="shared" si="0"/>
        <v>-8323</v>
      </c>
      <c r="P22" s="264">
        <f t="shared" si="1"/>
        <v>-12.861403427441163</v>
      </c>
      <c r="Q22" s="114"/>
      <c r="R22" s="261"/>
      <c r="S22" s="261">
        <f t="shared" si="2"/>
        <v>29415</v>
      </c>
      <c r="T22" s="265">
        <f>E22+апр!I22</f>
        <v>0</v>
      </c>
      <c r="U22" s="262">
        <f>F22+апр!J22</f>
        <v>22790</v>
      </c>
      <c r="V22" s="261"/>
      <c r="W22" s="261"/>
      <c r="X22" s="261"/>
    </row>
    <row r="23" spans="1:24" ht="17.25" hidden="1" customHeight="1">
      <c r="A23" s="8"/>
      <c r="B23" s="12" t="s">
        <v>15</v>
      </c>
      <c r="C23" s="13" t="s">
        <v>16</v>
      </c>
      <c r="D23" s="16">
        <f>D21/D22*1000</f>
        <v>127.61006289308177</v>
      </c>
      <c r="E23" s="16" t="e">
        <f t="shared" ref="E23:F23" si="11">E21/E22*1000</f>
        <v>#DIV/0!</v>
      </c>
      <c r="F23" s="16" t="e">
        <f t="shared" si="11"/>
        <v>#DIV/0!</v>
      </c>
      <c r="G23" s="10" t="e">
        <f t="shared" si="3"/>
        <v>#DIV/0!</v>
      </c>
      <c r="H23" s="16">
        <f>H21/H22*1000</f>
        <v>127.61006289308175</v>
      </c>
      <c r="I23" s="8"/>
      <c r="J23" s="16">
        <f t="shared" ref="J23" si="12">J21/J22*1000</f>
        <v>154.71927646745877</v>
      </c>
      <c r="K23" s="10">
        <f t="shared" si="4"/>
        <v>154.71927646745877</v>
      </c>
      <c r="L23" s="16"/>
      <c r="M23" s="220"/>
      <c r="N23" s="221"/>
      <c r="O23" s="263">
        <f t="shared" si="0"/>
        <v>27.109213574377023</v>
      </c>
      <c r="P23" s="264">
        <f t="shared" si="1"/>
        <v>21.243789838964748</v>
      </c>
      <c r="Q23" s="114"/>
      <c r="R23" s="261"/>
      <c r="S23" s="261">
        <f t="shared" si="2"/>
        <v>638.05031446540886</v>
      </c>
      <c r="T23" s="265" t="e">
        <f>E23+апр!I23</f>
        <v>#DIV/0!</v>
      </c>
      <c r="U23" s="262" t="e">
        <f>F23+апр!J23</f>
        <v>#DIV/0!</v>
      </c>
      <c r="V23" s="261"/>
      <c r="W23" s="261"/>
      <c r="X23" s="261"/>
    </row>
    <row r="24" spans="1:24" ht="17.25" hidden="1" customHeight="1">
      <c r="A24" s="8" t="s">
        <v>23</v>
      </c>
      <c r="B24" s="9" t="s">
        <v>24</v>
      </c>
      <c r="C24" s="8" t="s">
        <v>4</v>
      </c>
      <c r="D24" s="10">
        <v>165.005</v>
      </c>
      <c r="E24" s="8"/>
      <c r="F24" s="54"/>
      <c r="G24" s="10">
        <f t="shared" si="3"/>
        <v>0</v>
      </c>
      <c r="H24" s="10">
        <f>D24+октябрь!H24</f>
        <v>1815.0550000000003</v>
      </c>
      <c r="I24" s="8"/>
      <c r="J24" s="183">
        <f>F24+сентябрь!J24</f>
        <v>483.41399999999999</v>
      </c>
      <c r="K24" s="10">
        <f t="shared" si="4"/>
        <v>483.41399999999999</v>
      </c>
      <c r="L24" s="16"/>
      <c r="M24" s="220"/>
      <c r="N24" s="221"/>
      <c r="O24" s="263">
        <f t="shared" si="0"/>
        <v>-1331.6410000000003</v>
      </c>
      <c r="P24" s="264">
        <f t="shared" si="1"/>
        <v>-73.366426912683096</v>
      </c>
      <c r="Q24" s="114"/>
      <c r="R24" s="261"/>
      <c r="S24" s="261">
        <f t="shared" si="2"/>
        <v>825.02499999999998</v>
      </c>
      <c r="T24" s="265">
        <f>E24+апр!I24</f>
        <v>0</v>
      </c>
      <c r="U24" s="262">
        <f>F24+апр!J24</f>
        <v>415.84</v>
      </c>
      <c r="V24" s="261"/>
      <c r="W24" s="261"/>
      <c r="X24" s="261"/>
    </row>
    <row r="25" spans="1:24" ht="17.25" hidden="1" customHeight="1">
      <c r="A25" s="8"/>
      <c r="B25" s="12" t="s">
        <v>13</v>
      </c>
      <c r="C25" s="13" t="s">
        <v>14</v>
      </c>
      <c r="D25" s="14">
        <v>251</v>
      </c>
      <c r="E25" s="13"/>
      <c r="F25" s="8"/>
      <c r="G25" s="10">
        <f t="shared" si="3"/>
        <v>0</v>
      </c>
      <c r="H25" s="10">
        <f>D25+октябрь!H25</f>
        <v>2761</v>
      </c>
      <c r="I25" s="8"/>
      <c r="J25" s="183">
        <f>F25+сентябрь!J25</f>
        <v>930</v>
      </c>
      <c r="K25" s="10">
        <f t="shared" si="4"/>
        <v>930</v>
      </c>
      <c r="L25" s="16"/>
      <c r="M25" s="220"/>
      <c r="N25" s="221"/>
      <c r="O25" s="263">
        <f t="shared" si="0"/>
        <v>-1831</v>
      </c>
      <c r="P25" s="264">
        <f t="shared" si="1"/>
        <v>-66.316551973922486</v>
      </c>
      <c r="Q25" s="114"/>
      <c r="R25" s="261"/>
      <c r="S25" s="261">
        <f t="shared" si="2"/>
        <v>1255</v>
      </c>
      <c r="T25" s="265">
        <f>E25+апр!I25</f>
        <v>0</v>
      </c>
      <c r="U25" s="262">
        <f>F25+апр!J25</f>
        <v>800</v>
      </c>
      <c r="V25" s="261"/>
      <c r="W25" s="261"/>
      <c r="X25" s="261"/>
    </row>
    <row r="26" spans="1:24" ht="17.25" hidden="1" customHeight="1">
      <c r="A26" s="8"/>
      <c r="B26" s="12" t="s">
        <v>15</v>
      </c>
      <c r="C26" s="13" t="s">
        <v>16</v>
      </c>
      <c r="D26" s="16">
        <f>D24/D25*1000</f>
        <v>657.39043824701196</v>
      </c>
      <c r="E26" s="16" t="e">
        <f t="shared" ref="E26:F26" si="13">E24/E25*1000</f>
        <v>#DIV/0!</v>
      </c>
      <c r="F26" s="16" t="e">
        <f t="shared" si="13"/>
        <v>#DIV/0!</v>
      </c>
      <c r="G26" s="10" t="e">
        <f t="shared" si="3"/>
        <v>#DIV/0!</v>
      </c>
      <c r="H26" s="16">
        <f>H24/H25*1000</f>
        <v>657.39043824701207</v>
      </c>
      <c r="I26" s="16"/>
      <c r="J26" s="16">
        <f t="shared" ref="J26" si="14">J24/J25*1000</f>
        <v>519.80000000000007</v>
      </c>
      <c r="K26" s="16"/>
      <c r="L26" s="16"/>
      <c r="M26" s="220"/>
      <c r="N26" s="221"/>
      <c r="O26" s="263">
        <f t="shared" si="0"/>
        <v>-137.590438247012</v>
      </c>
      <c r="P26" s="264">
        <f t="shared" si="1"/>
        <v>-20.929790006363447</v>
      </c>
      <c r="Q26" s="114"/>
      <c r="R26" s="261"/>
      <c r="S26" s="261">
        <f t="shared" si="2"/>
        <v>3286.9521912350597</v>
      </c>
      <c r="T26" s="265" t="e">
        <f>E26+апр!I26</f>
        <v>#DIV/0!</v>
      </c>
      <c r="U26" s="262" t="e">
        <f>F26+апр!J26</f>
        <v>#DIV/0!</v>
      </c>
      <c r="V26" s="261"/>
      <c r="W26" s="261"/>
      <c r="X26" s="261"/>
    </row>
    <row r="27" spans="1:24" ht="17.25" hidden="1" customHeight="1">
      <c r="A27" s="8" t="s">
        <v>23</v>
      </c>
      <c r="B27" s="9" t="s">
        <v>25</v>
      </c>
      <c r="C27" s="8" t="s">
        <v>4</v>
      </c>
      <c r="D27" s="10">
        <v>214.15600000000001</v>
      </c>
      <c r="E27" s="8"/>
      <c r="F27" s="54"/>
      <c r="G27" s="10">
        <f t="shared" si="3"/>
        <v>0</v>
      </c>
      <c r="H27" s="10">
        <f>D27+октябрь!H27</f>
        <v>2355.7159999999999</v>
      </c>
      <c r="I27" s="8"/>
      <c r="J27" s="183">
        <f>F27+сентябрь!J27</f>
        <v>1368</v>
      </c>
      <c r="K27" s="10">
        <f t="shared" si="4"/>
        <v>1368</v>
      </c>
      <c r="L27" s="16"/>
      <c r="M27" s="220"/>
      <c r="N27" s="221"/>
      <c r="O27" s="263">
        <f t="shared" si="0"/>
        <v>-987.71599999999989</v>
      </c>
      <c r="P27" s="264">
        <f t="shared" si="1"/>
        <v>-41.928483739126442</v>
      </c>
      <c r="Q27" s="114"/>
      <c r="R27" s="261"/>
      <c r="S27" s="261">
        <f t="shared" si="2"/>
        <v>1070.78</v>
      </c>
      <c r="T27" s="265">
        <f>E27+апр!I27</f>
        <v>0</v>
      </c>
      <c r="U27" s="262">
        <f>F27+апр!J27</f>
        <v>0</v>
      </c>
      <c r="V27" s="261"/>
      <c r="W27" s="261"/>
      <c r="X27" s="261"/>
    </row>
    <row r="28" spans="1:24" ht="17.25" hidden="1" customHeight="1">
      <c r="A28" s="8"/>
      <c r="B28" s="12" t="s">
        <v>13</v>
      </c>
      <c r="C28" s="13" t="s">
        <v>14</v>
      </c>
      <c r="D28" s="14">
        <v>238</v>
      </c>
      <c r="E28" s="13"/>
      <c r="F28" s="8"/>
      <c r="G28" s="10">
        <f t="shared" si="3"/>
        <v>0</v>
      </c>
      <c r="H28" s="10">
        <f>D28+октябрь!H28</f>
        <v>2618</v>
      </c>
      <c r="I28" s="8"/>
      <c r="J28" s="183">
        <f>F28+сентябрь!J28</f>
        <v>1710</v>
      </c>
      <c r="K28" s="10">
        <f t="shared" si="4"/>
        <v>1710</v>
      </c>
      <c r="L28" s="16"/>
      <c r="M28" s="220"/>
      <c r="N28" s="221"/>
      <c r="O28" s="263">
        <f t="shared" si="0"/>
        <v>-908</v>
      </c>
      <c r="P28" s="264">
        <f t="shared" si="1"/>
        <v>-34.682964094728803</v>
      </c>
      <c r="Q28" s="114"/>
      <c r="R28" s="261"/>
      <c r="S28" s="261">
        <f t="shared" si="2"/>
        <v>1190</v>
      </c>
      <c r="T28" s="265">
        <f>E28+апр!I28</f>
        <v>0</v>
      </c>
      <c r="U28" s="262">
        <f>F28+апр!J28</f>
        <v>0</v>
      </c>
      <c r="V28" s="261"/>
      <c r="W28" s="261"/>
      <c r="X28" s="261"/>
    </row>
    <row r="29" spans="1:24" ht="17.25" hidden="1" customHeight="1">
      <c r="A29" s="8"/>
      <c r="B29" s="12" t="s">
        <v>15</v>
      </c>
      <c r="C29" s="13" t="s">
        <v>16</v>
      </c>
      <c r="D29" s="16">
        <f>D27/D28*1000</f>
        <v>899.81512605042019</v>
      </c>
      <c r="E29" s="13"/>
      <c r="F29" s="16" t="e">
        <f t="shared" ref="F29" si="15">F27/F28*1000</f>
        <v>#DIV/0!</v>
      </c>
      <c r="G29" s="10" t="e">
        <f t="shared" si="3"/>
        <v>#DIV/0!</v>
      </c>
      <c r="H29" s="16">
        <f>H27/H28*1000</f>
        <v>899.81512605042008</v>
      </c>
      <c r="I29" s="16"/>
      <c r="J29" s="16">
        <f t="shared" ref="J29" si="16">J27/J28*1000</f>
        <v>800</v>
      </c>
      <c r="K29" s="10">
        <f t="shared" si="4"/>
        <v>800</v>
      </c>
      <c r="L29" s="16"/>
      <c r="M29" s="220"/>
      <c r="N29" s="221"/>
      <c r="O29" s="263">
        <f t="shared" si="0"/>
        <v>-99.815126050420076</v>
      </c>
      <c r="P29" s="264">
        <f t="shared" si="1"/>
        <v>-11.09284820411288</v>
      </c>
      <c r="Q29" s="114"/>
      <c r="R29" s="261"/>
      <c r="S29" s="261">
        <f t="shared" si="2"/>
        <v>4499.0756302521013</v>
      </c>
      <c r="T29" s="265">
        <f>E29+апр!I29</f>
        <v>0</v>
      </c>
      <c r="U29" s="262" t="e">
        <f>F29+апр!J29</f>
        <v>#DIV/0!</v>
      </c>
      <c r="V29" s="261"/>
      <c r="W29" s="261"/>
      <c r="X29" s="261"/>
    </row>
    <row r="30" spans="1:24" ht="17.25" customHeight="1">
      <c r="A30" s="18" t="s">
        <v>26</v>
      </c>
      <c r="B30" s="9" t="s">
        <v>27</v>
      </c>
      <c r="C30" s="8" t="s">
        <v>4</v>
      </c>
      <c r="D30" s="10">
        <f t="shared" ref="D30" si="17">D31+D32+D33+D34</f>
        <v>2406.0839999999998</v>
      </c>
      <c r="E30" s="8">
        <v>762.50099999999998</v>
      </c>
      <c r="F30" s="10">
        <f>F31+F32+F33+F34</f>
        <v>0</v>
      </c>
      <c r="G30" s="10">
        <f t="shared" si="3"/>
        <v>-762.50099999999998</v>
      </c>
      <c r="H30" s="10">
        <f t="shared" ref="H30" si="18">H31+H32+H33+H34</f>
        <v>26466.924000000003</v>
      </c>
      <c r="I30" s="8">
        <f>E30+сентябрь!I30</f>
        <v>7625.0100000000011</v>
      </c>
      <c r="J30" s="10">
        <f>J31+J32+J33+J34</f>
        <v>19182.362000000001</v>
      </c>
      <c r="K30" s="10">
        <f t="shared" si="4"/>
        <v>11557.351999999999</v>
      </c>
      <c r="L30" s="16">
        <f t="shared" si="5"/>
        <v>151.57163072573016</v>
      </c>
      <c r="M30" s="220"/>
      <c r="N30" s="221"/>
      <c r="O30" s="263">
        <f t="shared" si="0"/>
        <v>-7284.5620000000017</v>
      </c>
      <c r="P30" s="264">
        <f t="shared" si="1"/>
        <v>-27.523266398467765</v>
      </c>
      <c r="Q30" s="114"/>
      <c r="R30" s="261"/>
      <c r="S30" s="261">
        <f t="shared" si="2"/>
        <v>12030.419999999998</v>
      </c>
      <c r="T30" s="265">
        <f>E30+апр!I30</f>
        <v>3812.5050000000001</v>
      </c>
      <c r="U30" s="262">
        <f>F30+апр!J30</f>
        <v>9172.7489999999998</v>
      </c>
      <c r="V30" s="261"/>
      <c r="W30" s="261"/>
      <c r="X30" s="261"/>
    </row>
    <row r="31" spans="1:24" ht="35.25" hidden="1" customHeight="1">
      <c r="A31" s="18" t="s">
        <v>28</v>
      </c>
      <c r="B31" s="9" t="s">
        <v>29</v>
      </c>
      <c r="C31" s="8" t="s">
        <v>4</v>
      </c>
      <c r="D31" s="10">
        <v>2288.5219999999999</v>
      </c>
      <c r="E31" s="8"/>
      <c r="F31" s="55"/>
      <c r="G31" s="10">
        <f t="shared" si="3"/>
        <v>0</v>
      </c>
      <c r="H31" s="10">
        <f>D31+октябрь!H31</f>
        <v>25173.742000000006</v>
      </c>
      <c r="I31" s="8"/>
      <c r="J31" s="183">
        <v>18030.900000000001</v>
      </c>
      <c r="K31" s="10">
        <f t="shared" si="4"/>
        <v>18030.900000000001</v>
      </c>
      <c r="L31" s="16"/>
      <c r="M31" s="220"/>
      <c r="N31" s="221"/>
      <c r="O31" s="263">
        <f t="shared" si="0"/>
        <v>-7142.8420000000042</v>
      </c>
      <c r="P31" s="264">
        <f t="shared" si="1"/>
        <v>-28.374176552695275</v>
      </c>
      <c r="Q31" s="114">
        <f>1684.27+16346.673</f>
        <v>18030.942999999999</v>
      </c>
      <c r="R31" s="261"/>
      <c r="S31" s="261">
        <f t="shared" si="2"/>
        <v>11442.61</v>
      </c>
      <c r="T31" s="265">
        <f>E31+апр!I31</f>
        <v>0</v>
      </c>
      <c r="U31" s="262">
        <f>F31+апр!J31</f>
        <v>8773.4349999999995</v>
      </c>
      <c r="V31" s="261"/>
      <c r="W31" s="261"/>
      <c r="X31" s="261"/>
    </row>
    <row r="32" spans="1:24" ht="51.75" hidden="1" customHeight="1">
      <c r="A32" s="18" t="s">
        <v>30</v>
      </c>
      <c r="B32" s="9" t="s">
        <v>31</v>
      </c>
      <c r="C32" s="8" t="s">
        <v>4</v>
      </c>
      <c r="D32" s="10">
        <v>60.337000000000003</v>
      </c>
      <c r="E32" s="8"/>
      <c r="F32" s="54"/>
      <c r="G32" s="10">
        <f t="shared" si="3"/>
        <v>0</v>
      </c>
      <c r="H32" s="10">
        <f>D32+октябрь!H32</f>
        <v>663.70699999999999</v>
      </c>
      <c r="I32" s="8"/>
      <c r="J32" s="183">
        <v>834.13699999999994</v>
      </c>
      <c r="K32" s="10">
        <f t="shared" si="4"/>
        <v>834.13699999999994</v>
      </c>
      <c r="L32" s="16"/>
      <c r="M32" s="231" t="s">
        <v>285</v>
      </c>
      <c r="N32" s="232"/>
      <c r="O32" s="263">
        <f t="shared" si="0"/>
        <v>170.42999999999995</v>
      </c>
      <c r="P32" s="264">
        <f t="shared" si="1"/>
        <v>25.678499699415546</v>
      </c>
      <c r="Q32" s="117">
        <f>774.896+59.241</f>
        <v>834.13699999999994</v>
      </c>
      <c r="R32" s="261"/>
      <c r="S32" s="261">
        <f t="shared" si="2"/>
        <v>301.685</v>
      </c>
      <c r="T32" s="265">
        <f>E32+апр!I32</f>
        <v>0</v>
      </c>
      <c r="U32" s="262">
        <f>F32+апр!J32</f>
        <v>268.02999999999997</v>
      </c>
      <c r="V32" s="261"/>
      <c r="W32" s="261"/>
      <c r="X32" s="261"/>
    </row>
    <row r="33" spans="1:24" ht="17.25" hidden="1" customHeight="1">
      <c r="A33" s="18" t="s">
        <v>32</v>
      </c>
      <c r="B33" s="9" t="s">
        <v>33</v>
      </c>
      <c r="C33" s="8" t="s">
        <v>4</v>
      </c>
      <c r="D33" s="10">
        <v>19.736999999999998</v>
      </c>
      <c r="E33" s="8"/>
      <c r="F33" s="55"/>
      <c r="G33" s="10">
        <f t="shared" si="3"/>
        <v>0</v>
      </c>
      <c r="H33" s="10">
        <f>D33+октябрь!H33</f>
        <v>217.10699999999997</v>
      </c>
      <c r="I33" s="8"/>
      <c r="J33" s="183">
        <f>161.884+54.317</f>
        <v>216.20099999999999</v>
      </c>
      <c r="K33" s="10">
        <f t="shared" si="4"/>
        <v>216.20099999999999</v>
      </c>
      <c r="L33" s="16"/>
      <c r="M33" s="220"/>
      <c r="N33" s="221"/>
      <c r="O33" s="263">
        <f t="shared" si="0"/>
        <v>-0.90599999999997749</v>
      </c>
      <c r="P33" s="264">
        <f t="shared" si="1"/>
        <v>-0.4173057524630609</v>
      </c>
      <c r="Q33" s="114"/>
      <c r="R33" s="261"/>
      <c r="S33" s="261">
        <f t="shared" si="2"/>
        <v>98.684999999999988</v>
      </c>
      <c r="T33" s="265">
        <f>E33+апр!I33</f>
        <v>0</v>
      </c>
      <c r="U33" s="262">
        <f>F33+апр!J33</f>
        <v>49.525999999999996</v>
      </c>
      <c r="V33" s="261"/>
      <c r="W33" s="261"/>
      <c r="X33" s="261"/>
    </row>
    <row r="34" spans="1:24" ht="33" hidden="1" customHeight="1">
      <c r="A34" s="18" t="s">
        <v>34</v>
      </c>
      <c r="B34" s="9" t="s">
        <v>35</v>
      </c>
      <c r="C34" s="8" t="s">
        <v>4</v>
      </c>
      <c r="D34" s="10">
        <v>37.488</v>
      </c>
      <c r="E34" s="8"/>
      <c r="F34" s="55"/>
      <c r="G34" s="10">
        <f t="shared" si="3"/>
        <v>0</v>
      </c>
      <c r="H34" s="10">
        <f>D34+октябрь!H34</f>
        <v>412.36799999999999</v>
      </c>
      <c r="I34" s="8"/>
      <c r="J34" s="183">
        <f>F34+сентябрь!J34</f>
        <v>101.12400000000002</v>
      </c>
      <c r="K34" s="10">
        <f t="shared" si="4"/>
        <v>101.12400000000002</v>
      </c>
      <c r="L34" s="16"/>
      <c r="M34" s="220"/>
      <c r="N34" s="221"/>
      <c r="O34" s="263">
        <f t="shared" si="0"/>
        <v>-311.24399999999997</v>
      </c>
      <c r="P34" s="264">
        <f t="shared" si="1"/>
        <v>-75.477243627051564</v>
      </c>
      <c r="Q34" s="114">
        <f>47.574+87.868</f>
        <v>135.44200000000001</v>
      </c>
      <c r="R34" s="261"/>
      <c r="S34" s="261">
        <f t="shared" si="2"/>
        <v>187.44</v>
      </c>
      <c r="T34" s="265">
        <f>E34+апр!I34</f>
        <v>0</v>
      </c>
      <c r="U34" s="262">
        <f>F34+апр!J34</f>
        <v>81.75800000000001</v>
      </c>
      <c r="V34" s="261"/>
      <c r="W34" s="261"/>
      <c r="X34" s="261"/>
    </row>
    <row r="35" spans="1:24" ht="17.25" customHeight="1">
      <c r="A35" s="18" t="s">
        <v>36</v>
      </c>
      <c r="B35" s="9" t="s">
        <v>37</v>
      </c>
      <c r="C35" s="8" t="s">
        <v>4</v>
      </c>
      <c r="D35" s="10">
        <f t="shared" ref="D35:J35" si="19">D36</f>
        <v>162.715</v>
      </c>
      <c r="E35" s="10">
        <f t="shared" si="19"/>
        <v>162.75</v>
      </c>
      <c r="F35" s="10">
        <f t="shared" si="19"/>
        <v>0</v>
      </c>
      <c r="G35" s="10">
        <f t="shared" si="3"/>
        <v>-162.75</v>
      </c>
      <c r="H35" s="10">
        <f t="shared" si="19"/>
        <v>1789.8649999999998</v>
      </c>
      <c r="I35" s="10">
        <f t="shared" si="19"/>
        <v>1627.5</v>
      </c>
      <c r="J35" s="10">
        <f t="shared" si="19"/>
        <v>3076.02</v>
      </c>
      <c r="K35" s="10">
        <f t="shared" si="4"/>
        <v>1448.52</v>
      </c>
      <c r="L35" s="16">
        <f t="shared" si="5"/>
        <v>89.002764976958531</v>
      </c>
      <c r="M35" s="220"/>
      <c r="N35" s="221"/>
      <c r="O35" s="263">
        <f t="shared" si="0"/>
        <v>1286.1550000000002</v>
      </c>
      <c r="P35" s="264">
        <f t="shared" si="1"/>
        <v>71.857654068882312</v>
      </c>
      <c r="Q35" s="114"/>
      <c r="R35" s="261"/>
      <c r="S35" s="261">
        <f t="shared" si="2"/>
        <v>813.57500000000005</v>
      </c>
      <c r="T35" s="265">
        <f>E35+апр!I35</f>
        <v>813.75</v>
      </c>
      <c r="U35" s="262">
        <f>F35+апр!J35</f>
        <v>1783.548</v>
      </c>
      <c r="V35" s="261"/>
      <c r="W35" s="261"/>
      <c r="X35" s="261"/>
    </row>
    <row r="36" spans="1:24" ht="17.25" customHeight="1">
      <c r="A36" s="8" t="s">
        <v>38</v>
      </c>
      <c r="B36" s="9" t="s">
        <v>39</v>
      </c>
      <c r="C36" s="8" t="s">
        <v>4</v>
      </c>
      <c r="D36" s="10">
        <v>162.715</v>
      </c>
      <c r="E36" s="8">
        <v>162.75</v>
      </c>
      <c r="F36" s="54"/>
      <c r="G36" s="10">
        <f t="shared" si="3"/>
        <v>-162.75</v>
      </c>
      <c r="H36" s="10">
        <f>D36+октябрь!H36</f>
        <v>1789.8649999999998</v>
      </c>
      <c r="I36" s="8">
        <f>E36+сентябрь!I36</f>
        <v>1627.5</v>
      </c>
      <c r="J36" s="10">
        <v>3076.02</v>
      </c>
      <c r="K36" s="10">
        <f t="shared" si="4"/>
        <v>1448.52</v>
      </c>
      <c r="L36" s="16">
        <f t="shared" si="5"/>
        <v>89.002764976958531</v>
      </c>
      <c r="M36" s="220"/>
      <c r="N36" s="221"/>
      <c r="O36" s="263">
        <f t="shared" si="0"/>
        <v>1286.1550000000002</v>
      </c>
      <c r="P36" s="264">
        <f t="shared" si="1"/>
        <v>71.857654068882312</v>
      </c>
      <c r="Q36" s="114">
        <f>2566.013+510.005</f>
        <v>3076.018</v>
      </c>
      <c r="R36" s="261"/>
      <c r="S36" s="261">
        <f t="shared" si="2"/>
        <v>813.57500000000005</v>
      </c>
      <c r="T36" s="265">
        <f>E36+апр!I36</f>
        <v>813.75</v>
      </c>
      <c r="U36" s="262">
        <f>F36+апр!J36</f>
        <v>1783.548</v>
      </c>
      <c r="V36" s="261"/>
      <c r="W36" s="261"/>
      <c r="X36" s="261"/>
    </row>
    <row r="37" spans="1:24" ht="17.25" customHeight="1">
      <c r="A37" s="18" t="s">
        <v>40</v>
      </c>
      <c r="B37" s="9" t="s">
        <v>41</v>
      </c>
      <c r="C37" s="8" t="s">
        <v>4</v>
      </c>
      <c r="D37" s="10">
        <f>D38+D41+D48+D51</f>
        <v>1613.3909999999998</v>
      </c>
      <c r="E37" s="8">
        <v>1933.0830000000001</v>
      </c>
      <c r="F37" s="10">
        <f>F38+F41+F48+F51</f>
        <v>0</v>
      </c>
      <c r="G37" s="10">
        <f t="shared" si="3"/>
        <v>-1933.0830000000001</v>
      </c>
      <c r="H37" s="10">
        <f>H38+H41+H48+H51</f>
        <v>17747.300999999999</v>
      </c>
      <c r="I37" s="8">
        <f>E37+сентябрь!I37</f>
        <v>19330.830000000002</v>
      </c>
      <c r="J37" s="10">
        <f>J38+J41+J48+J51</f>
        <v>18435.194999999996</v>
      </c>
      <c r="K37" s="10">
        <f t="shared" si="4"/>
        <v>-895.63500000000568</v>
      </c>
      <c r="L37" s="16">
        <f t="shared" si="5"/>
        <v>-4.6331947464232295</v>
      </c>
      <c r="M37" s="220"/>
      <c r="N37" s="221"/>
      <c r="O37" s="263">
        <f t="shared" si="0"/>
        <v>687.89399999999659</v>
      </c>
      <c r="P37" s="264">
        <f t="shared" si="1"/>
        <v>3.8760485326754566</v>
      </c>
      <c r="Q37" s="114"/>
      <c r="R37" s="261"/>
      <c r="S37" s="261">
        <f t="shared" si="2"/>
        <v>8066.954999999999</v>
      </c>
      <c r="T37" s="265">
        <f>E37+апр!I37</f>
        <v>9665.4150000000009</v>
      </c>
      <c r="U37" s="262">
        <f>F37+апр!J37</f>
        <v>10051.732</v>
      </c>
      <c r="V37" s="261"/>
      <c r="W37" s="261"/>
      <c r="X37" s="261"/>
    </row>
    <row r="38" spans="1:24" ht="17.25" hidden="1" customHeight="1">
      <c r="A38" s="18" t="s">
        <v>42</v>
      </c>
      <c r="B38" s="9" t="s">
        <v>43</v>
      </c>
      <c r="C38" s="8" t="s">
        <v>4</v>
      </c>
      <c r="D38" s="10">
        <v>707.32500000000005</v>
      </c>
      <c r="E38" s="8">
        <v>707.33299999999997</v>
      </c>
      <c r="F38" s="55"/>
      <c r="G38" s="10">
        <f t="shared" si="3"/>
        <v>-707.33299999999997</v>
      </c>
      <c r="H38" s="10">
        <f>D38+октябрь!H38</f>
        <v>7780.5749999999989</v>
      </c>
      <c r="I38" s="8">
        <f>E38+сентябрь!I38</f>
        <v>7073.3299999999981</v>
      </c>
      <c r="J38" s="10">
        <f>F38+сентябрь!J38</f>
        <v>5653.2079999999996</v>
      </c>
      <c r="K38" s="10">
        <f t="shared" si="4"/>
        <v>-1420.1219999999985</v>
      </c>
      <c r="L38" s="16">
        <f t="shared" si="5"/>
        <v>-20.077134814860877</v>
      </c>
      <c r="M38" s="220"/>
      <c r="N38" s="221"/>
      <c r="O38" s="263">
        <f t="shared" si="0"/>
        <v>-2127.3669999999993</v>
      </c>
      <c r="P38" s="264">
        <f t="shared" si="1"/>
        <v>-27.342028063478597</v>
      </c>
      <c r="Q38" s="114"/>
      <c r="R38" s="261"/>
      <c r="S38" s="261">
        <f t="shared" si="2"/>
        <v>3536.625</v>
      </c>
      <c r="T38" s="265">
        <f>E38+апр!I38</f>
        <v>3536.665</v>
      </c>
      <c r="U38" s="262">
        <f>F38+апр!J38</f>
        <v>5547.366</v>
      </c>
      <c r="V38" s="261"/>
      <c r="W38" s="261"/>
      <c r="X38" s="261"/>
    </row>
    <row r="39" spans="1:24" ht="17.25" hidden="1" customHeight="1">
      <c r="A39" s="8"/>
      <c r="B39" s="12" t="s">
        <v>13</v>
      </c>
      <c r="C39" s="13" t="s">
        <v>44</v>
      </c>
      <c r="D39" s="14">
        <v>87</v>
      </c>
      <c r="E39" s="13"/>
      <c r="F39" s="8"/>
      <c r="G39" s="10">
        <f t="shared" si="3"/>
        <v>0</v>
      </c>
      <c r="H39" s="10">
        <f>D39+октябрь!H39</f>
        <v>957</v>
      </c>
      <c r="I39" s="8"/>
      <c r="J39" s="10">
        <f>F39+сентябрь!J39</f>
        <v>908</v>
      </c>
      <c r="K39" s="10">
        <f t="shared" si="4"/>
        <v>908</v>
      </c>
      <c r="L39" s="16"/>
      <c r="M39" s="220"/>
      <c r="N39" s="221"/>
      <c r="O39" s="263">
        <f t="shared" si="0"/>
        <v>-49</v>
      </c>
      <c r="P39" s="264">
        <f t="shared" si="1"/>
        <v>-5.1201671891327063</v>
      </c>
      <c r="Q39" s="114"/>
      <c r="R39" s="261"/>
      <c r="S39" s="261">
        <f t="shared" si="2"/>
        <v>435</v>
      </c>
      <c r="T39" s="265">
        <f>E39+апр!I39</f>
        <v>0</v>
      </c>
      <c r="U39" s="262">
        <f>F39+апр!J39</f>
        <v>891</v>
      </c>
      <c r="V39" s="261"/>
      <c r="W39" s="261"/>
      <c r="X39" s="261"/>
    </row>
    <row r="40" spans="1:24" ht="17.25" hidden="1" customHeight="1">
      <c r="A40" s="8"/>
      <c r="B40" s="12" t="s">
        <v>15</v>
      </c>
      <c r="C40" s="13" t="s">
        <v>16</v>
      </c>
      <c r="D40" s="16">
        <f>D38/D39*1000</f>
        <v>8130.1724137931051</v>
      </c>
      <c r="E40" s="16"/>
      <c r="F40" s="16" t="e">
        <f t="shared" ref="F40" si="20">F38/F39*1000</f>
        <v>#DIV/0!</v>
      </c>
      <c r="G40" s="10" t="e">
        <f t="shared" si="3"/>
        <v>#DIV/0!</v>
      </c>
      <c r="H40" s="16">
        <f>H38/H39*1000</f>
        <v>8130.1724137931033</v>
      </c>
      <c r="I40" s="16"/>
      <c r="J40" s="16">
        <f t="shared" ref="J40" si="21">J38/J39*1000</f>
        <v>6226</v>
      </c>
      <c r="K40" s="10">
        <f t="shared" si="4"/>
        <v>6226</v>
      </c>
      <c r="L40" s="16"/>
      <c r="M40" s="220"/>
      <c r="N40" s="221"/>
      <c r="O40" s="263">
        <f t="shared" si="0"/>
        <v>-1904.1724137931033</v>
      </c>
      <c r="P40" s="264">
        <f t="shared" si="1"/>
        <v>-23.421058212278652</v>
      </c>
      <c r="Q40" s="114"/>
      <c r="R40" s="261"/>
      <c r="S40" s="261">
        <f t="shared" si="2"/>
        <v>40650.862068965522</v>
      </c>
      <c r="T40" s="265">
        <f>E40+апр!I40</f>
        <v>0</v>
      </c>
      <c r="U40" s="262" t="e">
        <f>F40+апр!J40</f>
        <v>#DIV/0!</v>
      </c>
      <c r="V40" s="261"/>
      <c r="W40" s="261"/>
      <c r="X40" s="261"/>
    </row>
    <row r="41" spans="1:24" ht="17.25" hidden="1" customHeight="1">
      <c r="A41" s="18" t="s">
        <v>45</v>
      </c>
      <c r="B41" s="9" t="s">
        <v>46</v>
      </c>
      <c r="C41" s="8" t="s">
        <v>4</v>
      </c>
      <c r="D41" s="10">
        <f t="shared" ref="D41:F41" si="22">D42+D45</f>
        <v>315.00200000000001</v>
      </c>
      <c r="E41" s="10">
        <f t="shared" si="22"/>
        <v>0</v>
      </c>
      <c r="F41" s="54">
        <f t="shared" si="22"/>
        <v>0</v>
      </c>
      <c r="G41" s="10">
        <f t="shared" si="3"/>
        <v>0</v>
      </c>
      <c r="H41" s="10">
        <f t="shared" ref="H41:J41" si="23">H42+H45</f>
        <v>3465.0219999999999</v>
      </c>
      <c r="I41" s="10">
        <f t="shared" si="23"/>
        <v>0</v>
      </c>
      <c r="J41" s="10">
        <f t="shared" si="23"/>
        <v>3485.8110000000001</v>
      </c>
      <c r="K41" s="10">
        <f t="shared" si="4"/>
        <v>3485.8110000000001</v>
      </c>
      <c r="L41" s="16"/>
      <c r="M41" s="220"/>
      <c r="N41" s="221"/>
      <c r="O41" s="263">
        <f t="shared" si="0"/>
        <v>20.789000000000215</v>
      </c>
      <c r="P41" s="264">
        <f t="shared" si="1"/>
        <v>0.59996733065476104</v>
      </c>
      <c r="Q41" s="114"/>
      <c r="R41" s="261"/>
      <c r="S41" s="261">
        <f t="shared" si="2"/>
        <v>1575.01</v>
      </c>
      <c r="T41" s="265">
        <f>E41+апр!I41</f>
        <v>0</v>
      </c>
      <c r="U41" s="262">
        <f>F41+апр!J41</f>
        <v>1437.058</v>
      </c>
      <c r="V41" s="261"/>
      <c r="W41" s="261"/>
      <c r="X41" s="261"/>
    </row>
    <row r="42" spans="1:24" ht="16.5" hidden="1" customHeight="1">
      <c r="A42" s="8"/>
      <c r="B42" s="9" t="s">
        <v>47</v>
      </c>
      <c r="C42" s="8" t="s">
        <v>4</v>
      </c>
      <c r="D42" s="10">
        <v>152.298</v>
      </c>
      <c r="E42" s="8"/>
      <c r="F42" s="8"/>
      <c r="G42" s="10">
        <f t="shared" si="3"/>
        <v>0</v>
      </c>
      <c r="H42" s="10">
        <f>D42+октябрь!H42</f>
        <v>1675.278</v>
      </c>
      <c r="I42" s="8"/>
      <c r="J42" s="10">
        <f>F42+сентябрь!J42</f>
        <v>0</v>
      </c>
      <c r="K42" s="10">
        <f t="shared" si="4"/>
        <v>0</v>
      </c>
      <c r="L42" s="16"/>
      <c r="M42" s="266" t="s">
        <v>286</v>
      </c>
      <c r="N42" s="267"/>
      <c r="O42" s="263">
        <f t="shared" si="0"/>
        <v>-1675.278</v>
      </c>
      <c r="P42" s="264">
        <f t="shared" si="1"/>
        <v>-100</v>
      </c>
      <c r="Q42" s="117"/>
      <c r="R42" s="261"/>
      <c r="S42" s="261">
        <f t="shared" si="2"/>
        <v>761.49</v>
      </c>
      <c r="T42" s="265">
        <f>E42+апр!I42</f>
        <v>0</v>
      </c>
      <c r="U42" s="262">
        <f>F42+апр!J42</f>
        <v>0</v>
      </c>
      <c r="V42" s="261"/>
      <c r="W42" s="261"/>
      <c r="X42" s="261"/>
    </row>
    <row r="43" spans="1:24" ht="17.25" hidden="1" customHeight="1">
      <c r="A43" s="8"/>
      <c r="B43" s="12" t="s">
        <v>48</v>
      </c>
      <c r="C43" s="13" t="s">
        <v>49</v>
      </c>
      <c r="D43" s="14">
        <v>1917</v>
      </c>
      <c r="E43" s="13"/>
      <c r="F43" s="8"/>
      <c r="G43" s="10">
        <f t="shared" si="3"/>
        <v>0</v>
      </c>
      <c r="H43" s="10">
        <f>D43+октябрь!H43</f>
        <v>21087</v>
      </c>
      <c r="I43" s="8"/>
      <c r="J43" s="10">
        <f>F43+сентябрь!J43</f>
        <v>0</v>
      </c>
      <c r="K43" s="10">
        <f t="shared" si="4"/>
        <v>0</v>
      </c>
      <c r="L43" s="16"/>
      <c r="M43" s="268"/>
      <c r="N43" s="269"/>
      <c r="O43" s="263">
        <f t="shared" si="0"/>
        <v>-21087</v>
      </c>
      <c r="P43" s="264">
        <f t="shared" si="1"/>
        <v>-100</v>
      </c>
      <c r="Q43" s="117"/>
      <c r="R43" s="261"/>
      <c r="S43" s="261">
        <f t="shared" si="2"/>
        <v>9585</v>
      </c>
      <c r="T43" s="265">
        <f>E43+апр!I43</f>
        <v>0</v>
      </c>
      <c r="U43" s="262">
        <f>F43+апр!J43</f>
        <v>0</v>
      </c>
      <c r="V43" s="261"/>
      <c r="W43" s="261"/>
      <c r="X43" s="261"/>
    </row>
    <row r="44" spans="1:24" ht="17.25" hidden="1" customHeight="1">
      <c r="A44" s="8"/>
      <c r="B44" s="12" t="s">
        <v>15</v>
      </c>
      <c r="C44" s="13" t="s">
        <v>16</v>
      </c>
      <c r="D44" s="16">
        <f>D42/D43*1000</f>
        <v>79.44600938967136</v>
      </c>
      <c r="E44" s="13"/>
      <c r="F44" s="8"/>
      <c r="G44" s="10">
        <f t="shared" si="3"/>
        <v>0</v>
      </c>
      <c r="H44" s="16">
        <f>H42/H43*1000</f>
        <v>79.44600938967136</v>
      </c>
      <c r="I44" s="16"/>
      <c r="J44" s="16" t="e">
        <f t="shared" ref="J44" si="24">J42/J43*1000</f>
        <v>#DIV/0!</v>
      </c>
      <c r="K44" s="10" t="e">
        <f t="shared" si="4"/>
        <v>#DIV/0!</v>
      </c>
      <c r="L44" s="16"/>
      <c r="M44" s="220"/>
      <c r="N44" s="221"/>
      <c r="O44" s="263" t="e">
        <f t="shared" si="0"/>
        <v>#DIV/0!</v>
      </c>
      <c r="P44" s="264" t="e">
        <f t="shared" si="1"/>
        <v>#DIV/0!</v>
      </c>
      <c r="Q44" s="114"/>
      <c r="R44" s="261"/>
      <c r="S44" s="261">
        <f t="shared" si="2"/>
        <v>397.2300469483568</v>
      </c>
      <c r="T44" s="265">
        <f>E44+апр!I44</f>
        <v>0</v>
      </c>
      <c r="U44" s="262" t="e">
        <f>F44+апр!J44</f>
        <v>#DIV/0!</v>
      </c>
      <c r="V44" s="261"/>
      <c r="W44" s="261"/>
      <c r="X44" s="261"/>
    </row>
    <row r="45" spans="1:24" ht="17.25" hidden="1" customHeight="1">
      <c r="A45" s="8"/>
      <c r="B45" s="19" t="s">
        <v>50</v>
      </c>
      <c r="C45" s="8" t="s">
        <v>4</v>
      </c>
      <c r="D45" s="10">
        <v>162.70400000000001</v>
      </c>
      <c r="E45" s="8"/>
      <c r="F45" s="54"/>
      <c r="G45" s="10">
        <f t="shared" si="3"/>
        <v>0</v>
      </c>
      <c r="H45" s="10">
        <f>D45+октябрь!H45</f>
        <v>1789.7439999999997</v>
      </c>
      <c r="I45" s="8">
        <f>E45+август!I45</f>
        <v>0</v>
      </c>
      <c r="J45" s="10">
        <v>3485.8110000000001</v>
      </c>
      <c r="K45" s="10">
        <f t="shared" si="4"/>
        <v>3485.8110000000001</v>
      </c>
      <c r="L45" s="16"/>
      <c r="M45" s="220"/>
      <c r="N45" s="221"/>
      <c r="O45" s="263">
        <f t="shared" si="0"/>
        <v>1696.0670000000005</v>
      </c>
      <c r="P45" s="264">
        <f t="shared" si="1"/>
        <v>94.765899480596147</v>
      </c>
      <c r="Q45" s="114"/>
      <c r="R45" s="261"/>
      <c r="S45" s="261">
        <f t="shared" si="2"/>
        <v>813.52</v>
      </c>
      <c r="T45" s="265">
        <f>E45+апр!I45</f>
        <v>0</v>
      </c>
      <c r="U45" s="262">
        <f>F45+апр!J45</f>
        <v>1437.058</v>
      </c>
      <c r="V45" s="261"/>
      <c r="W45" s="261"/>
      <c r="X45" s="261"/>
    </row>
    <row r="46" spans="1:24" ht="17.25" hidden="1" customHeight="1">
      <c r="A46" s="8"/>
      <c r="B46" s="12" t="s">
        <v>51</v>
      </c>
      <c r="C46" s="13" t="s">
        <v>49</v>
      </c>
      <c r="D46" s="14">
        <v>1417</v>
      </c>
      <c r="E46" s="13"/>
      <c r="F46" s="8"/>
      <c r="G46" s="10">
        <f t="shared" si="3"/>
        <v>0</v>
      </c>
      <c r="H46" s="10">
        <f>D46+октябрь!H46</f>
        <v>15587</v>
      </c>
      <c r="I46" s="8"/>
      <c r="J46" s="10">
        <v>24520</v>
      </c>
      <c r="K46" s="10">
        <f t="shared" si="4"/>
        <v>24520</v>
      </c>
      <c r="L46" s="16"/>
      <c r="M46" s="220"/>
      <c r="N46" s="221"/>
      <c r="O46" s="263">
        <f t="shared" si="0"/>
        <v>8933</v>
      </c>
      <c r="P46" s="264">
        <f t="shared" si="1"/>
        <v>57.310579328927957</v>
      </c>
      <c r="Q46" s="114"/>
      <c r="R46" s="261"/>
      <c r="S46" s="261">
        <f t="shared" si="2"/>
        <v>7085</v>
      </c>
      <c r="T46" s="265">
        <f>E46+апр!I46</f>
        <v>0</v>
      </c>
      <c r="U46" s="262">
        <f>F46+апр!J46</f>
        <v>10122</v>
      </c>
      <c r="V46" s="261"/>
      <c r="W46" s="261"/>
      <c r="X46" s="261"/>
    </row>
    <row r="47" spans="1:24" ht="17.25" hidden="1" customHeight="1">
      <c r="A47" s="8"/>
      <c r="B47" s="12" t="s">
        <v>15</v>
      </c>
      <c r="C47" s="13" t="s">
        <v>16</v>
      </c>
      <c r="D47" s="16">
        <f>D45/D46*1000</f>
        <v>114.82286520818631</v>
      </c>
      <c r="E47" s="16"/>
      <c r="F47" s="16" t="e">
        <f t="shared" ref="F47" si="25">F45/F46*1000</f>
        <v>#DIV/0!</v>
      </c>
      <c r="G47" s="10" t="e">
        <f t="shared" si="3"/>
        <v>#DIV/0!</v>
      </c>
      <c r="H47" s="16">
        <f>H45/H46*1000</f>
        <v>114.82286520818629</v>
      </c>
      <c r="I47" s="16"/>
      <c r="J47" s="16">
        <f t="shared" ref="J47" si="26">J45/J46*1000</f>
        <v>142.16194942903755</v>
      </c>
      <c r="K47" s="10">
        <f t="shared" si="4"/>
        <v>142.16194942903755</v>
      </c>
      <c r="L47" s="16"/>
      <c r="M47" s="220"/>
      <c r="N47" s="221"/>
      <c r="O47" s="263">
        <f t="shared" si="0"/>
        <v>27.339084220851262</v>
      </c>
      <c r="P47" s="264">
        <f t="shared" si="1"/>
        <v>23.809790995271317</v>
      </c>
      <c r="Q47" s="114"/>
      <c r="R47" s="261"/>
      <c r="S47" s="261">
        <f t="shared" si="2"/>
        <v>574.11432604093159</v>
      </c>
      <c r="T47" s="265">
        <f>E47+апр!I47</f>
        <v>0</v>
      </c>
      <c r="U47" s="262" t="e">
        <f>F47+апр!J47</f>
        <v>#DIV/0!</v>
      </c>
      <c r="V47" s="261"/>
      <c r="W47" s="261"/>
      <c r="X47" s="261"/>
    </row>
    <row r="48" spans="1:24" ht="17.25" hidden="1" customHeight="1">
      <c r="A48" s="18" t="s">
        <v>52</v>
      </c>
      <c r="B48" s="9" t="s">
        <v>53</v>
      </c>
      <c r="C48" s="8" t="s">
        <v>4</v>
      </c>
      <c r="D48" s="10">
        <v>515.60799999999995</v>
      </c>
      <c r="E48" s="8"/>
      <c r="F48" s="55"/>
      <c r="G48" s="10">
        <f t="shared" si="3"/>
        <v>0</v>
      </c>
      <c r="H48" s="10">
        <f>D48+октябрь!H48</f>
        <v>5671.688000000001</v>
      </c>
      <c r="I48" s="8"/>
      <c r="J48" s="10">
        <v>8703.7379999999994</v>
      </c>
      <c r="K48" s="10">
        <f t="shared" si="4"/>
        <v>8703.7379999999994</v>
      </c>
      <c r="L48" s="16"/>
      <c r="M48" s="220"/>
      <c r="N48" s="221"/>
      <c r="O48" s="263">
        <f t="shared" si="0"/>
        <v>3032.0499999999984</v>
      </c>
      <c r="P48" s="264">
        <f t="shared" si="1"/>
        <v>53.459393393994837</v>
      </c>
      <c r="Q48" s="114"/>
      <c r="R48" s="261"/>
      <c r="S48" s="261">
        <f t="shared" si="2"/>
        <v>2578.04</v>
      </c>
      <c r="T48" s="265">
        <f>E48+апр!I48</f>
        <v>0</v>
      </c>
      <c r="U48" s="262">
        <f>F48+апр!J48</f>
        <v>2946.1590000000006</v>
      </c>
      <c r="V48" s="261"/>
      <c r="W48" s="261"/>
      <c r="X48" s="261"/>
    </row>
    <row r="49" spans="1:24" ht="17.25" hidden="1" customHeight="1">
      <c r="A49" s="8"/>
      <c r="B49" s="12" t="s">
        <v>13</v>
      </c>
      <c r="C49" s="13" t="s">
        <v>49</v>
      </c>
      <c r="D49" s="14">
        <v>5833</v>
      </c>
      <c r="E49" s="13"/>
      <c r="F49" s="8"/>
      <c r="G49" s="10">
        <f t="shared" si="3"/>
        <v>0</v>
      </c>
      <c r="H49" s="10">
        <f>D49+октябрь!H49</f>
        <v>64163</v>
      </c>
      <c r="I49" s="8"/>
      <c r="J49" s="10">
        <v>55844</v>
      </c>
      <c r="K49" s="10">
        <f t="shared" si="4"/>
        <v>55844</v>
      </c>
      <c r="L49" s="16"/>
      <c r="M49" s="220"/>
      <c r="N49" s="221"/>
      <c r="O49" s="263">
        <f t="shared" si="0"/>
        <v>-8319</v>
      </c>
      <c r="P49" s="264">
        <f t="shared" si="1"/>
        <v>-12.965416205601359</v>
      </c>
      <c r="Q49" s="114"/>
      <c r="R49" s="261"/>
      <c r="S49" s="261">
        <f t="shared" si="2"/>
        <v>29165</v>
      </c>
      <c r="T49" s="265">
        <f>E49+апр!I49</f>
        <v>0</v>
      </c>
      <c r="U49" s="262">
        <f>F49+апр!J49</f>
        <v>18323</v>
      </c>
      <c r="V49" s="261"/>
      <c r="W49" s="261"/>
      <c r="X49" s="261"/>
    </row>
    <row r="50" spans="1:24" ht="17.25" hidden="1" customHeight="1">
      <c r="A50" s="8"/>
      <c r="B50" s="12" t="s">
        <v>15</v>
      </c>
      <c r="C50" s="13" t="s">
        <v>16</v>
      </c>
      <c r="D50" s="16">
        <f>D48/D49*1000</f>
        <v>88.394993999657117</v>
      </c>
      <c r="E50" s="16"/>
      <c r="F50" s="16" t="e">
        <f t="shared" ref="F50" si="27">F48/F49*1000</f>
        <v>#DIV/0!</v>
      </c>
      <c r="G50" s="10" t="e">
        <f t="shared" si="3"/>
        <v>#DIV/0!</v>
      </c>
      <c r="H50" s="16">
        <f>H48/H49*1000</f>
        <v>88.394993999657146</v>
      </c>
      <c r="I50" s="16"/>
      <c r="J50" s="16">
        <f t="shared" ref="J50" si="28">J48/J49*1000</f>
        <v>155.8580689062388</v>
      </c>
      <c r="K50" s="10">
        <f t="shared" si="4"/>
        <v>155.8580689062388</v>
      </c>
      <c r="L50" s="16"/>
      <c r="M50" s="220"/>
      <c r="N50" s="221"/>
      <c r="O50" s="263">
        <f t="shared" si="0"/>
        <v>67.463074906581653</v>
      </c>
      <c r="P50" s="264">
        <f t="shared" si="1"/>
        <v>76.320017519140634</v>
      </c>
      <c r="Q50" s="114"/>
      <c r="R50" s="261"/>
      <c r="S50" s="261">
        <f t="shared" si="2"/>
        <v>441.97496999828559</v>
      </c>
      <c r="T50" s="265">
        <f>E50+апр!I50</f>
        <v>0</v>
      </c>
      <c r="U50" s="262" t="e">
        <f>F50+апр!J50</f>
        <v>#DIV/0!</v>
      </c>
      <c r="V50" s="261"/>
      <c r="W50" s="261"/>
      <c r="X50" s="261"/>
    </row>
    <row r="51" spans="1:24" ht="17.25" hidden="1" customHeight="1">
      <c r="A51" s="18" t="s">
        <v>54</v>
      </c>
      <c r="B51" s="20" t="s">
        <v>55</v>
      </c>
      <c r="C51" s="8" t="s">
        <v>4</v>
      </c>
      <c r="D51" s="10">
        <f t="shared" ref="D51:F52" si="29">D54+D57+D60+D63+D66+D69</f>
        <v>75.456000000000003</v>
      </c>
      <c r="E51" s="10"/>
      <c r="F51" s="10">
        <f t="shared" si="29"/>
        <v>0</v>
      </c>
      <c r="G51" s="10">
        <f t="shared" si="3"/>
        <v>0</v>
      </c>
      <c r="H51" s="10">
        <f t="shared" ref="H51:H52" si="30">H54+H57+H60+H63+H66+H69</f>
        <v>830.01599999999996</v>
      </c>
      <c r="I51" s="10"/>
      <c r="J51" s="10">
        <f t="shared" ref="J51:J52" si="31">J54+J57+J60+J63+J66+J69</f>
        <v>592.43799999999999</v>
      </c>
      <c r="K51" s="10">
        <f t="shared" si="4"/>
        <v>592.43799999999999</v>
      </c>
      <c r="L51" s="16"/>
      <c r="M51" s="220"/>
      <c r="N51" s="221"/>
      <c r="O51" s="263">
        <f t="shared" si="0"/>
        <v>-237.57799999999997</v>
      </c>
      <c r="P51" s="264">
        <f t="shared" si="1"/>
        <v>-28.623303647158611</v>
      </c>
      <c r="Q51" s="114"/>
      <c r="R51" s="261"/>
      <c r="S51" s="261">
        <f t="shared" si="2"/>
        <v>377.28000000000003</v>
      </c>
      <c r="T51" s="265">
        <f>E51+апр!I51</f>
        <v>0</v>
      </c>
      <c r="U51" s="262">
        <f>F51+апр!J51</f>
        <v>121.149</v>
      </c>
      <c r="V51" s="261"/>
      <c r="W51" s="261"/>
      <c r="X51" s="261"/>
    </row>
    <row r="52" spans="1:24" ht="17.25" hidden="1" customHeight="1">
      <c r="A52" s="8"/>
      <c r="B52" s="19" t="s">
        <v>13</v>
      </c>
      <c r="C52" s="13" t="s">
        <v>49</v>
      </c>
      <c r="D52" s="14">
        <f t="shared" si="29"/>
        <v>177</v>
      </c>
      <c r="E52" s="13"/>
      <c r="F52" s="14">
        <f t="shared" si="29"/>
        <v>0</v>
      </c>
      <c r="G52" s="10">
        <f t="shared" si="3"/>
        <v>0</v>
      </c>
      <c r="H52" s="14">
        <f t="shared" si="30"/>
        <v>1947</v>
      </c>
      <c r="I52" s="8"/>
      <c r="J52" s="14">
        <f t="shared" si="31"/>
        <v>1181.02</v>
      </c>
      <c r="K52" s="10">
        <f t="shared" si="4"/>
        <v>1181.02</v>
      </c>
      <c r="L52" s="16"/>
      <c r="M52" s="220"/>
      <c r="N52" s="221"/>
      <c r="O52" s="263">
        <f t="shared" si="0"/>
        <v>-765.98</v>
      </c>
      <c r="P52" s="264">
        <f t="shared" si="1"/>
        <v>-39.341551104262969</v>
      </c>
      <c r="Q52" s="114"/>
      <c r="R52" s="261"/>
      <c r="S52" s="261">
        <f t="shared" si="2"/>
        <v>885</v>
      </c>
      <c r="T52" s="265">
        <f>E52+апр!I52</f>
        <v>0</v>
      </c>
      <c r="U52" s="262">
        <f>F52+апр!J52</f>
        <v>219.07499999999999</v>
      </c>
      <c r="V52" s="261"/>
      <c r="W52" s="261"/>
      <c r="X52" s="261"/>
    </row>
    <row r="53" spans="1:24" ht="17.25" hidden="1" customHeight="1">
      <c r="A53" s="8"/>
      <c r="B53" s="19" t="s">
        <v>15</v>
      </c>
      <c r="C53" s="13" t="s">
        <v>16</v>
      </c>
      <c r="D53" s="16">
        <f>D51/D52*1000</f>
        <v>426.30508474576271</v>
      </c>
      <c r="E53" s="16"/>
      <c r="F53" s="16" t="e">
        <f t="shared" ref="F53" si="32">F51/F52*1000</f>
        <v>#DIV/0!</v>
      </c>
      <c r="G53" s="10" t="e">
        <f t="shared" si="3"/>
        <v>#DIV/0!</v>
      </c>
      <c r="H53" s="16">
        <f>H51/H52*1000</f>
        <v>426.30508474576266</v>
      </c>
      <c r="I53" s="16"/>
      <c r="J53" s="16">
        <f t="shared" ref="J53" si="33">J51/J52*1000</f>
        <v>501.63248717210553</v>
      </c>
      <c r="K53" s="10">
        <f t="shared" si="4"/>
        <v>501.63248717210553</v>
      </c>
      <c r="L53" s="16"/>
      <c r="M53" s="220"/>
      <c r="N53" s="221"/>
      <c r="O53" s="263">
        <f t="shared" si="0"/>
        <v>75.327402426342871</v>
      </c>
      <c r="P53" s="264">
        <f t="shared" si="1"/>
        <v>17.66983437958902</v>
      </c>
      <c r="Q53" s="114"/>
      <c r="R53" s="261"/>
      <c r="S53" s="261">
        <f t="shared" si="2"/>
        <v>2131.5254237288136</v>
      </c>
      <c r="T53" s="265">
        <f>E53+апр!I53</f>
        <v>0</v>
      </c>
      <c r="U53" s="262" t="e">
        <f>F53+апр!J53</f>
        <v>#DIV/0!</v>
      </c>
      <c r="V53" s="261"/>
      <c r="W53" s="261"/>
      <c r="X53" s="261"/>
    </row>
    <row r="54" spans="1:24" ht="17.25" hidden="1" customHeight="1">
      <c r="A54" s="8"/>
      <c r="B54" s="20" t="s">
        <v>56</v>
      </c>
      <c r="C54" s="8" t="s">
        <v>4</v>
      </c>
      <c r="D54" s="10">
        <v>7.8079999999999998</v>
      </c>
      <c r="E54" s="8"/>
      <c r="F54" s="55"/>
      <c r="G54" s="10">
        <f t="shared" si="3"/>
        <v>0</v>
      </c>
      <c r="H54" s="10">
        <f>D54+октябрь!H54</f>
        <v>85.887999999999977</v>
      </c>
      <c r="I54" s="8"/>
      <c r="J54" s="10">
        <f>F54+сентябрь!J54</f>
        <v>38.658999999999999</v>
      </c>
      <c r="K54" s="10">
        <f t="shared" si="4"/>
        <v>38.658999999999999</v>
      </c>
      <c r="L54" s="16"/>
      <c r="M54" s="220"/>
      <c r="N54" s="221"/>
      <c r="O54" s="263">
        <f t="shared" si="0"/>
        <v>-47.228999999999978</v>
      </c>
      <c r="P54" s="264">
        <f t="shared" si="1"/>
        <v>-54.989055514157961</v>
      </c>
      <c r="Q54" s="114"/>
      <c r="R54" s="261"/>
      <c r="S54" s="261">
        <f t="shared" si="2"/>
        <v>39.04</v>
      </c>
      <c r="T54" s="265">
        <f>E54+апр!I54</f>
        <v>0</v>
      </c>
      <c r="U54" s="262">
        <f>F54+апр!J54</f>
        <v>13.603999999999999</v>
      </c>
      <c r="V54" s="261"/>
      <c r="W54" s="261"/>
      <c r="X54" s="261"/>
    </row>
    <row r="55" spans="1:24" ht="17.25" hidden="1" customHeight="1">
      <c r="A55" s="8"/>
      <c r="B55" s="12" t="s">
        <v>13</v>
      </c>
      <c r="C55" s="13" t="s">
        <v>49</v>
      </c>
      <c r="D55" s="14">
        <v>31</v>
      </c>
      <c r="E55" s="13"/>
      <c r="F55" s="8"/>
      <c r="G55" s="10">
        <f t="shared" si="3"/>
        <v>0</v>
      </c>
      <c r="H55" s="10">
        <f>D55+октябрь!H55</f>
        <v>341</v>
      </c>
      <c r="I55" s="8"/>
      <c r="J55" s="10">
        <v>95</v>
      </c>
      <c r="K55" s="10">
        <f t="shared" si="4"/>
        <v>95</v>
      </c>
      <c r="L55" s="16"/>
      <c r="M55" s="220"/>
      <c r="N55" s="221"/>
      <c r="O55" s="263">
        <f t="shared" si="0"/>
        <v>-246</v>
      </c>
      <c r="P55" s="264">
        <f t="shared" si="1"/>
        <v>-72.140762463343108</v>
      </c>
      <c r="Q55" s="114"/>
      <c r="R55" s="261"/>
      <c r="S55" s="261">
        <f t="shared" si="2"/>
        <v>155</v>
      </c>
      <c r="T55" s="265">
        <f>E55+апр!I55</f>
        <v>0</v>
      </c>
      <c r="U55" s="262">
        <f>F55+апр!J55</f>
        <v>25</v>
      </c>
      <c r="V55" s="261"/>
      <c r="W55" s="261"/>
      <c r="X55" s="261"/>
    </row>
    <row r="56" spans="1:24" ht="17.25" hidden="1" customHeight="1">
      <c r="A56" s="8"/>
      <c r="B56" s="12" t="s">
        <v>15</v>
      </c>
      <c r="C56" s="13" t="s">
        <v>16</v>
      </c>
      <c r="D56" s="16">
        <f>D54/D55*1000</f>
        <v>251.87096774193546</v>
      </c>
      <c r="E56" s="16"/>
      <c r="F56" s="16" t="e">
        <f t="shared" ref="F56" si="34">F54/F55*1000</f>
        <v>#DIV/0!</v>
      </c>
      <c r="G56" s="10" t="e">
        <f t="shared" si="3"/>
        <v>#DIV/0!</v>
      </c>
      <c r="H56" s="16">
        <f>H54/H55*1000</f>
        <v>251.8709677419354</v>
      </c>
      <c r="I56" s="16"/>
      <c r="J56" s="16">
        <f t="shared" ref="J56" si="35">J54/J55*1000</f>
        <v>406.93684210526317</v>
      </c>
      <c r="K56" s="10">
        <f t="shared" si="4"/>
        <v>406.93684210526317</v>
      </c>
      <c r="L56" s="16"/>
      <c r="M56" s="220"/>
      <c r="N56" s="221"/>
      <c r="O56" s="263">
        <f t="shared" si="0"/>
        <v>155.06587436332777</v>
      </c>
      <c r="P56" s="264">
        <f t="shared" si="1"/>
        <v>61.565600733390916</v>
      </c>
      <c r="Q56" s="114"/>
      <c r="R56" s="261"/>
      <c r="S56" s="261">
        <f t="shared" si="2"/>
        <v>1259.3548387096773</v>
      </c>
      <c r="T56" s="265">
        <f>E56+апр!I56</f>
        <v>0</v>
      </c>
      <c r="U56" s="262" t="e">
        <f>F56+апр!J56</f>
        <v>#DIV/0!</v>
      </c>
      <c r="V56" s="261"/>
      <c r="W56" s="261"/>
      <c r="X56" s="261"/>
    </row>
    <row r="57" spans="1:24" ht="17.25" hidden="1" customHeight="1">
      <c r="A57" s="8"/>
      <c r="B57" s="20" t="s">
        <v>57</v>
      </c>
      <c r="C57" s="8" t="s">
        <v>4</v>
      </c>
      <c r="D57" s="10">
        <v>13.96</v>
      </c>
      <c r="E57" s="8"/>
      <c r="F57" s="55"/>
      <c r="G57" s="10">
        <f t="shared" si="3"/>
        <v>0</v>
      </c>
      <c r="H57" s="10">
        <f>D57+октябрь!H57</f>
        <v>153.56000000000006</v>
      </c>
      <c r="I57" s="8"/>
      <c r="J57" s="10">
        <f>F57+сентябрь!J57</f>
        <v>116.25</v>
      </c>
      <c r="K57" s="10">
        <f t="shared" si="4"/>
        <v>116.25</v>
      </c>
      <c r="L57" s="16"/>
      <c r="M57" s="266" t="s">
        <v>291</v>
      </c>
      <c r="N57" s="267"/>
      <c r="O57" s="263">
        <f t="shared" si="0"/>
        <v>-37.310000000000059</v>
      </c>
      <c r="P57" s="264">
        <f t="shared" si="1"/>
        <v>-24.296691846835142</v>
      </c>
      <c r="Q57" s="117"/>
      <c r="R57" s="261"/>
      <c r="S57" s="261">
        <f t="shared" si="2"/>
        <v>69.800000000000011</v>
      </c>
      <c r="T57" s="265">
        <f>E57+апр!I57</f>
        <v>0</v>
      </c>
      <c r="U57" s="262">
        <f>F57+апр!J57</f>
        <v>0</v>
      </c>
      <c r="V57" s="261"/>
      <c r="W57" s="261"/>
      <c r="X57" s="261"/>
    </row>
    <row r="58" spans="1:24" ht="17.25" hidden="1" customHeight="1">
      <c r="A58" s="8"/>
      <c r="B58" s="12" t="s">
        <v>13</v>
      </c>
      <c r="C58" s="13" t="s">
        <v>49</v>
      </c>
      <c r="D58" s="14">
        <v>33</v>
      </c>
      <c r="E58" s="13"/>
      <c r="F58" s="8"/>
      <c r="G58" s="10">
        <f t="shared" si="3"/>
        <v>0</v>
      </c>
      <c r="H58" s="10">
        <f>D58+октябрь!H58</f>
        <v>363</v>
      </c>
      <c r="I58" s="8"/>
      <c r="J58" s="10">
        <f>F58+сентябрь!J58</f>
        <v>300</v>
      </c>
      <c r="K58" s="10">
        <f t="shared" si="4"/>
        <v>300</v>
      </c>
      <c r="L58" s="16"/>
      <c r="M58" s="268"/>
      <c r="N58" s="269"/>
      <c r="O58" s="263">
        <f t="shared" si="0"/>
        <v>-63</v>
      </c>
      <c r="P58" s="264">
        <f t="shared" si="1"/>
        <v>-17.355371900826448</v>
      </c>
      <c r="Q58" s="117"/>
      <c r="R58" s="261"/>
      <c r="S58" s="261">
        <f t="shared" si="2"/>
        <v>165</v>
      </c>
      <c r="T58" s="265">
        <f>E58+апр!I58</f>
        <v>0</v>
      </c>
      <c r="U58" s="262">
        <f>F58+апр!J58</f>
        <v>0</v>
      </c>
      <c r="V58" s="261"/>
      <c r="W58" s="261"/>
      <c r="X58" s="261"/>
    </row>
    <row r="59" spans="1:24" ht="17.25" hidden="1" customHeight="1">
      <c r="A59" s="8"/>
      <c r="B59" s="12" t="s">
        <v>15</v>
      </c>
      <c r="C59" s="13" t="s">
        <v>16</v>
      </c>
      <c r="D59" s="16">
        <f>D57/D58*1000</f>
        <v>423.03030303030306</v>
      </c>
      <c r="E59" s="13"/>
      <c r="F59" s="16" t="e">
        <f t="shared" ref="F59" si="36">F57/F58*1000</f>
        <v>#DIV/0!</v>
      </c>
      <c r="G59" s="10" t="e">
        <f t="shared" si="3"/>
        <v>#DIV/0!</v>
      </c>
      <c r="H59" s="16">
        <f>H57/H58*1000</f>
        <v>423.03030303030317</v>
      </c>
      <c r="I59" s="8"/>
      <c r="J59" s="13"/>
      <c r="K59" s="10">
        <f t="shared" si="4"/>
        <v>0</v>
      </c>
      <c r="L59" s="16"/>
      <c r="M59" s="220"/>
      <c r="N59" s="221"/>
      <c r="O59" s="263">
        <f t="shared" si="0"/>
        <v>-423.03030303030317</v>
      </c>
      <c r="P59" s="264">
        <f t="shared" si="1"/>
        <v>-100</v>
      </c>
      <c r="Q59" s="114"/>
      <c r="R59" s="261"/>
      <c r="S59" s="261">
        <f t="shared" si="2"/>
        <v>2115.1515151515155</v>
      </c>
      <c r="T59" s="265">
        <f>E59+апр!I59</f>
        <v>0</v>
      </c>
      <c r="U59" s="262" t="e">
        <f>F59+апр!J59</f>
        <v>#DIV/0!</v>
      </c>
      <c r="V59" s="261"/>
      <c r="W59" s="261"/>
      <c r="X59" s="261"/>
    </row>
    <row r="60" spans="1:24" ht="17.25" hidden="1" customHeight="1">
      <c r="A60" s="8"/>
      <c r="B60" s="20" t="s">
        <v>58</v>
      </c>
      <c r="C60" s="8" t="s">
        <v>4</v>
      </c>
      <c r="D60" s="10">
        <v>28.585000000000001</v>
      </c>
      <c r="E60" s="8"/>
      <c r="F60" s="55"/>
      <c r="G60" s="10">
        <f t="shared" si="3"/>
        <v>0</v>
      </c>
      <c r="H60" s="10">
        <f>D60+октябрь!H60</f>
        <v>314.435</v>
      </c>
      <c r="I60" s="8"/>
      <c r="J60" s="10">
        <f>F60+сентябрь!J60</f>
        <v>268.59399999999999</v>
      </c>
      <c r="K60" s="10">
        <f t="shared" si="4"/>
        <v>268.59399999999999</v>
      </c>
      <c r="L60" s="16"/>
      <c r="M60" s="266" t="s">
        <v>291</v>
      </c>
      <c r="N60" s="267"/>
      <c r="O60" s="263">
        <f t="shared" si="0"/>
        <v>-45.841000000000008</v>
      </c>
      <c r="P60" s="264">
        <f t="shared" si="1"/>
        <v>-14.578847774579803</v>
      </c>
      <c r="Q60" s="117"/>
      <c r="R60" s="261"/>
      <c r="S60" s="261">
        <f t="shared" si="2"/>
        <v>142.92500000000001</v>
      </c>
      <c r="T60" s="265">
        <f>E60+апр!I60</f>
        <v>0</v>
      </c>
      <c r="U60" s="262">
        <f>F60+апр!J60</f>
        <v>57.375</v>
      </c>
      <c r="V60" s="261"/>
      <c r="W60" s="261"/>
      <c r="X60" s="261"/>
    </row>
    <row r="61" spans="1:24" ht="17.25" hidden="1" customHeight="1">
      <c r="A61" s="8"/>
      <c r="B61" s="12" t="s">
        <v>13</v>
      </c>
      <c r="C61" s="13" t="s">
        <v>49</v>
      </c>
      <c r="D61" s="14">
        <v>70</v>
      </c>
      <c r="E61" s="13"/>
      <c r="F61" s="8"/>
      <c r="G61" s="10">
        <f t="shared" si="3"/>
        <v>0</v>
      </c>
      <c r="H61" s="10">
        <f>D61+октябрь!H61</f>
        <v>770</v>
      </c>
      <c r="I61" s="8"/>
      <c r="J61" s="10">
        <v>540</v>
      </c>
      <c r="K61" s="10">
        <f t="shared" si="4"/>
        <v>540</v>
      </c>
      <c r="L61" s="16"/>
      <c r="M61" s="268"/>
      <c r="N61" s="269"/>
      <c r="O61" s="263">
        <f t="shared" si="0"/>
        <v>-230</v>
      </c>
      <c r="P61" s="264">
        <f t="shared" si="1"/>
        <v>-29.870129870129869</v>
      </c>
      <c r="Q61" s="117"/>
      <c r="R61" s="261"/>
      <c r="S61" s="261">
        <f t="shared" si="2"/>
        <v>350</v>
      </c>
      <c r="T61" s="265">
        <f>E61+апр!I61</f>
        <v>0</v>
      </c>
      <c r="U61" s="262">
        <f>F61+апр!J61</f>
        <v>108</v>
      </c>
      <c r="V61" s="261"/>
      <c r="W61" s="261"/>
      <c r="X61" s="261"/>
    </row>
    <row r="62" spans="1:24" ht="17.25" hidden="1" customHeight="1">
      <c r="A62" s="8"/>
      <c r="B62" s="12" t="s">
        <v>15</v>
      </c>
      <c r="C62" s="13" t="s">
        <v>16</v>
      </c>
      <c r="D62" s="16">
        <f>D60/D61*1000</f>
        <v>408.35714285714289</v>
      </c>
      <c r="E62" s="16"/>
      <c r="F62" s="16" t="e">
        <f t="shared" ref="F62" si="37">F60/F61*1000</f>
        <v>#DIV/0!</v>
      </c>
      <c r="G62" s="10" t="e">
        <f t="shared" si="3"/>
        <v>#DIV/0!</v>
      </c>
      <c r="H62" s="16">
        <f>H60/H61*1000</f>
        <v>408.35714285714289</v>
      </c>
      <c r="I62" s="16"/>
      <c r="J62" s="16">
        <f t="shared" ref="J62" si="38">J60/J61*1000</f>
        <v>497.39629629629627</v>
      </c>
      <c r="K62" s="10">
        <f t="shared" si="4"/>
        <v>497.39629629629627</v>
      </c>
      <c r="L62" s="16"/>
      <c r="M62" s="220"/>
      <c r="N62" s="221"/>
      <c r="O62" s="263">
        <f t="shared" si="0"/>
        <v>89.039153439153381</v>
      </c>
      <c r="P62" s="264">
        <f t="shared" si="1"/>
        <v>21.804235580691746</v>
      </c>
      <c r="Q62" s="114"/>
      <c r="R62" s="261"/>
      <c r="S62" s="261">
        <f t="shared" si="2"/>
        <v>2041.7857142857144</v>
      </c>
      <c r="T62" s="265">
        <f>E62+апр!I62</f>
        <v>0</v>
      </c>
      <c r="U62" s="262" t="e">
        <f>F62+апр!J62</f>
        <v>#DIV/0!</v>
      </c>
      <c r="V62" s="261"/>
      <c r="W62" s="261"/>
      <c r="X62" s="261"/>
    </row>
    <row r="63" spans="1:24" ht="17.25" hidden="1" customHeight="1">
      <c r="A63" s="8"/>
      <c r="B63" s="20" t="s">
        <v>220</v>
      </c>
      <c r="C63" s="8" t="s">
        <v>4</v>
      </c>
      <c r="D63" s="10">
        <v>12.234</v>
      </c>
      <c r="E63" s="8"/>
      <c r="F63" s="54"/>
      <c r="G63" s="10">
        <f t="shared" si="3"/>
        <v>0</v>
      </c>
      <c r="H63" s="10">
        <f>D63+октябрь!H63</f>
        <v>134.57399999999998</v>
      </c>
      <c r="I63" s="8"/>
      <c r="J63" s="10">
        <f>F63+сентябрь!J63</f>
        <v>52.059999999999995</v>
      </c>
      <c r="K63" s="10">
        <f t="shared" si="4"/>
        <v>52.059999999999995</v>
      </c>
      <c r="L63" s="16"/>
      <c r="M63" s="220"/>
      <c r="N63" s="221"/>
      <c r="O63" s="263">
        <f t="shared" si="0"/>
        <v>-82.513999999999982</v>
      </c>
      <c r="P63" s="264">
        <f t="shared" si="1"/>
        <v>-61.314964257583185</v>
      </c>
      <c r="Q63" s="114"/>
      <c r="R63" s="261"/>
      <c r="S63" s="261">
        <f t="shared" si="2"/>
        <v>61.17</v>
      </c>
      <c r="T63" s="265">
        <f>E63+апр!I63</f>
        <v>0</v>
      </c>
      <c r="U63" s="262">
        <f>F63+апр!J63</f>
        <v>8.66</v>
      </c>
      <c r="V63" s="261"/>
      <c r="W63" s="261"/>
      <c r="X63" s="261"/>
    </row>
    <row r="64" spans="1:24" ht="17.25" hidden="1" customHeight="1">
      <c r="A64" s="8"/>
      <c r="B64" s="12" t="s">
        <v>13</v>
      </c>
      <c r="C64" s="13" t="s">
        <v>49</v>
      </c>
      <c r="D64" s="14">
        <v>23</v>
      </c>
      <c r="E64" s="13"/>
      <c r="F64" s="8"/>
      <c r="G64" s="10">
        <f t="shared" si="3"/>
        <v>0</v>
      </c>
      <c r="H64" s="10">
        <f>D64+октябрь!H64</f>
        <v>253</v>
      </c>
      <c r="I64" s="8"/>
      <c r="J64" s="10">
        <f>F64+сентябрь!J64</f>
        <v>120</v>
      </c>
      <c r="K64" s="10">
        <f t="shared" si="4"/>
        <v>120</v>
      </c>
      <c r="L64" s="16"/>
      <c r="M64" s="220"/>
      <c r="N64" s="221"/>
      <c r="O64" s="263">
        <f t="shared" si="0"/>
        <v>-133</v>
      </c>
      <c r="P64" s="264">
        <f t="shared" si="1"/>
        <v>-52.569169960474305</v>
      </c>
      <c r="Q64" s="114"/>
      <c r="R64" s="261"/>
      <c r="S64" s="261">
        <f t="shared" si="2"/>
        <v>115</v>
      </c>
      <c r="T64" s="265">
        <f>E64+апр!I64</f>
        <v>0</v>
      </c>
      <c r="U64" s="262">
        <f>F64+апр!J64</f>
        <v>20</v>
      </c>
      <c r="V64" s="261"/>
      <c r="W64" s="261"/>
      <c r="X64" s="261"/>
    </row>
    <row r="65" spans="1:24" ht="17.25" hidden="1" customHeight="1">
      <c r="A65" s="8"/>
      <c r="B65" s="12" t="s">
        <v>15</v>
      </c>
      <c r="C65" s="13" t="s">
        <v>16</v>
      </c>
      <c r="D65" s="16">
        <f>D63/D64*1000</f>
        <v>531.91304347826087</v>
      </c>
      <c r="E65" s="16"/>
      <c r="F65" s="16" t="e">
        <f t="shared" ref="F65" si="39">F63/F64*1000</f>
        <v>#DIV/0!</v>
      </c>
      <c r="G65" s="10" t="e">
        <f t="shared" si="3"/>
        <v>#DIV/0!</v>
      </c>
      <c r="H65" s="16">
        <f>H63/H64*1000</f>
        <v>531.91304347826087</v>
      </c>
      <c r="I65" s="16"/>
      <c r="J65" s="16">
        <f t="shared" ref="J65" si="40">J63/J64*1000</f>
        <v>433.83333333333331</v>
      </c>
      <c r="K65" s="10">
        <f t="shared" si="4"/>
        <v>433.83333333333331</v>
      </c>
      <c r="L65" s="16"/>
      <c r="M65" s="220"/>
      <c r="N65" s="221"/>
      <c r="O65" s="263">
        <f t="shared" si="0"/>
        <v>-98.07971014492756</v>
      </c>
      <c r="P65" s="264">
        <f t="shared" si="1"/>
        <v>-18.439049643071225</v>
      </c>
      <c r="Q65" s="114"/>
      <c r="R65" s="261"/>
      <c r="S65" s="261">
        <f t="shared" si="2"/>
        <v>2659.5652173913045</v>
      </c>
      <c r="T65" s="265">
        <f>E65+апр!I65</f>
        <v>0</v>
      </c>
      <c r="U65" s="262" t="e">
        <f>F65+апр!J65</f>
        <v>#DIV/0!</v>
      </c>
      <c r="V65" s="261"/>
      <c r="W65" s="261"/>
      <c r="X65" s="261"/>
    </row>
    <row r="66" spans="1:24" ht="17.25" hidden="1" customHeight="1">
      <c r="A66" s="8"/>
      <c r="B66" s="9" t="s">
        <v>59</v>
      </c>
      <c r="C66" s="8" t="s">
        <v>4</v>
      </c>
      <c r="D66" s="10">
        <v>2.8610000000000002</v>
      </c>
      <c r="E66" s="8"/>
      <c r="F66" s="8"/>
      <c r="G66" s="10">
        <f t="shared" si="3"/>
        <v>0</v>
      </c>
      <c r="H66" s="10">
        <f>D66+октябрь!H66</f>
        <v>31.471000000000004</v>
      </c>
      <c r="I66" s="8"/>
      <c r="J66" s="10">
        <f>F66+сентябрь!J66</f>
        <v>0</v>
      </c>
      <c r="K66" s="10">
        <f t="shared" si="4"/>
        <v>0</v>
      </c>
      <c r="L66" s="16"/>
      <c r="M66" s="220"/>
      <c r="N66" s="221"/>
      <c r="O66" s="263">
        <f t="shared" si="0"/>
        <v>-31.471000000000004</v>
      </c>
      <c r="P66" s="264">
        <f t="shared" si="1"/>
        <v>-100</v>
      </c>
      <c r="Q66" s="114"/>
      <c r="R66" s="261"/>
      <c r="S66" s="261">
        <f t="shared" si="2"/>
        <v>14.305000000000001</v>
      </c>
      <c r="T66" s="265">
        <f>E66+апр!I66</f>
        <v>0</v>
      </c>
      <c r="U66" s="262">
        <f>F66+апр!J66</f>
        <v>0</v>
      </c>
      <c r="V66" s="261"/>
      <c r="W66" s="261"/>
      <c r="X66" s="261"/>
    </row>
    <row r="67" spans="1:24" ht="17.25" hidden="1" customHeight="1">
      <c r="A67" s="8"/>
      <c r="B67" s="12" t="s">
        <v>13</v>
      </c>
      <c r="C67" s="13" t="s">
        <v>49</v>
      </c>
      <c r="D67" s="14">
        <v>2</v>
      </c>
      <c r="E67" s="13"/>
      <c r="F67" s="8"/>
      <c r="G67" s="10">
        <f t="shared" si="3"/>
        <v>0</v>
      </c>
      <c r="H67" s="10">
        <f>D67+октябрь!H67</f>
        <v>22</v>
      </c>
      <c r="I67" s="8"/>
      <c r="J67" s="10">
        <f>F67+сентябрь!J67</f>
        <v>0</v>
      </c>
      <c r="K67" s="10">
        <f t="shared" si="4"/>
        <v>0</v>
      </c>
      <c r="L67" s="16"/>
      <c r="M67" s="220"/>
      <c r="N67" s="221"/>
      <c r="O67" s="263">
        <f t="shared" si="0"/>
        <v>-22</v>
      </c>
      <c r="P67" s="264">
        <f t="shared" si="1"/>
        <v>-100</v>
      </c>
      <c r="Q67" s="114"/>
      <c r="R67" s="261"/>
      <c r="S67" s="261">
        <f t="shared" si="2"/>
        <v>10</v>
      </c>
      <c r="T67" s="265">
        <f>E67+апр!I67</f>
        <v>0</v>
      </c>
      <c r="U67" s="262">
        <f>F67+апр!J67</f>
        <v>0</v>
      </c>
      <c r="V67" s="261"/>
      <c r="W67" s="261"/>
      <c r="X67" s="261"/>
    </row>
    <row r="68" spans="1:24" ht="17.25" hidden="1" customHeight="1">
      <c r="A68" s="8"/>
      <c r="B68" s="12" t="s">
        <v>15</v>
      </c>
      <c r="C68" s="13" t="s">
        <v>16</v>
      </c>
      <c r="D68" s="16">
        <f>D66/D67*1000</f>
        <v>1430.5</v>
      </c>
      <c r="E68" s="13"/>
      <c r="F68" s="8"/>
      <c r="G68" s="10">
        <f t="shared" si="3"/>
        <v>0</v>
      </c>
      <c r="H68" s="16">
        <f>H66/H67*1000</f>
        <v>1430.5</v>
      </c>
      <c r="I68" s="16"/>
      <c r="J68" s="16" t="e">
        <f t="shared" ref="J68" si="41">J66/J67*1000</f>
        <v>#DIV/0!</v>
      </c>
      <c r="K68" s="10" t="e">
        <f t="shared" si="4"/>
        <v>#DIV/0!</v>
      </c>
      <c r="L68" s="16"/>
      <c r="M68" s="220"/>
      <c r="N68" s="221"/>
      <c r="O68" s="263" t="e">
        <f t="shared" si="0"/>
        <v>#DIV/0!</v>
      </c>
      <c r="P68" s="264" t="e">
        <f t="shared" si="1"/>
        <v>#DIV/0!</v>
      </c>
      <c r="Q68" s="114"/>
      <c r="R68" s="261"/>
      <c r="S68" s="261">
        <f t="shared" si="2"/>
        <v>7152.5</v>
      </c>
      <c r="T68" s="265">
        <f>E68+апр!I68</f>
        <v>0</v>
      </c>
      <c r="U68" s="262" t="e">
        <f>F68+апр!J68</f>
        <v>#DIV/0!</v>
      </c>
      <c r="V68" s="261"/>
      <c r="W68" s="261"/>
      <c r="X68" s="261"/>
    </row>
    <row r="69" spans="1:24" ht="17.25" hidden="1" customHeight="1">
      <c r="A69" s="8"/>
      <c r="B69" s="20" t="s">
        <v>60</v>
      </c>
      <c r="C69" s="8" t="s">
        <v>4</v>
      </c>
      <c r="D69" s="10">
        <v>10.007999999999999</v>
      </c>
      <c r="E69" s="8"/>
      <c r="F69" s="54"/>
      <c r="G69" s="10">
        <f t="shared" si="3"/>
        <v>0</v>
      </c>
      <c r="H69" s="10">
        <f>D69+октябрь!H69</f>
        <v>110.08799999999997</v>
      </c>
      <c r="I69" s="8"/>
      <c r="J69" s="10">
        <v>116.875</v>
      </c>
      <c r="K69" s="10">
        <f t="shared" si="4"/>
        <v>116.875</v>
      </c>
      <c r="L69" s="16"/>
      <c r="M69" s="266" t="s">
        <v>292</v>
      </c>
      <c r="N69" s="267"/>
      <c r="O69" s="263">
        <f t="shared" si="0"/>
        <v>6.7870000000000346</v>
      </c>
      <c r="P69" s="264">
        <f t="shared" si="1"/>
        <v>6.1650679456435187</v>
      </c>
      <c r="Q69" s="117"/>
      <c r="R69" s="261"/>
      <c r="S69" s="261">
        <f t="shared" si="2"/>
        <v>50.039999999999992</v>
      </c>
      <c r="T69" s="265">
        <f>E69+апр!I69</f>
        <v>0</v>
      </c>
      <c r="U69" s="262">
        <f>F69+апр!J69</f>
        <v>41.510000000000005</v>
      </c>
      <c r="V69" s="261"/>
      <c r="W69" s="261"/>
      <c r="X69" s="261"/>
    </row>
    <row r="70" spans="1:24" ht="17.25" hidden="1" customHeight="1">
      <c r="A70" s="8"/>
      <c r="B70" s="12" t="s">
        <v>13</v>
      </c>
      <c r="C70" s="13" t="s">
        <v>61</v>
      </c>
      <c r="D70" s="14">
        <v>18</v>
      </c>
      <c r="E70" s="13"/>
      <c r="F70" s="10"/>
      <c r="G70" s="10">
        <f t="shared" si="3"/>
        <v>0</v>
      </c>
      <c r="H70" s="10">
        <f>D70+октябрь!H70</f>
        <v>198</v>
      </c>
      <c r="I70" s="8"/>
      <c r="J70" s="10">
        <v>126.02</v>
      </c>
      <c r="K70" s="10">
        <f t="shared" si="4"/>
        <v>126.02</v>
      </c>
      <c r="L70" s="16"/>
      <c r="M70" s="268"/>
      <c r="N70" s="269"/>
      <c r="O70" s="263">
        <f t="shared" si="0"/>
        <v>-71.98</v>
      </c>
      <c r="P70" s="264">
        <f t="shared" si="1"/>
        <v>-36.353535353535356</v>
      </c>
      <c r="Q70" s="117"/>
      <c r="R70" s="261"/>
      <c r="S70" s="261">
        <f t="shared" si="2"/>
        <v>90</v>
      </c>
      <c r="T70" s="265">
        <f>E70+апр!I70</f>
        <v>0</v>
      </c>
      <c r="U70" s="262">
        <f>F70+апр!J70</f>
        <v>66.075000000000003</v>
      </c>
      <c r="V70" s="261"/>
      <c r="W70" s="261"/>
      <c r="X70" s="261"/>
    </row>
    <row r="71" spans="1:24" ht="17.25" hidden="1" customHeight="1">
      <c r="A71" s="8"/>
      <c r="B71" s="12" t="s">
        <v>15</v>
      </c>
      <c r="C71" s="13" t="s">
        <v>16</v>
      </c>
      <c r="D71" s="16">
        <f>D69/D70*1000</f>
        <v>555.99999999999989</v>
      </c>
      <c r="E71" s="16"/>
      <c r="F71" s="16" t="e">
        <f>F69/F70*1000</f>
        <v>#DIV/0!</v>
      </c>
      <c r="G71" s="10" t="e">
        <f t="shared" si="3"/>
        <v>#DIV/0!</v>
      </c>
      <c r="H71" s="16">
        <f>H69/H70*1000</f>
        <v>555.99999999999977</v>
      </c>
      <c r="I71" s="16"/>
      <c r="J71" s="16">
        <f t="shared" ref="J71" si="42">J69/J70*1000</f>
        <v>927.43215362640854</v>
      </c>
      <c r="K71" s="10">
        <f t="shared" si="4"/>
        <v>927.43215362640854</v>
      </c>
      <c r="L71" s="16"/>
      <c r="M71" s="220"/>
      <c r="N71" s="221"/>
      <c r="O71" s="263">
        <f t="shared" si="0"/>
        <v>371.43215362640876</v>
      </c>
      <c r="P71" s="264">
        <f t="shared" si="1"/>
        <v>66.804344177411679</v>
      </c>
      <c r="Q71" s="114"/>
      <c r="R71" s="261"/>
      <c r="S71" s="261">
        <f t="shared" si="2"/>
        <v>2779.9999999999995</v>
      </c>
      <c r="T71" s="265">
        <f>E71+апр!I71</f>
        <v>0</v>
      </c>
      <c r="U71" s="262" t="e">
        <f>F71+апр!J71</f>
        <v>#DIV/0!</v>
      </c>
      <c r="V71" s="261"/>
      <c r="W71" s="261"/>
      <c r="X71" s="261"/>
    </row>
    <row r="72" spans="1:24" ht="17.25" customHeight="1">
      <c r="A72" s="18" t="s">
        <v>62</v>
      </c>
      <c r="B72" s="20" t="s">
        <v>63</v>
      </c>
      <c r="C72" s="8" t="s">
        <v>4</v>
      </c>
      <c r="D72" s="10">
        <f>D73</f>
        <v>26517.671000000002</v>
      </c>
      <c r="E72" s="8">
        <v>24306.667000000001</v>
      </c>
      <c r="F72" s="10">
        <f>F73</f>
        <v>27346.969000000001</v>
      </c>
      <c r="G72" s="10">
        <f t="shared" si="3"/>
        <v>3040.3019999999997</v>
      </c>
      <c r="H72" s="10">
        <f>H73</f>
        <v>265176.70999999996</v>
      </c>
      <c r="I72" s="8">
        <f>E72+август!I72</f>
        <v>218760.00300000003</v>
      </c>
      <c r="J72" s="10">
        <f>195310.293+107072.217</f>
        <v>302382.51</v>
      </c>
      <c r="K72" s="10">
        <f t="shared" si="4"/>
        <v>83622.506999999983</v>
      </c>
      <c r="L72" s="16">
        <f t="shared" si="5"/>
        <v>38.225683787360332</v>
      </c>
      <c r="M72" s="220"/>
      <c r="N72" s="221"/>
      <c r="O72" s="263">
        <f t="shared" si="0"/>
        <v>37205.800000000047</v>
      </c>
      <c r="P72" s="264">
        <f t="shared" si="1"/>
        <v>14.030568521647337</v>
      </c>
      <c r="Q72" s="114">
        <f>83974.595+195310.293</f>
        <v>279284.88800000004</v>
      </c>
      <c r="R72" s="261"/>
      <c r="S72" s="261">
        <f t="shared" si="2"/>
        <v>132588.35500000001</v>
      </c>
      <c r="T72" s="265">
        <f>E72+апр!I72</f>
        <v>121533.33500000001</v>
      </c>
      <c r="U72" s="262">
        <f>F72+апр!J72</f>
        <v>133559.54700000002</v>
      </c>
      <c r="V72" s="261"/>
      <c r="W72" s="261"/>
      <c r="X72" s="261"/>
    </row>
    <row r="73" spans="1:24" ht="17.25" hidden="1" customHeight="1">
      <c r="A73" s="8"/>
      <c r="B73" s="28" t="s">
        <v>64</v>
      </c>
      <c r="C73" s="8" t="s">
        <v>4</v>
      </c>
      <c r="D73" s="10">
        <f>D75+D78+D81+D84</f>
        <v>26517.671000000002</v>
      </c>
      <c r="E73" s="10">
        <f t="shared" ref="E73:F73" si="43">E75+E78+E81+E84</f>
        <v>0</v>
      </c>
      <c r="F73" s="54">
        <f t="shared" si="43"/>
        <v>27346.969000000001</v>
      </c>
      <c r="G73" s="10">
        <f t="shared" si="3"/>
        <v>27346.969000000001</v>
      </c>
      <c r="H73" s="10">
        <f>H75+H78+H81+H84</f>
        <v>265176.70999999996</v>
      </c>
      <c r="I73" s="10">
        <f t="shared" ref="I73:J74" si="44">I75+I78+I81+I84</f>
        <v>0</v>
      </c>
      <c r="J73" s="10">
        <f t="shared" si="44"/>
        <v>252389.92</v>
      </c>
      <c r="K73" s="10">
        <f t="shared" si="4"/>
        <v>252389.92</v>
      </c>
      <c r="L73" s="16"/>
      <c r="M73" s="220"/>
      <c r="N73" s="221"/>
      <c r="O73" s="263">
        <f t="shared" ref="O73:O87" si="45">J73-H73</f>
        <v>-12786.78999999995</v>
      </c>
      <c r="P73" s="264">
        <f t="shared" ref="P73:P87" si="46">O73/H73*100</f>
        <v>-4.8219883261995191</v>
      </c>
      <c r="Q73" s="114"/>
      <c r="R73" s="261"/>
      <c r="S73" s="261">
        <f t="shared" ref="S73:S136" si="47">D73*5</f>
        <v>132588.35500000001</v>
      </c>
      <c r="T73" s="265">
        <f>E73+апр!I73</f>
        <v>0</v>
      </c>
      <c r="U73" s="262">
        <f>F73+апр!J73</f>
        <v>106327.454</v>
      </c>
      <c r="V73" s="261"/>
      <c r="W73" s="261"/>
      <c r="X73" s="261"/>
    </row>
    <row r="74" spans="1:24" ht="17.25" hidden="1" customHeight="1">
      <c r="A74" s="8"/>
      <c r="B74" s="28" t="s">
        <v>65</v>
      </c>
      <c r="C74" s="22" t="s">
        <v>66</v>
      </c>
      <c r="D74" s="14">
        <f t="shared" ref="D74:F74" si="48">D76+D79+D82+D85</f>
        <v>1280770</v>
      </c>
      <c r="E74" s="14">
        <f t="shared" si="48"/>
        <v>0</v>
      </c>
      <c r="F74" s="14">
        <f t="shared" si="48"/>
        <v>0</v>
      </c>
      <c r="G74" s="14">
        <f t="shared" si="3"/>
        <v>0</v>
      </c>
      <c r="H74" s="14">
        <f t="shared" ref="H74" si="49">H76+H79+H82+H85</f>
        <v>12807700</v>
      </c>
      <c r="I74" s="59"/>
      <c r="J74" s="14">
        <f t="shared" si="44"/>
        <v>8181135.54</v>
      </c>
      <c r="K74" s="10">
        <f t="shared" si="4"/>
        <v>8181135.54</v>
      </c>
      <c r="L74" s="16"/>
      <c r="M74" s="220"/>
      <c r="N74" s="221"/>
      <c r="O74" s="263">
        <f t="shared" si="45"/>
        <v>-4626564.46</v>
      </c>
      <c r="P74" s="264">
        <f t="shared" si="46"/>
        <v>-36.123304418435787</v>
      </c>
      <c r="Q74" s="114"/>
      <c r="R74" s="261"/>
      <c r="S74" s="261">
        <f t="shared" si="47"/>
        <v>6403850</v>
      </c>
      <c r="T74" s="265">
        <f>E74+апр!I74</f>
        <v>0</v>
      </c>
      <c r="U74" s="262">
        <f>F74+апр!J74</f>
        <v>3853106.19</v>
      </c>
      <c r="V74" s="261"/>
      <c r="W74" s="261"/>
      <c r="X74" s="261"/>
    </row>
    <row r="75" spans="1:24" ht="36" hidden="1" customHeight="1">
      <c r="A75" s="8"/>
      <c r="B75" s="12" t="s">
        <v>67</v>
      </c>
      <c r="C75" s="8" t="s">
        <v>4</v>
      </c>
      <c r="D75" s="10">
        <v>1338.4829999999999</v>
      </c>
      <c r="E75" s="8"/>
      <c r="F75" s="55">
        <v>27346.969000000001</v>
      </c>
      <c r="G75" s="10">
        <f t="shared" ref="G75:G144" si="50">F75-E75</f>
        <v>27346.969000000001</v>
      </c>
      <c r="H75" s="10">
        <f>D75+сентябрь!H75</f>
        <v>13384.83</v>
      </c>
      <c r="I75" s="8"/>
      <c r="J75" s="10">
        <f>F75+сентябрь!J75</f>
        <v>67227.205000000002</v>
      </c>
      <c r="K75" s="10">
        <f t="shared" ref="K75:K145" si="51">J75-I75</f>
        <v>67227.205000000002</v>
      </c>
      <c r="L75" s="16"/>
      <c r="M75" s="220"/>
      <c r="N75" s="221"/>
      <c r="O75" s="263">
        <f t="shared" si="45"/>
        <v>53842.375</v>
      </c>
      <c r="P75" s="264">
        <f t="shared" si="46"/>
        <v>402.26416771823023</v>
      </c>
      <c r="Q75" s="114"/>
      <c r="R75" s="261"/>
      <c r="S75" s="261">
        <f t="shared" si="47"/>
        <v>6692.415</v>
      </c>
      <c r="T75" s="265">
        <f>E75+апр!I75</f>
        <v>0</v>
      </c>
      <c r="U75" s="262">
        <f>F75+апр!J75</f>
        <v>33974.143000000004</v>
      </c>
      <c r="V75" s="261"/>
      <c r="W75" s="261"/>
      <c r="X75" s="261"/>
    </row>
    <row r="76" spans="1:24" ht="17.25" hidden="1" customHeight="1">
      <c r="A76" s="8"/>
      <c r="B76" s="12" t="s">
        <v>68</v>
      </c>
      <c r="C76" s="22" t="s">
        <v>66</v>
      </c>
      <c r="D76" s="14">
        <v>68465</v>
      </c>
      <c r="E76" s="22"/>
      <c r="F76" s="59"/>
      <c r="G76" s="14">
        <f t="shared" si="50"/>
        <v>0</v>
      </c>
      <c r="H76" s="10">
        <f>D76+сентябрь!H76</f>
        <v>684650</v>
      </c>
      <c r="I76" s="59"/>
      <c r="J76" s="10">
        <f>F76+сентябрь!J76</f>
        <v>654748.54</v>
      </c>
      <c r="K76" s="10">
        <f t="shared" si="51"/>
        <v>654748.54</v>
      </c>
      <c r="L76" s="16"/>
      <c r="M76" s="220"/>
      <c r="N76" s="221"/>
      <c r="O76" s="263">
        <f t="shared" si="45"/>
        <v>-29901.459999999963</v>
      </c>
      <c r="P76" s="264">
        <f t="shared" si="46"/>
        <v>-4.3674081647557097</v>
      </c>
      <c r="Q76" s="114"/>
      <c r="R76" s="261"/>
      <c r="S76" s="261">
        <f t="shared" si="47"/>
        <v>342325</v>
      </c>
      <c r="T76" s="265">
        <f>E76+апр!I76</f>
        <v>0</v>
      </c>
      <c r="U76" s="262">
        <f>F76+апр!J76</f>
        <v>345435.19</v>
      </c>
      <c r="V76" s="261"/>
      <c r="W76" s="261"/>
      <c r="X76" s="261"/>
    </row>
    <row r="77" spans="1:24" ht="17.25" hidden="1" customHeight="1">
      <c r="A77" s="8"/>
      <c r="B77" s="12" t="s">
        <v>15</v>
      </c>
      <c r="C77" s="13" t="s">
        <v>16</v>
      </c>
      <c r="D77" s="16">
        <f>D75/D76*1000</f>
        <v>19.54988680347623</v>
      </c>
      <c r="E77" s="16"/>
      <c r="F77" s="16" t="e">
        <f t="shared" ref="F77" si="52">F75/F76*1000</f>
        <v>#DIV/0!</v>
      </c>
      <c r="G77" s="10" t="e">
        <f t="shared" si="50"/>
        <v>#DIV/0!</v>
      </c>
      <c r="H77" s="16">
        <f>H75/H76*1000</f>
        <v>19.54988680347623</v>
      </c>
      <c r="I77" s="8"/>
      <c r="J77" s="13"/>
      <c r="K77" s="10">
        <f t="shared" si="51"/>
        <v>0</v>
      </c>
      <c r="L77" s="16"/>
      <c r="M77" s="220"/>
      <c r="N77" s="221"/>
      <c r="O77" s="263">
        <f t="shared" si="45"/>
        <v>-19.54988680347623</v>
      </c>
      <c r="P77" s="264">
        <f t="shared" si="46"/>
        <v>-100</v>
      </c>
      <c r="Q77" s="114"/>
      <c r="R77" s="261"/>
      <c r="S77" s="261">
        <f t="shared" si="47"/>
        <v>97.749434017381148</v>
      </c>
      <c r="T77" s="265">
        <f>E77+апр!I77</f>
        <v>0</v>
      </c>
      <c r="U77" s="262" t="e">
        <f>F77+апр!J77</f>
        <v>#DIV/0!</v>
      </c>
      <c r="V77" s="261"/>
      <c r="W77" s="261"/>
      <c r="X77" s="261"/>
    </row>
    <row r="78" spans="1:24" ht="55.5" hidden="1" customHeight="1">
      <c r="A78" s="8"/>
      <c r="B78" s="12" t="s">
        <v>69</v>
      </c>
      <c r="C78" s="8" t="s">
        <v>4</v>
      </c>
      <c r="D78" s="10">
        <v>1253.6469999999999</v>
      </c>
      <c r="E78" s="8"/>
      <c r="F78" s="54"/>
      <c r="G78" s="10">
        <f t="shared" si="50"/>
        <v>0</v>
      </c>
      <c r="H78" s="10">
        <f>D78+сентябрь!H78</f>
        <v>12536.470000000001</v>
      </c>
      <c r="I78" s="8"/>
      <c r="J78" s="10">
        <f>F78+сентябрь!J78</f>
        <v>12540.125</v>
      </c>
      <c r="K78" s="10">
        <f t="shared" si="51"/>
        <v>12540.125</v>
      </c>
      <c r="L78" s="16"/>
      <c r="M78" s="220"/>
      <c r="N78" s="221"/>
      <c r="O78" s="263">
        <f t="shared" si="45"/>
        <v>3.6549999999988358</v>
      </c>
      <c r="P78" s="264">
        <f t="shared" si="46"/>
        <v>2.9154937554182598E-2</v>
      </c>
      <c r="Q78" s="114"/>
      <c r="R78" s="261"/>
      <c r="S78" s="261">
        <f t="shared" si="47"/>
        <v>6268.2349999999997</v>
      </c>
      <c r="T78" s="265">
        <f>E78+апр!I78</f>
        <v>0</v>
      </c>
      <c r="U78" s="262">
        <f>F78+апр!J78</f>
        <v>5054.1839999999993</v>
      </c>
      <c r="V78" s="261"/>
      <c r="W78" s="261"/>
      <c r="X78" s="261"/>
    </row>
    <row r="79" spans="1:24" ht="17.25" hidden="1" customHeight="1">
      <c r="A79" s="8"/>
      <c r="B79" s="12" t="s">
        <v>68</v>
      </c>
      <c r="C79" s="22" t="s">
        <v>66</v>
      </c>
      <c r="D79" s="14">
        <v>63799</v>
      </c>
      <c r="E79" s="22"/>
      <c r="F79" s="59"/>
      <c r="G79" s="14">
        <f t="shared" si="50"/>
        <v>0</v>
      </c>
      <c r="H79" s="10">
        <f>D79+сентябрь!H79</f>
        <v>637990</v>
      </c>
      <c r="I79" s="59"/>
      <c r="J79" s="10">
        <f>F79+сентябрь!J79</f>
        <v>581324</v>
      </c>
      <c r="K79" s="10">
        <f t="shared" si="51"/>
        <v>581324</v>
      </c>
      <c r="L79" s="16"/>
      <c r="M79" s="220"/>
      <c r="N79" s="221"/>
      <c r="O79" s="263">
        <f t="shared" si="45"/>
        <v>-56666</v>
      </c>
      <c r="P79" s="264">
        <f t="shared" si="46"/>
        <v>-8.8819573974513712</v>
      </c>
      <c r="Q79" s="114"/>
      <c r="R79" s="261"/>
      <c r="S79" s="261">
        <f t="shared" si="47"/>
        <v>318995</v>
      </c>
      <c r="T79" s="265">
        <f>E79+апр!I79</f>
        <v>0</v>
      </c>
      <c r="U79" s="262">
        <f>F79+апр!J79</f>
        <v>255996</v>
      </c>
      <c r="V79" s="261"/>
      <c r="W79" s="261"/>
      <c r="X79" s="261"/>
    </row>
    <row r="80" spans="1:24" ht="17.25" hidden="1" customHeight="1">
      <c r="A80" s="8"/>
      <c r="B80" s="12" t="s">
        <v>15</v>
      </c>
      <c r="C80" s="13" t="s">
        <v>16</v>
      </c>
      <c r="D80" s="16">
        <f>D78/D79*1000</f>
        <v>19.649947491339987</v>
      </c>
      <c r="E80" s="16"/>
      <c r="F80" s="16" t="e">
        <f t="shared" ref="F80" si="53">F78/F79*1000</f>
        <v>#DIV/0!</v>
      </c>
      <c r="G80" s="10" t="e">
        <f t="shared" si="50"/>
        <v>#DIV/0!</v>
      </c>
      <c r="H80" s="16">
        <f>H78/H79*1000</f>
        <v>19.64994749133999</v>
      </c>
      <c r="I80" s="8"/>
      <c r="J80" s="13"/>
      <c r="K80" s="10">
        <f t="shared" si="51"/>
        <v>0</v>
      </c>
      <c r="L80" s="16"/>
      <c r="M80" s="220"/>
      <c r="N80" s="221"/>
      <c r="O80" s="263">
        <f t="shared" si="45"/>
        <v>-19.64994749133999</v>
      </c>
      <c r="P80" s="264">
        <f t="shared" si="46"/>
        <v>-100</v>
      </c>
      <c r="Q80" s="114"/>
      <c r="R80" s="261"/>
      <c r="S80" s="261">
        <f t="shared" si="47"/>
        <v>98.249737456699933</v>
      </c>
      <c r="T80" s="265">
        <f>E80+апр!I80</f>
        <v>0</v>
      </c>
      <c r="U80" s="262" t="e">
        <f>F80+апр!J80</f>
        <v>#DIV/0!</v>
      </c>
      <c r="V80" s="261"/>
      <c r="W80" s="261"/>
      <c r="X80" s="261"/>
    </row>
    <row r="81" spans="1:24" ht="36" hidden="1" customHeight="1">
      <c r="A81" s="8"/>
      <c r="B81" s="12" t="s">
        <v>70</v>
      </c>
      <c r="C81" s="8" t="s">
        <v>4</v>
      </c>
      <c r="D81" s="10">
        <v>3651.203</v>
      </c>
      <c r="E81" s="8"/>
      <c r="F81" s="55"/>
      <c r="G81" s="10">
        <f t="shared" si="50"/>
        <v>0</v>
      </c>
      <c r="H81" s="10">
        <f>D81+сентябрь!H81</f>
        <v>36512.030000000006</v>
      </c>
      <c r="I81" s="8"/>
      <c r="J81" s="10">
        <f>F81+сентябрь!J81</f>
        <v>25405.175999999999</v>
      </c>
      <c r="K81" s="10">
        <f t="shared" si="51"/>
        <v>25405.175999999999</v>
      </c>
      <c r="L81" s="16"/>
      <c r="M81" s="220"/>
      <c r="N81" s="221"/>
      <c r="O81" s="263">
        <f t="shared" si="45"/>
        <v>-11106.854000000007</v>
      </c>
      <c r="P81" s="264">
        <f t="shared" si="46"/>
        <v>-30.419710982928105</v>
      </c>
      <c r="Q81" s="114"/>
      <c r="R81" s="261"/>
      <c r="S81" s="261">
        <f t="shared" si="47"/>
        <v>18256.014999999999</v>
      </c>
      <c r="T81" s="265">
        <f>E81+апр!I81</f>
        <v>0</v>
      </c>
      <c r="U81" s="262">
        <f>F81+апр!J81</f>
        <v>12694.096</v>
      </c>
      <c r="V81" s="261"/>
      <c r="W81" s="261"/>
      <c r="X81" s="261"/>
    </row>
    <row r="82" spans="1:24" ht="17.25" hidden="1" customHeight="1">
      <c r="A82" s="8"/>
      <c r="B82" s="12" t="s">
        <v>68</v>
      </c>
      <c r="C82" s="22" t="s">
        <v>66</v>
      </c>
      <c r="D82" s="14">
        <v>185812</v>
      </c>
      <c r="E82" s="22"/>
      <c r="F82" s="59"/>
      <c r="G82" s="14">
        <v>5230.0569999999998</v>
      </c>
      <c r="H82" s="10">
        <f>D82+сентябрь!H82</f>
        <v>1858120</v>
      </c>
      <c r="I82" s="59"/>
      <c r="J82" s="10">
        <f>F82+сентябрь!J82</f>
        <v>1097895</v>
      </c>
      <c r="K82" s="10">
        <f t="shared" si="51"/>
        <v>1097895</v>
      </c>
      <c r="L82" s="16"/>
      <c r="M82" s="220"/>
      <c r="N82" s="221"/>
      <c r="O82" s="263">
        <f t="shared" si="45"/>
        <v>-760225</v>
      </c>
      <c r="P82" s="264">
        <f t="shared" si="46"/>
        <v>-40.913665425268555</v>
      </c>
      <c r="Q82" s="114"/>
      <c r="R82" s="261"/>
      <c r="S82" s="261">
        <f t="shared" si="47"/>
        <v>929060</v>
      </c>
      <c r="T82" s="265">
        <f>E82+апр!I82</f>
        <v>0</v>
      </c>
      <c r="U82" s="262">
        <f>F82+апр!J82</f>
        <v>642739</v>
      </c>
      <c r="V82" s="261"/>
      <c r="W82" s="261"/>
      <c r="X82" s="261"/>
    </row>
    <row r="83" spans="1:24" ht="17.25" hidden="1" customHeight="1">
      <c r="A83" s="8"/>
      <c r="B83" s="12" t="s">
        <v>15</v>
      </c>
      <c r="C83" s="13" t="s">
        <v>16</v>
      </c>
      <c r="D83" s="16">
        <f>D81/D82*1000</f>
        <v>19.64998493100553</v>
      </c>
      <c r="E83" s="16"/>
      <c r="F83" s="16" t="e">
        <f t="shared" ref="F83" si="54">F81/F82*1000</f>
        <v>#DIV/0!</v>
      </c>
      <c r="G83" s="10" t="e">
        <f t="shared" si="50"/>
        <v>#DIV/0!</v>
      </c>
      <c r="H83" s="16">
        <f>H81/H82*1000</f>
        <v>19.649984931005534</v>
      </c>
      <c r="I83" s="8"/>
      <c r="J83" s="13"/>
      <c r="K83" s="10">
        <f t="shared" si="51"/>
        <v>0</v>
      </c>
      <c r="L83" s="16"/>
      <c r="M83" s="220"/>
      <c r="N83" s="221"/>
      <c r="O83" s="263">
        <f t="shared" si="45"/>
        <v>-19.649984931005534</v>
      </c>
      <c r="P83" s="264">
        <f t="shared" si="46"/>
        <v>-100</v>
      </c>
      <c r="Q83" s="114"/>
      <c r="R83" s="261"/>
      <c r="S83" s="261">
        <f t="shared" si="47"/>
        <v>98.249924655027655</v>
      </c>
      <c r="T83" s="265">
        <f>E83+апр!I83</f>
        <v>0</v>
      </c>
      <c r="U83" s="262" t="e">
        <f>F83+апр!J83</f>
        <v>#DIV/0!</v>
      </c>
      <c r="V83" s="261"/>
      <c r="W83" s="261"/>
      <c r="X83" s="261"/>
    </row>
    <row r="84" spans="1:24" ht="17.25" hidden="1" customHeight="1">
      <c r="A84" s="8"/>
      <c r="B84" s="12" t="s">
        <v>71</v>
      </c>
      <c r="C84" s="8" t="s">
        <v>4</v>
      </c>
      <c r="D84" s="10">
        <v>20274.338</v>
      </c>
      <c r="E84" s="8"/>
      <c r="F84" s="55"/>
      <c r="G84" s="10">
        <f t="shared" si="50"/>
        <v>0</v>
      </c>
      <c r="H84" s="10">
        <f>D84+сентябрь!H84</f>
        <v>202743.37999999998</v>
      </c>
      <c r="I84" s="8"/>
      <c r="J84" s="10">
        <f>F84+сентябрь!J84</f>
        <v>147217.41400000002</v>
      </c>
      <c r="K84" s="10">
        <f t="shared" si="51"/>
        <v>147217.41400000002</v>
      </c>
      <c r="L84" s="16"/>
      <c r="M84" s="266" t="s">
        <v>297</v>
      </c>
      <c r="N84" s="267"/>
      <c r="O84" s="263">
        <f t="shared" si="45"/>
        <v>-55525.965999999957</v>
      </c>
      <c r="P84" s="264">
        <f t="shared" si="46"/>
        <v>-27.387313953234855</v>
      </c>
      <c r="Q84" s="117"/>
      <c r="R84" s="261"/>
      <c r="S84" s="261">
        <f t="shared" si="47"/>
        <v>101371.69</v>
      </c>
      <c r="T84" s="265">
        <f>E84+апр!I84</f>
        <v>0</v>
      </c>
      <c r="U84" s="262">
        <f>F84+апр!J84</f>
        <v>54605.031000000003</v>
      </c>
      <c r="V84" s="261"/>
      <c r="W84" s="261"/>
      <c r="X84" s="261"/>
    </row>
    <row r="85" spans="1:24" ht="26.25" hidden="1" customHeight="1">
      <c r="A85" s="8"/>
      <c r="B85" s="12" t="s">
        <v>68</v>
      </c>
      <c r="C85" s="22" t="s">
        <v>66</v>
      </c>
      <c r="D85" s="14">
        <v>962694</v>
      </c>
      <c r="E85" s="22"/>
      <c r="F85" s="59"/>
      <c r="G85" s="14">
        <f t="shared" si="50"/>
        <v>0</v>
      </c>
      <c r="H85" s="10">
        <f>D85+сентябрь!H85</f>
        <v>9626940</v>
      </c>
      <c r="I85" s="59"/>
      <c r="J85" s="10">
        <f>F85+сентябрь!J85</f>
        <v>5847168</v>
      </c>
      <c r="K85" s="10">
        <f t="shared" si="51"/>
        <v>5847168</v>
      </c>
      <c r="L85" s="16"/>
      <c r="M85" s="268"/>
      <c r="N85" s="269"/>
      <c r="O85" s="263">
        <f t="shared" si="45"/>
        <v>-3779772</v>
      </c>
      <c r="P85" s="264">
        <f t="shared" si="46"/>
        <v>-39.262444764379964</v>
      </c>
      <c r="Q85" s="117"/>
      <c r="R85" s="261"/>
      <c r="S85" s="261">
        <f t="shared" si="47"/>
        <v>4813470</v>
      </c>
      <c r="T85" s="265">
        <f>E85+апр!I85</f>
        <v>0</v>
      </c>
      <c r="U85" s="262">
        <f>F85+апр!J85</f>
        <v>2608936</v>
      </c>
      <c r="V85" s="261"/>
      <c r="W85" s="261"/>
      <c r="X85" s="261"/>
    </row>
    <row r="86" spans="1:24" ht="17.25" hidden="1" customHeight="1">
      <c r="A86" s="8"/>
      <c r="B86" s="12" t="s">
        <v>15</v>
      </c>
      <c r="C86" s="13" t="s">
        <v>16</v>
      </c>
      <c r="D86" s="16">
        <f>D84/D85*1000</f>
        <v>21.06000245145394</v>
      </c>
      <c r="E86" s="16"/>
      <c r="F86" s="16" t="e">
        <f t="shared" ref="F86" si="55">F84/F85*1000</f>
        <v>#DIV/0!</v>
      </c>
      <c r="G86" s="10" t="e">
        <f t="shared" si="50"/>
        <v>#DIV/0!</v>
      </c>
      <c r="H86" s="16">
        <f>H84/H85*1000</f>
        <v>21.060002451453936</v>
      </c>
      <c r="I86" s="8"/>
      <c r="J86" s="13"/>
      <c r="K86" s="10">
        <f t="shared" si="51"/>
        <v>0</v>
      </c>
      <c r="L86" s="16"/>
      <c r="M86" s="220"/>
      <c r="N86" s="221"/>
      <c r="O86" s="263">
        <f t="shared" si="45"/>
        <v>-21.060002451453936</v>
      </c>
      <c r="P86" s="264">
        <f t="shared" si="46"/>
        <v>-100</v>
      </c>
      <c r="Q86" s="114"/>
      <c r="R86" s="261"/>
      <c r="S86" s="261">
        <f t="shared" si="47"/>
        <v>105.3000122572697</v>
      </c>
      <c r="T86" s="265">
        <f>E86+апр!I86</f>
        <v>0</v>
      </c>
      <c r="U86" s="262" t="e">
        <f>F86+апр!J86</f>
        <v>#DIV/0!</v>
      </c>
      <c r="V86" s="261"/>
      <c r="W86" s="261"/>
      <c r="X86" s="261"/>
    </row>
    <row r="87" spans="1:24" ht="17.25" customHeight="1">
      <c r="A87" s="218" t="s">
        <v>72</v>
      </c>
      <c r="B87" s="6" t="s">
        <v>73</v>
      </c>
      <c r="C87" s="218" t="s">
        <v>4</v>
      </c>
      <c r="D87" s="7">
        <f>D88+D89+D90</f>
        <v>22015.745000000003</v>
      </c>
      <c r="E87" s="21">
        <f>E88+E89+E90+E91</f>
        <v>20888.748999999996</v>
      </c>
      <c r="F87" s="7">
        <f>F88+F89+F90+F91+F92</f>
        <v>0</v>
      </c>
      <c r="G87" s="16">
        <f t="shared" si="50"/>
        <v>-20888.748999999996</v>
      </c>
      <c r="H87" s="7">
        <f>H88+H89+H90</f>
        <v>242173.19499999998</v>
      </c>
      <c r="I87" s="7">
        <f>I88+I89+I90+I91</f>
        <v>208887.48999999993</v>
      </c>
      <c r="J87" s="7">
        <f>J88+J89+J90+J91+J92</f>
        <v>211337.21699999998</v>
      </c>
      <c r="K87" s="10">
        <f t="shared" si="51"/>
        <v>2449.7270000000426</v>
      </c>
      <c r="L87" s="16">
        <f t="shared" ref="L87:L157" si="56">K87/I87*100</f>
        <v>1.172749502615041</v>
      </c>
      <c r="M87" s="220"/>
      <c r="N87" s="221"/>
      <c r="O87" s="263">
        <f t="shared" si="45"/>
        <v>-30835.978000000003</v>
      </c>
      <c r="P87" s="264">
        <f t="shared" si="46"/>
        <v>-12.733026873597636</v>
      </c>
      <c r="Q87" s="114"/>
      <c r="R87" s="262">
        <f>F88+март!J88+F92+F98+март!J92+март!J98</f>
        <v>57593.972999999998</v>
      </c>
      <c r="S87" s="261">
        <f t="shared" si="47"/>
        <v>110078.72500000001</v>
      </c>
      <c r="T87" s="265">
        <f>E87+апр!I87</f>
        <v>104443.74499999998</v>
      </c>
      <c r="U87" s="262">
        <f>F87+апр!J87</f>
        <v>80577.680999999997</v>
      </c>
      <c r="V87" s="261"/>
      <c r="W87" s="261"/>
      <c r="X87" s="261"/>
    </row>
    <row r="88" spans="1:24" ht="17.25" hidden="1" customHeight="1">
      <c r="A88" s="8" t="s">
        <v>74</v>
      </c>
      <c r="B88" s="9" t="s">
        <v>75</v>
      </c>
      <c r="C88" s="8" t="s">
        <v>4</v>
      </c>
      <c r="D88" s="10">
        <v>20032.525000000001</v>
      </c>
      <c r="E88" s="8">
        <v>18751.082999999999</v>
      </c>
      <c r="F88" s="54"/>
      <c r="G88" s="16">
        <f t="shared" si="50"/>
        <v>-18751.082999999999</v>
      </c>
      <c r="H88" s="10">
        <f>D88+октябрь!H88</f>
        <v>220357.77499999997</v>
      </c>
      <c r="I88" s="8">
        <f>E88+сентябрь!I88</f>
        <v>187510.82999999996</v>
      </c>
      <c r="J88" s="10">
        <f>17359.574+173475.451</f>
        <v>190835.02499999999</v>
      </c>
      <c r="K88" s="10">
        <f t="shared" si="51"/>
        <v>3324.1950000000361</v>
      </c>
      <c r="L88" s="16">
        <f>K88/I88*100</f>
        <v>1.7728016029794316</v>
      </c>
      <c r="M88" s="220"/>
      <c r="N88" s="221"/>
      <c r="O88" s="263">
        <f>J88-H88</f>
        <v>-29522.749999999971</v>
      </c>
      <c r="P88" s="264">
        <f>O88/H88*100</f>
        <v>-13.397643899789774</v>
      </c>
      <c r="Q88" s="114"/>
      <c r="R88" s="262">
        <f>J88+J92+J98</f>
        <v>197719.10499999998</v>
      </c>
      <c r="S88" s="261">
        <f t="shared" si="47"/>
        <v>100162.625</v>
      </c>
      <c r="T88" s="265">
        <f>E88+апр!I88</f>
        <v>93755.414999999994</v>
      </c>
      <c r="U88" s="262">
        <f>F88+апр!J88</f>
        <v>72574.872999999992</v>
      </c>
      <c r="V88" s="261"/>
      <c r="W88" s="261"/>
      <c r="X88" s="261"/>
    </row>
    <row r="89" spans="1:24" ht="17.25" hidden="1" customHeight="1">
      <c r="A89" s="8" t="s">
        <v>76</v>
      </c>
      <c r="B89" s="9" t="s">
        <v>77</v>
      </c>
      <c r="C89" s="8" t="s">
        <v>4</v>
      </c>
      <c r="D89" s="10">
        <v>1101.788</v>
      </c>
      <c r="E89" s="8">
        <v>1012.583</v>
      </c>
      <c r="F89" s="54"/>
      <c r="G89" s="10">
        <f t="shared" si="50"/>
        <v>-1012.583</v>
      </c>
      <c r="H89" s="10">
        <f>D89+октябрь!H89</f>
        <v>12119.668000000003</v>
      </c>
      <c r="I89" s="8">
        <f>E89+сентябрь!I89</f>
        <v>10125.83</v>
      </c>
      <c r="J89" s="10">
        <f>931+9402.141</f>
        <v>10333.141</v>
      </c>
      <c r="K89" s="10">
        <f t="shared" si="51"/>
        <v>207.31099999999969</v>
      </c>
      <c r="L89" s="16">
        <f t="shared" si="56"/>
        <v>2.0473482173806956</v>
      </c>
      <c r="M89" s="220"/>
      <c r="N89" s="221"/>
      <c r="O89" s="263">
        <f t="shared" ref="O89:O150" si="57">J89-H89</f>
        <v>-1786.5270000000037</v>
      </c>
      <c r="P89" s="264">
        <f t="shared" ref="P89:P150" si="58">O89/H89*100</f>
        <v>-14.740725571030518</v>
      </c>
      <c r="Q89" s="114"/>
      <c r="R89" s="261"/>
      <c r="S89" s="261">
        <f t="shared" si="47"/>
        <v>5508.9400000000005</v>
      </c>
      <c r="T89" s="265">
        <f>E89+апр!I89</f>
        <v>5062.915</v>
      </c>
      <c r="U89" s="262">
        <f>F89+апр!J89</f>
        <v>4081.1979999999999</v>
      </c>
      <c r="V89" s="261"/>
      <c r="W89" s="261"/>
      <c r="X89" s="261"/>
    </row>
    <row r="90" spans="1:24" ht="17.25" hidden="1" customHeight="1">
      <c r="A90" s="8" t="s">
        <v>308</v>
      </c>
      <c r="B90" s="9" t="s">
        <v>307</v>
      </c>
      <c r="C90" s="8" t="s">
        <v>4</v>
      </c>
      <c r="D90" s="10">
        <v>881.43200000000002</v>
      </c>
      <c r="E90" s="8">
        <v>843.83299999999997</v>
      </c>
      <c r="F90" s="55"/>
      <c r="G90" s="10">
        <f t="shared" si="50"/>
        <v>-843.83299999999997</v>
      </c>
      <c r="H90" s="10">
        <f>D90+октябрь!H90</f>
        <v>9695.7520000000004</v>
      </c>
      <c r="I90" s="8">
        <f>E90+сентябрь!I90</f>
        <v>8438.3299999999981</v>
      </c>
      <c r="J90" s="10">
        <f>5107.512+514.243</f>
        <v>5621.7550000000001</v>
      </c>
      <c r="K90" s="10">
        <f t="shared" si="51"/>
        <v>-2816.574999999998</v>
      </c>
      <c r="L90" s="16">
        <f t="shared" si="56"/>
        <v>-33.378346189352612</v>
      </c>
      <c r="M90" s="212"/>
      <c r="N90" s="213"/>
      <c r="O90" s="263">
        <f t="shared" si="57"/>
        <v>-4073.9970000000003</v>
      </c>
      <c r="P90" s="264">
        <f t="shared" si="58"/>
        <v>-42.018370519377974</v>
      </c>
      <c r="Q90" s="114"/>
      <c r="R90" s="261"/>
      <c r="S90" s="261">
        <f t="shared" si="47"/>
        <v>4407.16</v>
      </c>
      <c r="T90" s="265">
        <f>E90+апр!I90</f>
        <v>4219.165</v>
      </c>
      <c r="U90" s="262">
        <f>F90+апр!J90</f>
        <v>2231.9520000000002</v>
      </c>
      <c r="V90" s="261"/>
      <c r="W90" s="261"/>
      <c r="X90" s="261"/>
    </row>
    <row r="91" spans="1:24" ht="17.25" hidden="1" customHeight="1">
      <c r="A91" s="8" t="s">
        <v>309</v>
      </c>
      <c r="B91" s="9" t="s">
        <v>310</v>
      </c>
      <c r="C91" s="8" t="s">
        <v>4</v>
      </c>
      <c r="D91" s="10"/>
      <c r="E91" s="8">
        <v>281.25</v>
      </c>
      <c r="F91" s="55"/>
      <c r="G91" s="10">
        <f t="shared" si="50"/>
        <v>-281.25</v>
      </c>
      <c r="H91" s="10">
        <f>D91+октябрь!H91</f>
        <v>0</v>
      </c>
      <c r="I91" s="8">
        <f>E91+сентябрь!I91</f>
        <v>2812.5</v>
      </c>
      <c r="J91" s="10">
        <f>243.296+2420.757</f>
        <v>2664.0529999999999</v>
      </c>
      <c r="K91" s="10">
        <f t="shared" si="51"/>
        <v>-148.44700000000012</v>
      </c>
      <c r="L91" s="16">
        <f t="shared" si="56"/>
        <v>-5.2781155555555594</v>
      </c>
      <c r="M91" s="212"/>
      <c r="N91" s="213"/>
      <c r="O91" s="263">
        <f t="shared" si="57"/>
        <v>2664.0529999999999</v>
      </c>
      <c r="P91" s="264" t="e">
        <f t="shared" si="58"/>
        <v>#DIV/0!</v>
      </c>
      <c r="Q91" s="114"/>
      <c r="R91" s="261"/>
      <c r="S91" s="261">
        <f t="shared" si="47"/>
        <v>0</v>
      </c>
      <c r="T91" s="265">
        <f>E91+апр!I91</f>
        <v>1406.25</v>
      </c>
      <c r="U91" s="262">
        <f>F91+апр!J91</f>
        <v>1058.7460000000001</v>
      </c>
      <c r="V91" s="261"/>
      <c r="W91" s="261"/>
      <c r="X91" s="261"/>
    </row>
    <row r="92" spans="1:24" ht="17.25" hidden="1" customHeight="1">
      <c r="A92" s="8"/>
      <c r="B92" s="9" t="s">
        <v>316</v>
      </c>
      <c r="C92" s="8" t="s">
        <v>4</v>
      </c>
      <c r="D92" s="10"/>
      <c r="E92" s="8"/>
      <c r="F92" s="54"/>
      <c r="G92" s="10"/>
      <c r="H92" s="10">
        <f>D92+октябрь!H92</f>
        <v>0</v>
      </c>
      <c r="I92" s="8">
        <f>E92+сентябрь!I92</f>
        <v>0</v>
      </c>
      <c r="J92" s="10">
        <v>1883.2429999999999</v>
      </c>
      <c r="K92" s="10"/>
      <c r="L92" s="16"/>
      <c r="M92" s="212"/>
      <c r="N92" s="213"/>
      <c r="O92" s="263">
        <f t="shared" si="57"/>
        <v>1883.2429999999999</v>
      </c>
      <c r="P92" s="264" t="e">
        <f t="shared" si="58"/>
        <v>#DIV/0!</v>
      </c>
      <c r="Q92" s="114"/>
      <c r="R92" s="261"/>
      <c r="S92" s="261">
        <f t="shared" si="47"/>
        <v>0</v>
      </c>
      <c r="T92" s="265">
        <f>E92+апр!I92</f>
        <v>0</v>
      </c>
      <c r="U92" s="262">
        <f>F92+апр!J92</f>
        <v>630.91199999999992</v>
      </c>
      <c r="V92" s="261"/>
      <c r="W92" s="261"/>
      <c r="X92" s="261"/>
    </row>
    <row r="93" spans="1:24" ht="17.25" customHeight="1">
      <c r="A93" s="218" t="s">
        <v>78</v>
      </c>
      <c r="B93" s="6" t="s">
        <v>79</v>
      </c>
      <c r="C93" s="218" t="s">
        <v>4</v>
      </c>
      <c r="D93" s="7">
        <f>D94</f>
        <v>12258.85</v>
      </c>
      <c r="E93" s="21">
        <f>E94</f>
        <v>12219.75</v>
      </c>
      <c r="F93" s="7">
        <f>F94</f>
        <v>0</v>
      </c>
      <c r="G93" s="10">
        <f t="shared" si="50"/>
        <v>-12219.75</v>
      </c>
      <c r="H93" s="7">
        <f>H94</f>
        <v>134847.35000000003</v>
      </c>
      <c r="I93" s="21">
        <f>I94</f>
        <v>122197.5</v>
      </c>
      <c r="J93" s="7">
        <f>J94</f>
        <v>178461.516</v>
      </c>
      <c r="K93" s="10">
        <f t="shared" si="51"/>
        <v>56264.016000000003</v>
      </c>
      <c r="L93" s="16">
        <f t="shared" si="56"/>
        <v>46.043508255078869</v>
      </c>
      <c r="M93" s="220"/>
      <c r="N93" s="221"/>
      <c r="O93" s="263">
        <f t="shared" si="57"/>
        <v>43614.165999999968</v>
      </c>
      <c r="P93" s="264">
        <f t="shared" si="58"/>
        <v>32.343361586267697</v>
      </c>
      <c r="Q93" s="114"/>
      <c r="R93" s="261"/>
      <c r="S93" s="261">
        <f t="shared" si="47"/>
        <v>61294.25</v>
      </c>
      <c r="T93" s="265">
        <f>E93+апр!I93</f>
        <v>61098.75</v>
      </c>
      <c r="U93" s="262">
        <f>F93+апр!J93</f>
        <v>44373.687999999995</v>
      </c>
      <c r="V93" s="261"/>
      <c r="W93" s="261"/>
      <c r="X93" s="261"/>
    </row>
    <row r="94" spans="1:24" ht="17.25" customHeight="1">
      <c r="A94" s="23" t="s">
        <v>80</v>
      </c>
      <c r="B94" s="9" t="s">
        <v>81</v>
      </c>
      <c r="C94" s="8" t="s">
        <v>4</v>
      </c>
      <c r="D94" s="10">
        <v>12258.85</v>
      </c>
      <c r="E94" s="8">
        <v>12219.75</v>
      </c>
      <c r="F94" s="55"/>
      <c r="G94" s="10">
        <f t="shared" si="50"/>
        <v>-12219.75</v>
      </c>
      <c r="H94" s="10">
        <f>D94+октябрь!H94</f>
        <v>134847.35000000003</v>
      </c>
      <c r="I94" s="8">
        <f>E94+сентябрь!I94</f>
        <v>122197.5</v>
      </c>
      <c r="J94" s="10">
        <f>178461.516</f>
        <v>178461.516</v>
      </c>
      <c r="K94" s="10">
        <f t="shared" si="51"/>
        <v>56264.016000000003</v>
      </c>
      <c r="L94" s="16">
        <f t="shared" si="56"/>
        <v>46.043508255078869</v>
      </c>
      <c r="M94" s="220"/>
      <c r="N94" s="221"/>
      <c r="O94" s="263">
        <f t="shared" si="57"/>
        <v>43614.165999999968</v>
      </c>
      <c r="P94" s="264">
        <f t="shared" si="58"/>
        <v>32.343361586267697</v>
      </c>
      <c r="Q94" s="114"/>
      <c r="R94" s="261"/>
      <c r="S94" s="261">
        <f t="shared" si="47"/>
        <v>61294.25</v>
      </c>
      <c r="T94" s="265">
        <f>E94+апр!I94</f>
        <v>61098.75</v>
      </c>
      <c r="U94" s="262">
        <f>F94+апр!J94</f>
        <v>44373.687999999995</v>
      </c>
      <c r="V94" s="261"/>
      <c r="W94" s="261"/>
      <c r="X94" s="261"/>
    </row>
    <row r="95" spans="1:24" ht="17.25" customHeight="1">
      <c r="A95" s="218" t="s">
        <v>82</v>
      </c>
      <c r="B95" s="6" t="s">
        <v>83</v>
      </c>
      <c r="C95" s="218" t="s">
        <v>4</v>
      </c>
      <c r="D95" s="7">
        <f t="shared" ref="D95:I95" si="59">D96</f>
        <v>588.22500000000002</v>
      </c>
      <c r="E95" s="7">
        <f t="shared" si="59"/>
        <v>291.66699999999997</v>
      </c>
      <c r="F95" s="7">
        <f>F96</f>
        <v>0</v>
      </c>
      <c r="G95" s="10">
        <f t="shared" si="50"/>
        <v>-291.66699999999997</v>
      </c>
      <c r="H95" s="7">
        <f t="shared" si="59"/>
        <v>6470.4750000000013</v>
      </c>
      <c r="I95" s="7">
        <f t="shared" si="59"/>
        <v>2916.6699999999996</v>
      </c>
      <c r="J95" s="7">
        <f>2912.709+142.124</f>
        <v>3054.8329999999996</v>
      </c>
      <c r="K95" s="10">
        <f t="shared" si="51"/>
        <v>138.16300000000001</v>
      </c>
      <c r="L95" s="16">
        <f t="shared" si="56"/>
        <v>4.7370117291294536</v>
      </c>
      <c r="M95" s="220"/>
      <c r="N95" s="221"/>
      <c r="O95" s="263">
        <f t="shared" si="57"/>
        <v>-3415.6420000000016</v>
      </c>
      <c r="P95" s="264">
        <f t="shared" si="58"/>
        <v>-52.788118337525468</v>
      </c>
      <c r="Q95" s="114"/>
      <c r="R95" s="261"/>
      <c r="S95" s="261">
        <f t="shared" si="47"/>
        <v>2941.125</v>
      </c>
      <c r="T95" s="265">
        <f>E95+апр!I95</f>
        <v>1458.3349999999998</v>
      </c>
      <c r="U95" s="262">
        <f>F95+апр!J95</f>
        <v>0.76900000000000002</v>
      </c>
      <c r="V95" s="261"/>
      <c r="W95" s="261"/>
      <c r="X95" s="261"/>
    </row>
    <row r="96" spans="1:24" ht="54" hidden="1" customHeight="1">
      <c r="A96" s="8" t="s">
        <v>84</v>
      </c>
      <c r="B96" s="9" t="s">
        <v>85</v>
      </c>
      <c r="C96" s="8" t="s">
        <v>4</v>
      </c>
      <c r="D96" s="10">
        <v>588.22500000000002</v>
      </c>
      <c r="E96" s="8">
        <v>291.66699999999997</v>
      </c>
      <c r="F96" s="55"/>
      <c r="G96" s="10">
        <f t="shared" si="50"/>
        <v>-291.66699999999997</v>
      </c>
      <c r="H96" s="10">
        <f>D96+октябрь!H96</f>
        <v>6470.4750000000013</v>
      </c>
      <c r="I96" s="8">
        <f>E96+сентябрь!I96</f>
        <v>2916.6699999999996</v>
      </c>
      <c r="J96" s="10">
        <f>2267.664+142.124</f>
        <v>2409.788</v>
      </c>
      <c r="K96" s="10">
        <f t="shared" si="51"/>
        <v>-506.88199999999961</v>
      </c>
      <c r="L96" s="16">
        <f t="shared" si="56"/>
        <v>-17.378791567095341</v>
      </c>
      <c r="M96" s="220" t="s">
        <v>299</v>
      </c>
      <c r="N96" s="221"/>
      <c r="O96" s="263">
        <f t="shared" si="57"/>
        <v>-4060.6870000000013</v>
      </c>
      <c r="P96" s="264">
        <f t="shared" si="58"/>
        <v>-62.757170068658027</v>
      </c>
      <c r="Q96" s="114"/>
      <c r="R96" s="261"/>
      <c r="S96" s="261">
        <f t="shared" si="47"/>
        <v>2941.125</v>
      </c>
      <c r="T96" s="265">
        <f>E96+апр!I96</f>
        <v>1458.3349999999998</v>
      </c>
      <c r="U96" s="262">
        <f>F96+апр!J96</f>
        <v>0.76900000000000002</v>
      </c>
      <c r="V96" s="261"/>
      <c r="W96" s="261"/>
      <c r="X96" s="261"/>
    </row>
    <row r="97" spans="1:24" ht="17.25" customHeight="1">
      <c r="A97" s="218" t="s">
        <v>86</v>
      </c>
      <c r="B97" s="6" t="s">
        <v>87</v>
      </c>
      <c r="C97" s="218" t="s">
        <v>4</v>
      </c>
      <c r="D97" s="7">
        <f t="shared" ref="D97" si="60">D98+D99+D103+D104+D109+D110</f>
        <v>2575.1889999999999</v>
      </c>
      <c r="E97" s="7">
        <f>E98+E99+E103+E104+E109+E110</f>
        <v>2562.3330000000001</v>
      </c>
      <c r="F97" s="7">
        <f>F98+F99+F103+F104+F109+F110</f>
        <v>357.79</v>
      </c>
      <c r="G97" s="10">
        <f t="shared" si="50"/>
        <v>-2204.5430000000001</v>
      </c>
      <c r="H97" s="7">
        <f t="shared" ref="H97" si="61">H98+H99+H103+H104+H109+H110</f>
        <v>28212.808000000008</v>
      </c>
      <c r="I97" s="7">
        <f>I98+I99+I103+I104+I109+I110</f>
        <v>25621.996999999999</v>
      </c>
      <c r="J97" s="7">
        <f>J98+J99+J103+J104+J109+J110</f>
        <v>31757.172999999999</v>
      </c>
      <c r="K97" s="10">
        <f t="shared" si="51"/>
        <v>6135.1759999999995</v>
      </c>
      <c r="L97" s="16">
        <f t="shared" si="56"/>
        <v>23.944956359178406</v>
      </c>
      <c r="M97" s="220"/>
      <c r="N97" s="221"/>
      <c r="O97" s="263">
        <f t="shared" si="57"/>
        <v>3544.3649999999907</v>
      </c>
      <c r="P97" s="264">
        <f t="shared" si="58"/>
        <v>12.562964310394023</v>
      </c>
      <c r="Q97" s="114"/>
      <c r="R97" s="261"/>
      <c r="S97" s="261">
        <f t="shared" si="47"/>
        <v>12875.945</v>
      </c>
      <c r="T97" s="265">
        <f>E97+апр!I97</f>
        <v>12811.665000000001</v>
      </c>
      <c r="U97" s="262">
        <f>F97+апр!J97</f>
        <v>10250.0825</v>
      </c>
      <c r="V97" s="261"/>
      <c r="W97" s="261"/>
      <c r="X97" s="261"/>
    </row>
    <row r="98" spans="1:24" ht="17.25" hidden="1" customHeight="1">
      <c r="A98" s="8" t="s">
        <v>88</v>
      </c>
      <c r="B98" s="9" t="s">
        <v>89</v>
      </c>
      <c r="C98" s="8" t="s">
        <v>4</v>
      </c>
      <c r="D98" s="10">
        <v>626.41700000000003</v>
      </c>
      <c r="E98" s="8">
        <v>543.08299999999997</v>
      </c>
      <c r="F98" s="54"/>
      <c r="G98" s="10">
        <f t="shared" si="50"/>
        <v>-543.08299999999997</v>
      </c>
      <c r="H98" s="10">
        <f>D98+октябрь!H98</f>
        <v>6890.5870000000014</v>
      </c>
      <c r="I98" s="8">
        <f>E98+сентябрь!I98</f>
        <v>5430.829999999999</v>
      </c>
      <c r="J98" s="10">
        <f>F98+сентябрь!J98</f>
        <v>5000.8370000000004</v>
      </c>
      <c r="K98" s="10">
        <f t="shared" si="51"/>
        <v>-429.99299999999857</v>
      </c>
      <c r="L98" s="16">
        <f t="shared" si="56"/>
        <v>-7.9176295336071778</v>
      </c>
      <c r="M98" s="220" t="s">
        <v>298</v>
      </c>
      <c r="N98" s="221"/>
      <c r="O98" s="263">
        <f t="shared" si="57"/>
        <v>-1889.7500000000009</v>
      </c>
      <c r="P98" s="264">
        <f t="shared" si="58"/>
        <v>-27.425094552902397</v>
      </c>
      <c r="Q98" s="114"/>
      <c r="R98" s="261"/>
      <c r="S98" s="261">
        <f t="shared" si="47"/>
        <v>3132.085</v>
      </c>
      <c r="T98" s="265">
        <f>E98+апр!I98</f>
        <v>2715.415</v>
      </c>
      <c r="U98" s="262">
        <f>F98+апр!J98</f>
        <v>2290.402</v>
      </c>
      <c r="V98" s="261"/>
      <c r="W98" s="261"/>
      <c r="X98" s="261"/>
    </row>
    <row r="99" spans="1:24" ht="53.25" hidden="1" customHeight="1">
      <c r="A99" s="8" t="s">
        <v>90</v>
      </c>
      <c r="B99" s="20" t="s">
        <v>242</v>
      </c>
      <c r="C99" s="8" t="s">
        <v>4</v>
      </c>
      <c r="D99" s="10">
        <f t="shared" ref="D99" si="62">D100+D101+D102</f>
        <v>107.703</v>
      </c>
      <c r="E99" s="8">
        <v>107.667</v>
      </c>
      <c r="F99" s="10">
        <f>F100+F101+F102</f>
        <v>0</v>
      </c>
      <c r="G99" s="10">
        <f t="shared" si="50"/>
        <v>-107.667</v>
      </c>
      <c r="H99" s="10">
        <f t="shared" ref="H99" si="63">H100+H101+H102</f>
        <v>1184.7330000000002</v>
      </c>
      <c r="I99" s="8">
        <f>E99+сентябрь!I99</f>
        <v>1076.67</v>
      </c>
      <c r="J99" s="10">
        <f t="shared" ref="J99" si="64">J100+J101+J102</f>
        <v>799.98900000000003</v>
      </c>
      <c r="K99" s="10">
        <f t="shared" si="51"/>
        <v>-276.68100000000004</v>
      </c>
      <c r="L99" s="16">
        <f t="shared" si="56"/>
        <v>-25.697846136699269</v>
      </c>
      <c r="M99" s="220"/>
      <c r="N99" s="221"/>
      <c r="O99" s="263">
        <f t="shared" si="57"/>
        <v>-384.74400000000014</v>
      </c>
      <c r="P99" s="264">
        <f t="shared" si="58"/>
        <v>-32.475165290407219</v>
      </c>
      <c r="Q99" s="114"/>
      <c r="R99" s="261"/>
      <c r="S99" s="261">
        <f t="shared" si="47"/>
        <v>538.51499999999999</v>
      </c>
      <c r="T99" s="265">
        <f>E99+апр!I99</f>
        <v>538.33500000000004</v>
      </c>
      <c r="U99" s="262">
        <f>F99+апр!J99</f>
        <v>0</v>
      </c>
      <c r="V99" s="261"/>
      <c r="W99" s="261"/>
      <c r="X99" s="261"/>
    </row>
    <row r="100" spans="1:24" ht="17.25" hidden="1" customHeight="1">
      <c r="A100" s="8" t="s">
        <v>91</v>
      </c>
      <c r="B100" s="20" t="s">
        <v>92</v>
      </c>
      <c r="C100" s="8" t="s">
        <v>4</v>
      </c>
      <c r="D100" s="10">
        <v>45.448999999999998</v>
      </c>
      <c r="E100" s="8"/>
      <c r="F100" s="55"/>
      <c r="G100" s="10">
        <f t="shared" si="50"/>
        <v>0</v>
      </c>
      <c r="H100" s="10">
        <f>D100+октябрь!H100</f>
        <v>499.93900000000008</v>
      </c>
      <c r="I100" s="8"/>
      <c r="J100" s="10">
        <f>F100+сентябрь!J100</f>
        <v>0</v>
      </c>
      <c r="K100" s="10">
        <f t="shared" si="51"/>
        <v>0</v>
      </c>
      <c r="L100" s="16"/>
      <c r="M100" s="220"/>
      <c r="N100" s="221"/>
      <c r="O100" s="263">
        <f t="shared" si="57"/>
        <v>-499.93900000000008</v>
      </c>
      <c r="P100" s="264">
        <f t="shared" si="58"/>
        <v>-100</v>
      </c>
      <c r="Q100" s="114"/>
      <c r="R100" s="261"/>
      <c r="S100" s="261">
        <f t="shared" si="47"/>
        <v>227.245</v>
      </c>
      <c r="T100" s="265">
        <f>E100+апр!I100</f>
        <v>0</v>
      </c>
      <c r="U100" s="262">
        <f>F100+апр!J100</f>
        <v>0</v>
      </c>
      <c r="V100" s="261"/>
      <c r="W100" s="261"/>
      <c r="X100" s="261"/>
    </row>
    <row r="101" spans="1:24" ht="33.75" hidden="1" customHeight="1">
      <c r="A101" s="8" t="s">
        <v>93</v>
      </c>
      <c r="B101" s="20" t="s">
        <v>94</v>
      </c>
      <c r="C101" s="8" t="s">
        <v>4</v>
      </c>
      <c r="D101" s="10">
        <v>62.253999999999998</v>
      </c>
      <c r="E101" s="8"/>
      <c r="F101" s="55"/>
      <c r="G101" s="10">
        <f t="shared" si="50"/>
        <v>0</v>
      </c>
      <c r="H101" s="10">
        <f>D101+октябрь!H101</f>
        <v>684.7940000000001</v>
      </c>
      <c r="I101" s="8"/>
      <c r="J101" s="10">
        <f>379.989+420</f>
        <v>799.98900000000003</v>
      </c>
      <c r="K101" s="10">
        <f t="shared" si="51"/>
        <v>799.98900000000003</v>
      </c>
      <c r="L101" s="16"/>
      <c r="M101" s="220"/>
      <c r="N101" s="221"/>
      <c r="O101" s="263">
        <f t="shared" si="57"/>
        <v>115.19499999999994</v>
      </c>
      <c r="P101" s="264">
        <f t="shared" si="58"/>
        <v>16.821847154034632</v>
      </c>
      <c r="Q101" s="114"/>
      <c r="R101" s="261"/>
      <c r="S101" s="261">
        <f t="shared" si="47"/>
        <v>311.27</v>
      </c>
      <c r="T101" s="265">
        <f>E101+апр!I101</f>
        <v>0</v>
      </c>
      <c r="U101" s="262">
        <f>F101+апр!J101</f>
        <v>0</v>
      </c>
      <c r="V101" s="261"/>
      <c r="W101" s="261"/>
      <c r="X101" s="261"/>
    </row>
    <row r="102" spans="1:24" ht="33.75" hidden="1" customHeight="1">
      <c r="A102" s="8" t="s">
        <v>95</v>
      </c>
      <c r="B102" s="20" t="s">
        <v>96</v>
      </c>
      <c r="C102" s="8" t="s">
        <v>4</v>
      </c>
      <c r="D102" s="10"/>
      <c r="E102" s="8"/>
      <c r="F102" s="55"/>
      <c r="G102" s="10">
        <f t="shared" si="50"/>
        <v>0</v>
      </c>
      <c r="H102" s="10">
        <f>D102+октябрь!H102</f>
        <v>0</v>
      </c>
      <c r="I102" s="8"/>
      <c r="J102" s="10">
        <f>F102+сентябрь!J102</f>
        <v>0</v>
      </c>
      <c r="K102" s="10">
        <f t="shared" si="51"/>
        <v>0</v>
      </c>
      <c r="L102" s="16"/>
      <c r="M102" s="220"/>
      <c r="N102" s="221"/>
      <c r="O102" s="263">
        <f t="shared" si="57"/>
        <v>0</v>
      </c>
      <c r="P102" s="264" t="e">
        <f t="shared" si="58"/>
        <v>#DIV/0!</v>
      </c>
      <c r="Q102" s="114"/>
      <c r="R102" s="261"/>
      <c r="S102" s="261">
        <f t="shared" si="47"/>
        <v>0</v>
      </c>
      <c r="T102" s="265">
        <f>E102+апр!I102</f>
        <v>0</v>
      </c>
      <c r="U102" s="262">
        <f>F102+апр!J102</f>
        <v>0</v>
      </c>
      <c r="V102" s="261"/>
      <c r="W102" s="261"/>
      <c r="X102" s="261"/>
    </row>
    <row r="103" spans="1:24" ht="17.25" hidden="1" customHeight="1">
      <c r="A103" s="8" t="s">
        <v>97</v>
      </c>
      <c r="B103" s="20" t="s">
        <v>98</v>
      </c>
      <c r="C103" s="8" t="s">
        <v>4</v>
      </c>
      <c r="D103" s="10">
        <v>1.3089999999999999</v>
      </c>
      <c r="E103" s="8">
        <v>1.333</v>
      </c>
      <c r="F103" s="55"/>
      <c r="G103" s="10">
        <f t="shared" si="50"/>
        <v>-1.333</v>
      </c>
      <c r="H103" s="10">
        <f>D103+октябрь!H103</f>
        <v>14.398999999999997</v>
      </c>
      <c r="I103" s="8">
        <f>E103+сентябрь!I103</f>
        <v>11.997</v>
      </c>
      <c r="J103" s="10">
        <f>F103+сентябрь!J103</f>
        <v>0</v>
      </c>
      <c r="K103" s="10">
        <f t="shared" si="51"/>
        <v>-11.997</v>
      </c>
      <c r="L103" s="16">
        <f t="shared" si="56"/>
        <v>-100</v>
      </c>
      <c r="M103" s="220"/>
      <c r="N103" s="221"/>
      <c r="O103" s="263">
        <f t="shared" si="57"/>
        <v>-14.398999999999997</v>
      </c>
      <c r="P103" s="264">
        <f t="shared" si="58"/>
        <v>-100</v>
      </c>
      <c r="Q103" s="114"/>
      <c r="R103" s="261"/>
      <c r="S103" s="261">
        <f t="shared" si="47"/>
        <v>6.5449999999999999</v>
      </c>
      <c r="T103" s="265">
        <f>E103+апр!I103</f>
        <v>6.665</v>
      </c>
      <c r="U103" s="262">
        <f>F103+апр!J103</f>
        <v>0</v>
      </c>
      <c r="V103" s="261"/>
      <c r="W103" s="261"/>
      <c r="X103" s="261"/>
    </row>
    <row r="104" spans="1:24" ht="36" hidden="1" customHeight="1">
      <c r="A104" s="18" t="s">
        <v>105</v>
      </c>
      <c r="B104" s="20" t="s">
        <v>99</v>
      </c>
      <c r="C104" s="8" t="s">
        <v>4</v>
      </c>
      <c r="D104" s="10">
        <f t="shared" ref="D104:F104" si="65">D105+D106+D107+D108</f>
        <v>186.095</v>
      </c>
      <c r="E104" s="10">
        <f t="shared" si="65"/>
        <v>152.833</v>
      </c>
      <c r="F104" s="10">
        <f t="shared" si="65"/>
        <v>0</v>
      </c>
      <c r="G104" s="10">
        <f t="shared" si="50"/>
        <v>-152.833</v>
      </c>
      <c r="H104" s="10">
        <f t="shared" ref="H104:J104" si="66">H105+H106+H107+H108</f>
        <v>2047.0450000000005</v>
      </c>
      <c r="I104" s="8">
        <f>E104+сентябрь!I104</f>
        <v>1528.3300000000002</v>
      </c>
      <c r="J104" s="10">
        <f t="shared" si="66"/>
        <v>2557.8019999999997</v>
      </c>
      <c r="K104" s="10">
        <f t="shared" si="51"/>
        <v>1029.4719999999995</v>
      </c>
      <c r="L104" s="16">
        <f t="shared" si="56"/>
        <v>67.359274502234427</v>
      </c>
      <c r="M104" s="220"/>
      <c r="N104" s="221"/>
      <c r="O104" s="263">
        <f t="shared" si="57"/>
        <v>510.75699999999915</v>
      </c>
      <c r="P104" s="264">
        <f t="shared" si="58"/>
        <v>24.950941479058791</v>
      </c>
      <c r="Q104" s="114"/>
      <c r="R104" s="261"/>
      <c r="S104" s="261">
        <f t="shared" si="47"/>
        <v>930.47500000000002</v>
      </c>
      <c r="T104" s="265">
        <f>E104+апр!I104</f>
        <v>764.16499999999996</v>
      </c>
      <c r="U104" s="262">
        <f>F104+апр!J104</f>
        <v>798.98400000000004</v>
      </c>
      <c r="V104" s="261"/>
      <c r="W104" s="261"/>
      <c r="X104" s="261"/>
    </row>
    <row r="105" spans="1:24" ht="17.25" hidden="1" customHeight="1">
      <c r="A105" s="24" t="s">
        <v>243</v>
      </c>
      <c r="B105" s="20" t="s">
        <v>100</v>
      </c>
      <c r="C105" s="8" t="s">
        <v>4</v>
      </c>
      <c r="D105" s="10">
        <v>43.570999999999998</v>
      </c>
      <c r="E105" s="8">
        <v>43.582999999999998</v>
      </c>
      <c r="F105" s="8"/>
      <c r="G105" s="10">
        <f t="shared" si="50"/>
        <v>-43.582999999999998</v>
      </c>
      <c r="H105" s="10">
        <f>D105+октябрь!H105</f>
        <v>479.28100000000006</v>
      </c>
      <c r="I105" s="8">
        <f>E105+сентябрь!I105</f>
        <v>435.82999999999993</v>
      </c>
      <c r="J105" s="10">
        <v>986.06899999999996</v>
      </c>
      <c r="K105" s="10">
        <f t="shared" si="51"/>
        <v>550.23900000000003</v>
      </c>
      <c r="L105" s="16">
        <f t="shared" si="56"/>
        <v>126.25083174632314</v>
      </c>
      <c r="M105" s="220"/>
      <c r="N105" s="221"/>
      <c r="O105" s="263">
        <f t="shared" si="57"/>
        <v>506.7879999999999</v>
      </c>
      <c r="P105" s="264">
        <f t="shared" si="58"/>
        <v>105.73922187610188</v>
      </c>
      <c r="Q105" s="114">
        <f>98.54+237.46+650.069</f>
        <v>986.06899999999996</v>
      </c>
      <c r="R105" s="261"/>
      <c r="S105" s="261">
        <f t="shared" si="47"/>
        <v>217.85499999999999</v>
      </c>
      <c r="T105" s="265">
        <f>E105+апр!I105</f>
        <v>217.91499999999999</v>
      </c>
      <c r="U105" s="262">
        <f>F105+апр!J105</f>
        <v>221.631</v>
      </c>
      <c r="V105" s="261"/>
      <c r="W105" s="261"/>
      <c r="X105" s="261"/>
    </row>
    <row r="106" spans="1:24" ht="28.5" hidden="1" customHeight="1">
      <c r="A106" s="8" t="s">
        <v>244</v>
      </c>
      <c r="B106" s="20" t="s">
        <v>101</v>
      </c>
      <c r="C106" s="8" t="s">
        <v>4</v>
      </c>
      <c r="D106" s="10">
        <v>116.209</v>
      </c>
      <c r="E106" s="8">
        <v>82.917000000000002</v>
      </c>
      <c r="F106" s="55"/>
      <c r="G106" s="10">
        <f t="shared" si="50"/>
        <v>-82.917000000000002</v>
      </c>
      <c r="H106" s="10">
        <f>D106+октябрь!H106</f>
        <v>1278.2990000000004</v>
      </c>
      <c r="I106" s="8">
        <f>E106+сентябрь!I106</f>
        <v>829.17000000000019</v>
      </c>
      <c r="J106" s="10">
        <v>986.28200000000004</v>
      </c>
      <c r="K106" s="10">
        <f t="shared" si="51"/>
        <v>157.11199999999985</v>
      </c>
      <c r="L106" s="16">
        <f t="shared" si="56"/>
        <v>18.94810473123724</v>
      </c>
      <c r="M106" s="231" t="s">
        <v>287</v>
      </c>
      <c r="N106" s="232"/>
      <c r="O106" s="263">
        <f t="shared" si="57"/>
        <v>-292.01700000000039</v>
      </c>
      <c r="P106" s="264">
        <f t="shared" si="58"/>
        <v>-22.844185906427235</v>
      </c>
      <c r="Q106" s="117">
        <f>100.833+885.449</f>
        <v>986.28199999999993</v>
      </c>
      <c r="R106" s="261"/>
      <c r="S106" s="261">
        <f t="shared" si="47"/>
        <v>581.04500000000007</v>
      </c>
      <c r="T106" s="265">
        <f>E106+апр!I106</f>
        <v>414.58500000000004</v>
      </c>
      <c r="U106" s="262">
        <f>F106+апр!J106</f>
        <v>453.6</v>
      </c>
      <c r="V106" s="261"/>
      <c r="W106" s="261"/>
      <c r="X106" s="261"/>
    </row>
    <row r="107" spans="1:24" ht="37.5" hidden="1" customHeight="1">
      <c r="A107" s="8" t="s">
        <v>245</v>
      </c>
      <c r="B107" s="20" t="s">
        <v>102</v>
      </c>
      <c r="C107" s="8" t="s">
        <v>4</v>
      </c>
      <c r="D107" s="10">
        <v>26.315000000000001</v>
      </c>
      <c r="E107" s="8">
        <v>26.332999999999998</v>
      </c>
      <c r="F107" s="54"/>
      <c r="G107" s="10">
        <f t="shared" si="50"/>
        <v>-26.332999999999998</v>
      </c>
      <c r="H107" s="10">
        <f>D107+октябрь!H107</f>
        <v>289.46500000000003</v>
      </c>
      <c r="I107" s="8">
        <f>E107+сентябрь!I107</f>
        <v>263.33</v>
      </c>
      <c r="J107" s="10">
        <f>F107+сентябрь!J107</f>
        <v>521.75099999999998</v>
      </c>
      <c r="K107" s="10">
        <f t="shared" si="51"/>
        <v>258.42099999999999</v>
      </c>
      <c r="L107" s="16">
        <f t="shared" si="56"/>
        <v>98.135799187331486</v>
      </c>
      <c r="M107" s="220"/>
      <c r="N107" s="221"/>
      <c r="O107" s="263">
        <f t="shared" si="57"/>
        <v>232.28599999999994</v>
      </c>
      <c r="P107" s="264">
        <f t="shared" si="58"/>
        <v>80.24666194531288</v>
      </c>
      <c r="Q107" s="114">
        <f>1.175+106.88+33.63+4+7+8.629+29.998+40.6+29.894</f>
        <v>261.80599999999998</v>
      </c>
      <c r="R107" s="261"/>
      <c r="S107" s="261">
        <f t="shared" si="47"/>
        <v>131.57500000000002</v>
      </c>
      <c r="T107" s="265">
        <f>E107+апр!I107</f>
        <v>131.66499999999999</v>
      </c>
      <c r="U107" s="262">
        <f>F107+апр!J107</f>
        <v>123.75300000000001</v>
      </c>
      <c r="V107" s="261"/>
      <c r="W107" s="261"/>
      <c r="X107" s="261"/>
    </row>
    <row r="108" spans="1:24" ht="35.25" hidden="1" customHeight="1">
      <c r="A108" s="8" t="s">
        <v>103</v>
      </c>
      <c r="B108" s="20" t="s">
        <v>104</v>
      </c>
      <c r="C108" s="8" t="s">
        <v>4</v>
      </c>
      <c r="D108" s="10">
        <v>0</v>
      </c>
      <c r="E108" s="8"/>
      <c r="F108" s="8"/>
      <c r="G108" s="10">
        <f t="shared" si="50"/>
        <v>0</v>
      </c>
      <c r="H108" s="10">
        <f>D108+октябрь!H108</f>
        <v>0</v>
      </c>
      <c r="I108" s="8">
        <f>E108+сентябрь!I108</f>
        <v>0</v>
      </c>
      <c r="J108" s="10">
        <f>F108+сентябрь!J108</f>
        <v>63.7</v>
      </c>
      <c r="K108" s="10">
        <f t="shared" si="51"/>
        <v>63.7</v>
      </c>
      <c r="L108" s="16" t="e">
        <f t="shared" si="56"/>
        <v>#DIV/0!</v>
      </c>
      <c r="M108" s="220"/>
      <c r="N108" s="221"/>
      <c r="O108" s="263">
        <f t="shared" si="57"/>
        <v>63.7</v>
      </c>
      <c r="P108" s="264" t="e">
        <f t="shared" si="58"/>
        <v>#DIV/0!</v>
      </c>
      <c r="Q108" s="114"/>
      <c r="R108" s="261"/>
      <c r="S108" s="261">
        <f t="shared" si="47"/>
        <v>0</v>
      </c>
      <c r="T108" s="265">
        <f>E108+апр!I108</f>
        <v>0</v>
      </c>
      <c r="U108" s="262">
        <f>F108+апр!J108</f>
        <v>0</v>
      </c>
      <c r="V108" s="261"/>
      <c r="W108" s="261"/>
      <c r="X108" s="261"/>
    </row>
    <row r="109" spans="1:24" ht="17.25" hidden="1" customHeight="1">
      <c r="A109" s="18" t="s">
        <v>246</v>
      </c>
      <c r="B109" s="20" t="s">
        <v>106</v>
      </c>
      <c r="C109" s="8" t="s">
        <v>4</v>
      </c>
      <c r="D109" s="10">
        <v>91.483999999999995</v>
      </c>
      <c r="E109" s="8">
        <v>58.167000000000002</v>
      </c>
      <c r="F109" s="55"/>
      <c r="G109" s="10">
        <f t="shared" si="50"/>
        <v>-58.167000000000002</v>
      </c>
      <c r="H109" s="10">
        <f>D109+октябрь!H109</f>
        <v>1006.3240000000002</v>
      </c>
      <c r="I109" s="8">
        <f>E109+сентябрь!I109</f>
        <v>581.67000000000019</v>
      </c>
      <c r="J109" s="10">
        <f>45.621+63.881+0.861+12.59+106.448+137.018+1.942+29.731+0.3</f>
        <v>398.392</v>
      </c>
      <c r="K109" s="10">
        <f t="shared" si="51"/>
        <v>-183.27800000000019</v>
      </c>
      <c r="L109" s="16">
        <f t="shared" si="56"/>
        <v>-31.50893118091016</v>
      </c>
      <c r="M109" s="220"/>
      <c r="N109" s="221"/>
      <c r="O109" s="263">
        <f t="shared" si="57"/>
        <v>-607.93200000000024</v>
      </c>
      <c r="P109" s="264">
        <f t="shared" si="58"/>
        <v>-60.411159825265038</v>
      </c>
      <c r="Q109" s="114"/>
      <c r="R109" s="261"/>
      <c r="S109" s="261">
        <f t="shared" si="47"/>
        <v>457.41999999999996</v>
      </c>
      <c r="T109" s="265">
        <f>E109+апр!I109</f>
        <v>290.83500000000004</v>
      </c>
      <c r="U109" s="262">
        <f>F109+апр!J109</f>
        <v>146.83699999999999</v>
      </c>
      <c r="V109" s="261"/>
      <c r="W109" s="261"/>
      <c r="X109" s="261"/>
    </row>
    <row r="110" spans="1:24" ht="17.25" customHeight="1">
      <c r="A110" s="17" t="s">
        <v>247</v>
      </c>
      <c r="B110" s="6" t="s">
        <v>107</v>
      </c>
      <c r="C110" s="8" t="s">
        <v>4</v>
      </c>
      <c r="D110" s="10">
        <f>D111+D115+D119+D123+D124+D125+D126+D127+D128+D129+D130+D131+D132+D133+D134+D135</f>
        <v>1562.1809999999998</v>
      </c>
      <c r="E110" s="10">
        <f>E111+E115+E119+E123+E124+E125+E126+E127+E128+E129+E130+E131+E132+E133+E134+E135+E136+E137</f>
        <v>1699.25</v>
      </c>
      <c r="F110" s="10">
        <f>F111+F115+F119+F123+F124+F125+F126+F127+F128+F129+F130+F131+F132+F133+F134+F135+F136+F137+F138+F139+F140+F141+F142</f>
        <v>357.79</v>
      </c>
      <c r="G110" s="10">
        <f t="shared" si="50"/>
        <v>-1341.46</v>
      </c>
      <c r="H110" s="10">
        <f>H111+H115+H119+H123+H124+H125+H126+H127+H128+H129+H130+H131+H132+H133+H134+H135</f>
        <v>17069.720000000005</v>
      </c>
      <c r="I110" s="10">
        <f>I111+I115+I119+I123+I124+I125+I126+I127+I128+I129+I130+I131+I132+I133+I134+I135+I136+I137</f>
        <v>16992.5</v>
      </c>
      <c r="J110" s="10">
        <f>60.827+1.175+520.998+3.439+972.214+3.5+687.403+79.99+156+1.118+110+52+18+180+300+316.678+212.4+17.529+102.434+1212.12+37+63.7+39.139+379.989+106.88+210+208.75+1878.912+310+250+180+368+237.46+29.894+650.069+137.018+33.63+4+7+8.629+2079.103+1473.109+337.821+1+1.942+357.63+554.187+318.54+27.008+29.731+885.449+2664.74+39.732+40+0.3+8.437+29.998+40.6+210+417.5+2520.431+500+315</f>
        <v>23000.152999999998</v>
      </c>
      <c r="K110" s="10">
        <f t="shared" si="51"/>
        <v>6007.6529999999984</v>
      </c>
      <c r="L110" s="16">
        <f t="shared" si="56"/>
        <v>35.354732970428124</v>
      </c>
      <c r="M110" s="226"/>
      <c r="N110" s="221"/>
      <c r="O110" s="263">
        <f t="shared" si="57"/>
        <v>5930.4329999999936</v>
      </c>
      <c r="P110" s="264">
        <f t="shared" si="58"/>
        <v>34.742415224151259</v>
      </c>
      <c r="Q110" s="114"/>
      <c r="R110" s="261"/>
      <c r="S110" s="261">
        <f t="shared" si="47"/>
        <v>7810.9049999999988</v>
      </c>
      <c r="T110" s="265">
        <f>E110+апр!I110</f>
        <v>8496.25</v>
      </c>
      <c r="U110" s="262">
        <f>F110+апр!J110</f>
        <v>7013.8595000000005</v>
      </c>
      <c r="V110" s="261"/>
      <c r="W110" s="261"/>
      <c r="X110" s="261"/>
    </row>
    <row r="111" spans="1:24" ht="18" hidden="1" customHeight="1">
      <c r="A111" s="18" t="s">
        <v>248</v>
      </c>
      <c r="B111" s="9" t="s">
        <v>108</v>
      </c>
      <c r="C111" s="8" t="s">
        <v>4</v>
      </c>
      <c r="D111" s="10">
        <v>431.38099999999997</v>
      </c>
      <c r="E111" s="8">
        <v>431.41699999999997</v>
      </c>
      <c r="F111" s="10">
        <f>F112+F113+F114</f>
        <v>0</v>
      </c>
      <c r="G111" s="10">
        <f t="shared" si="50"/>
        <v>-431.41699999999997</v>
      </c>
      <c r="H111" s="10">
        <f>D111+октябрь!H111</f>
        <v>4745.1909999999998</v>
      </c>
      <c r="I111" s="8">
        <f>E111+сентябрь!I111</f>
        <v>4314.17</v>
      </c>
      <c r="J111" s="10">
        <f>J112+J113+J114</f>
        <v>3971.5509999999999</v>
      </c>
      <c r="K111" s="10">
        <f t="shared" si="51"/>
        <v>-342.61900000000014</v>
      </c>
      <c r="L111" s="16">
        <f t="shared" si="56"/>
        <v>-7.9417130062097723</v>
      </c>
      <c r="M111" s="231"/>
      <c r="N111" s="232"/>
      <c r="O111" s="263">
        <f t="shared" si="57"/>
        <v>-773.63999999999987</v>
      </c>
      <c r="P111" s="264">
        <f t="shared" si="58"/>
        <v>-16.303664067473782</v>
      </c>
      <c r="Q111" s="117"/>
      <c r="R111" s="261"/>
      <c r="S111" s="261">
        <f t="shared" si="47"/>
        <v>2156.9049999999997</v>
      </c>
      <c r="T111" s="265">
        <f>E111+апр!I111</f>
        <v>2157.085</v>
      </c>
      <c r="U111" s="262">
        <f>F111+апр!J111</f>
        <v>1188.6309999999999</v>
      </c>
      <c r="V111" s="261"/>
      <c r="W111" s="261"/>
      <c r="X111" s="261"/>
    </row>
    <row r="112" spans="1:24" ht="17.25" hidden="1" customHeight="1">
      <c r="A112" s="18"/>
      <c r="B112" s="9" t="s">
        <v>221</v>
      </c>
      <c r="C112" s="8" t="s">
        <v>4</v>
      </c>
      <c r="D112" s="10"/>
      <c r="E112" s="8"/>
      <c r="F112" s="54"/>
      <c r="G112" s="10">
        <f t="shared" si="50"/>
        <v>0</v>
      </c>
      <c r="H112" s="10">
        <f>D112+октябрь!H112</f>
        <v>0</v>
      </c>
      <c r="I112" s="8"/>
      <c r="J112" s="10">
        <v>3525.73</v>
      </c>
      <c r="K112" s="10">
        <f t="shared" si="51"/>
        <v>3525.73</v>
      </c>
      <c r="L112" s="16"/>
      <c r="M112" s="220"/>
      <c r="N112" s="221"/>
      <c r="O112" s="263">
        <f t="shared" si="57"/>
        <v>3525.73</v>
      </c>
      <c r="P112" s="264" t="e">
        <f t="shared" si="58"/>
        <v>#DIV/0!</v>
      </c>
      <c r="Q112" s="114">
        <f>860.99+2664.74</f>
        <v>3525.7299999999996</v>
      </c>
      <c r="R112" s="261"/>
      <c r="S112" s="261">
        <f t="shared" si="47"/>
        <v>0</v>
      </c>
      <c r="T112" s="265">
        <f>E112+апр!I112</f>
        <v>0</v>
      </c>
      <c r="U112" s="262">
        <f>F112+апр!J112</f>
        <v>966.81</v>
      </c>
      <c r="V112" s="261"/>
      <c r="W112" s="261"/>
      <c r="X112" s="261"/>
    </row>
    <row r="113" spans="1:24" ht="36" hidden="1" customHeight="1">
      <c r="A113" s="18"/>
      <c r="B113" s="9" t="s">
        <v>222</v>
      </c>
      <c r="C113" s="8" t="s">
        <v>4</v>
      </c>
      <c r="D113" s="10"/>
      <c r="E113" s="8"/>
      <c r="F113" s="54"/>
      <c r="G113" s="10">
        <f t="shared" si="50"/>
        <v>0</v>
      </c>
      <c r="H113" s="10">
        <f>D113+октябрь!H113</f>
        <v>0</v>
      </c>
      <c r="I113" s="8"/>
      <c r="J113" s="10">
        <v>445.82100000000003</v>
      </c>
      <c r="K113" s="10">
        <f t="shared" si="51"/>
        <v>445.82100000000003</v>
      </c>
      <c r="L113" s="16"/>
      <c r="M113" s="220"/>
      <c r="N113" s="221"/>
      <c r="O113" s="263">
        <f t="shared" si="57"/>
        <v>445.82100000000003</v>
      </c>
      <c r="P113" s="264" t="e">
        <f t="shared" si="58"/>
        <v>#DIV/0!</v>
      </c>
      <c r="Q113" s="114">
        <f>108+337.821</f>
        <v>445.82100000000003</v>
      </c>
      <c r="R113" s="261"/>
      <c r="S113" s="261">
        <f t="shared" si="47"/>
        <v>0</v>
      </c>
      <c r="T113" s="265">
        <f>E113+апр!I113</f>
        <v>0</v>
      </c>
      <c r="U113" s="262">
        <f>F113+апр!J113</f>
        <v>221.821</v>
      </c>
      <c r="V113" s="261"/>
      <c r="W113" s="261"/>
      <c r="X113" s="261"/>
    </row>
    <row r="114" spans="1:24" ht="17.25" hidden="1" customHeight="1">
      <c r="A114" s="18"/>
      <c r="B114" s="9" t="s">
        <v>223</v>
      </c>
      <c r="C114" s="8" t="s">
        <v>4</v>
      </c>
      <c r="D114" s="10"/>
      <c r="E114" s="8"/>
      <c r="F114" s="8"/>
      <c r="G114" s="10">
        <f t="shared" si="50"/>
        <v>0</v>
      </c>
      <c r="H114" s="10">
        <f>D114+октябрь!H114</f>
        <v>0</v>
      </c>
      <c r="I114" s="8"/>
      <c r="J114" s="10">
        <f>F114+сентябрь!J114</f>
        <v>0</v>
      </c>
      <c r="K114" s="10">
        <f t="shared" si="51"/>
        <v>0</v>
      </c>
      <c r="L114" s="16"/>
      <c r="M114" s="220"/>
      <c r="N114" s="221"/>
      <c r="O114" s="263">
        <f t="shared" si="57"/>
        <v>0</v>
      </c>
      <c r="P114" s="264" t="e">
        <f t="shared" si="58"/>
        <v>#DIV/0!</v>
      </c>
      <c r="Q114" s="114"/>
      <c r="R114" s="261"/>
      <c r="S114" s="261">
        <f t="shared" si="47"/>
        <v>0</v>
      </c>
      <c r="T114" s="265">
        <f>E114+апр!I114</f>
        <v>0</v>
      </c>
      <c r="U114" s="262">
        <f>F114+апр!J114</f>
        <v>0</v>
      </c>
      <c r="V114" s="261"/>
      <c r="W114" s="261"/>
      <c r="X114" s="261"/>
    </row>
    <row r="115" spans="1:24" ht="17.25" hidden="1" customHeight="1">
      <c r="A115" s="18" t="s">
        <v>249</v>
      </c>
      <c r="B115" s="9" t="s">
        <v>109</v>
      </c>
      <c r="C115" s="8" t="s">
        <v>4</v>
      </c>
      <c r="D115" s="10">
        <f t="shared" ref="D115" si="67">D116+D117+D118</f>
        <v>121.34400000000001</v>
      </c>
      <c r="E115" s="10">
        <v>121.333</v>
      </c>
      <c r="F115" s="10"/>
      <c r="G115" s="10">
        <f t="shared" si="50"/>
        <v>-121.333</v>
      </c>
      <c r="H115" s="10">
        <f t="shared" ref="H115" si="68">H116+H117+H118</f>
        <v>1334.7840000000001</v>
      </c>
      <c r="I115" s="8">
        <f>E115+сентябрь!I115</f>
        <v>1213.33</v>
      </c>
      <c r="J115" s="10">
        <f t="shared" ref="J115" si="69">J116+J117+J118</f>
        <v>368</v>
      </c>
      <c r="K115" s="10">
        <f t="shared" si="51"/>
        <v>-845.32999999999993</v>
      </c>
      <c r="L115" s="16">
        <f t="shared" si="56"/>
        <v>-69.670246346830623</v>
      </c>
      <c r="M115" s="220"/>
      <c r="N115" s="221"/>
      <c r="O115" s="263">
        <f t="shared" si="57"/>
        <v>-966.78400000000011</v>
      </c>
      <c r="P115" s="264">
        <f t="shared" si="58"/>
        <v>-72.429996164173389</v>
      </c>
      <c r="Q115" s="114"/>
      <c r="R115" s="261"/>
      <c r="S115" s="261">
        <f t="shared" si="47"/>
        <v>606.72</v>
      </c>
      <c r="T115" s="265">
        <f>E115+апр!I115</f>
        <v>606.66499999999996</v>
      </c>
      <c r="U115" s="262">
        <f>F115+апр!J115</f>
        <v>0</v>
      </c>
      <c r="V115" s="261"/>
      <c r="W115" s="261"/>
      <c r="X115" s="261"/>
    </row>
    <row r="116" spans="1:24" ht="36" hidden="1" customHeight="1">
      <c r="A116" s="8" t="s">
        <v>250</v>
      </c>
      <c r="B116" s="9" t="s">
        <v>240</v>
      </c>
      <c r="C116" s="8" t="s">
        <v>4</v>
      </c>
      <c r="D116" s="10">
        <v>86.322000000000003</v>
      </c>
      <c r="E116" s="8"/>
      <c r="F116" s="8"/>
      <c r="G116" s="10">
        <f t="shared" si="50"/>
        <v>0</v>
      </c>
      <c r="H116" s="10">
        <f>D116+октябрь!H116</f>
        <v>949.54200000000003</v>
      </c>
      <c r="I116" s="8"/>
      <c r="J116" s="10">
        <f>F116+сентябрь!J116</f>
        <v>0</v>
      </c>
      <c r="K116" s="10">
        <f t="shared" si="51"/>
        <v>0</v>
      </c>
      <c r="L116" s="16"/>
      <c r="M116" s="220"/>
      <c r="N116" s="221"/>
      <c r="O116" s="263">
        <f t="shared" si="57"/>
        <v>-949.54200000000003</v>
      </c>
      <c r="P116" s="264">
        <f t="shared" si="58"/>
        <v>-100</v>
      </c>
      <c r="Q116" s="114"/>
      <c r="R116" s="261"/>
      <c r="S116" s="261">
        <f t="shared" si="47"/>
        <v>431.61</v>
      </c>
      <c r="T116" s="265">
        <f>E116+апр!I116</f>
        <v>0</v>
      </c>
      <c r="U116" s="262">
        <f>F116+апр!J116</f>
        <v>0</v>
      </c>
      <c r="V116" s="261"/>
      <c r="W116" s="261"/>
      <c r="X116" s="261"/>
    </row>
    <row r="117" spans="1:24" ht="42.75" hidden="1" customHeight="1">
      <c r="A117" s="8" t="s">
        <v>251</v>
      </c>
      <c r="B117" s="9" t="s">
        <v>241</v>
      </c>
      <c r="C117" s="8" t="s">
        <v>4</v>
      </c>
      <c r="D117" s="10">
        <v>31.76</v>
      </c>
      <c r="E117" s="8"/>
      <c r="F117" s="8"/>
      <c r="G117" s="10">
        <f t="shared" si="50"/>
        <v>0</v>
      </c>
      <c r="H117" s="10">
        <f>D117+октябрь!H117</f>
        <v>349.35999999999996</v>
      </c>
      <c r="I117" s="8"/>
      <c r="J117" s="10">
        <v>368</v>
      </c>
      <c r="K117" s="10">
        <f t="shared" si="51"/>
        <v>368</v>
      </c>
      <c r="L117" s="16"/>
      <c r="M117" s="220"/>
      <c r="N117" s="221"/>
      <c r="O117" s="263">
        <f t="shared" si="57"/>
        <v>18.640000000000043</v>
      </c>
      <c r="P117" s="264">
        <f t="shared" si="58"/>
        <v>5.3354705747652984</v>
      </c>
      <c r="Q117" s="114"/>
      <c r="R117" s="261"/>
      <c r="S117" s="261">
        <f t="shared" si="47"/>
        <v>158.80000000000001</v>
      </c>
      <c r="T117" s="265">
        <f>E117+апр!I117</f>
        <v>0</v>
      </c>
      <c r="U117" s="262">
        <f>F117+апр!J117</f>
        <v>0</v>
      </c>
      <c r="V117" s="261"/>
      <c r="W117" s="261"/>
      <c r="X117" s="261"/>
    </row>
    <row r="118" spans="1:24" ht="17.25" hidden="1" customHeight="1">
      <c r="A118" s="8" t="s">
        <v>252</v>
      </c>
      <c r="B118" s="9" t="s">
        <v>110</v>
      </c>
      <c r="C118" s="8" t="s">
        <v>4</v>
      </c>
      <c r="D118" s="10">
        <v>3.262</v>
      </c>
      <c r="E118" s="8"/>
      <c r="F118" s="8"/>
      <c r="G118" s="10">
        <f t="shared" si="50"/>
        <v>0</v>
      </c>
      <c r="H118" s="10">
        <f>D118+октябрь!H118</f>
        <v>35.881999999999998</v>
      </c>
      <c r="I118" s="8"/>
      <c r="J118" s="10">
        <f>F118+сентябрь!J118</f>
        <v>0</v>
      </c>
      <c r="K118" s="10">
        <f t="shared" si="51"/>
        <v>0</v>
      </c>
      <c r="L118" s="16"/>
      <c r="M118" s="220"/>
      <c r="N118" s="221"/>
      <c r="O118" s="263">
        <f t="shared" si="57"/>
        <v>-35.881999999999998</v>
      </c>
      <c r="P118" s="264">
        <f t="shared" si="58"/>
        <v>-100</v>
      </c>
      <c r="Q118" s="114"/>
      <c r="R118" s="261"/>
      <c r="S118" s="261">
        <f t="shared" si="47"/>
        <v>16.309999999999999</v>
      </c>
      <c r="T118" s="265">
        <f>E118+апр!I118</f>
        <v>0</v>
      </c>
      <c r="U118" s="262">
        <f>F118+апр!J118</f>
        <v>0</v>
      </c>
      <c r="V118" s="261"/>
      <c r="W118" s="261"/>
      <c r="X118" s="261"/>
    </row>
    <row r="119" spans="1:24" ht="34.5" hidden="1" customHeight="1">
      <c r="A119" s="18" t="s">
        <v>253</v>
      </c>
      <c r="B119" s="9" t="s">
        <v>111</v>
      </c>
      <c r="C119" s="8" t="s">
        <v>4</v>
      </c>
      <c r="D119" s="10">
        <f>D120</f>
        <v>380.84899999999999</v>
      </c>
      <c r="E119" s="10">
        <v>356.5</v>
      </c>
      <c r="F119" s="10">
        <f>F120</f>
        <v>357.79</v>
      </c>
      <c r="G119" s="10">
        <f t="shared" si="50"/>
        <v>1.2900000000000205</v>
      </c>
      <c r="H119" s="10">
        <f>H120</f>
        <v>4189.3390000000009</v>
      </c>
      <c r="I119" s="8">
        <f>E119+сентябрь!I119</f>
        <v>3565</v>
      </c>
      <c r="J119" s="10">
        <f>J120</f>
        <v>3841.5915</v>
      </c>
      <c r="K119" s="10">
        <f t="shared" si="51"/>
        <v>276.5915</v>
      </c>
      <c r="L119" s="16">
        <f t="shared" si="56"/>
        <v>7.7585273492286113</v>
      </c>
      <c r="M119" s="220"/>
      <c r="N119" s="221"/>
      <c r="O119" s="263">
        <f t="shared" si="57"/>
        <v>-347.74750000000085</v>
      </c>
      <c r="P119" s="264">
        <f t="shared" si="58"/>
        <v>-8.3007725085031492</v>
      </c>
      <c r="Q119" s="114"/>
      <c r="R119" s="261"/>
      <c r="S119" s="261">
        <f t="shared" si="47"/>
        <v>1904.2449999999999</v>
      </c>
      <c r="T119" s="265">
        <f>E119+апр!I119</f>
        <v>1782.5</v>
      </c>
      <c r="U119" s="262">
        <f>F119+апр!J119</f>
        <v>1684.6315</v>
      </c>
      <c r="V119" s="261"/>
      <c r="W119" s="261"/>
      <c r="X119" s="261"/>
    </row>
    <row r="120" spans="1:24" ht="17.25" hidden="1" customHeight="1">
      <c r="A120" s="8"/>
      <c r="B120" s="25" t="s">
        <v>112</v>
      </c>
      <c r="C120" s="8" t="s">
        <v>113</v>
      </c>
      <c r="D120" s="10">
        <v>380.84899999999999</v>
      </c>
      <c r="E120" s="10">
        <f>E122*E121</f>
        <v>356.5</v>
      </c>
      <c r="F120" s="54">
        <f>F122*F121</f>
        <v>357.79</v>
      </c>
      <c r="G120" s="10">
        <f t="shared" si="50"/>
        <v>1.2900000000000205</v>
      </c>
      <c r="H120" s="10">
        <f>D120+октябрь!H120</f>
        <v>4189.3390000000009</v>
      </c>
      <c r="I120" s="8">
        <f>E120+сентябрь!I120</f>
        <v>3565</v>
      </c>
      <c r="J120" s="10">
        <f>F120+сентябрь!J120</f>
        <v>3841.5915</v>
      </c>
      <c r="K120" s="10">
        <f t="shared" si="51"/>
        <v>276.5915</v>
      </c>
      <c r="L120" s="16">
        <f t="shared" si="56"/>
        <v>7.7585273492286113</v>
      </c>
      <c r="M120" s="220"/>
      <c r="N120" s="221"/>
      <c r="O120" s="263">
        <f t="shared" si="57"/>
        <v>-347.74750000000085</v>
      </c>
      <c r="P120" s="264">
        <f t="shared" si="58"/>
        <v>-8.3007725085031492</v>
      </c>
      <c r="Q120" s="114"/>
      <c r="R120" s="261"/>
      <c r="S120" s="261">
        <f t="shared" si="47"/>
        <v>1904.2449999999999</v>
      </c>
      <c r="T120" s="265">
        <f>E120+апр!I120</f>
        <v>1782.5</v>
      </c>
      <c r="U120" s="262">
        <f>F120+апр!J120</f>
        <v>1684.6315</v>
      </c>
      <c r="V120" s="261"/>
      <c r="W120" s="261"/>
      <c r="X120" s="261"/>
    </row>
    <row r="121" spans="1:24" ht="17.25" hidden="1" customHeight="1">
      <c r="A121" s="8"/>
      <c r="B121" s="12" t="s">
        <v>13</v>
      </c>
      <c r="C121" s="13" t="s">
        <v>114</v>
      </c>
      <c r="D121" s="10">
        <v>761.69899999999996</v>
      </c>
      <c r="E121" s="16">
        <f>E119/E122</f>
        <v>713</v>
      </c>
      <c r="F121" s="10">
        <f>F217</f>
        <v>715.58</v>
      </c>
      <c r="G121" s="10">
        <f t="shared" si="50"/>
        <v>2.5800000000000409</v>
      </c>
      <c r="H121" s="10">
        <f>D121+октябрь!H121</f>
        <v>8378.6889999999985</v>
      </c>
      <c r="I121" s="8">
        <f>E121+сентябрь!I121</f>
        <v>7130</v>
      </c>
      <c r="J121" s="10">
        <f>F121+сентябрь!J121</f>
        <v>7683.1819999999998</v>
      </c>
      <c r="K121" s="10">
        <f t="shared" si="51"/>
        <v>553.18199999999979</v>
      </c>
      <c r="L121" s="16">
        <f t="shared" si="56"/>
        <v>7.7585133239831672</v>
      </c>
      <c r="M121" s="220"/>
      <c r="N121" s="221"/>
      <c r="O121" s="263">
        <f t="shared" si="57"/>
        <v>-695.5069999999987</v>
      </c>
      <c r="P121" s="264">
        <f t="shared" si="58"/>
        <v>-8.3009048312928044</v>
      </c>
      <c r="Q121" s="114"/>
      <c r="R121" s="261"/>
      <c r="S121" s="261">
        <f t="shared" si="47"/>
        <v>3808.4949999999999</v>
      </c>
      <c r="T121" s="265">
        <f>E121+апр!I121</f>
        <v>3565</v>
      </c>
      <c r="U121" s="262">
        <f>F121+апр!J121</f>
        <v>3369.2620000000002</v>
      </c>
      <c r="V121" s="261"/>
      <c r="W121" s="261"/>
      <c r="X121" s="261"/>
    </row>
    <row r="122" spans="1:24" ht="17.25" hidden="1" customHeight="1">
      <c r="A122" s="8"/>
      <c r="B122" s="12" t="s">
        <v>15</v>
      </c>
      <c r="C122" s="13" t="s">
        <v>16</v>
      </c>
      <c r="D122" s="11">
        <v>0.5</v>
      </c>
      <c r="E122" s="11">
        <v>0.5</v>
      </c>
      <c r="F122" s="11">
        <v>0.5</v>
      </c>
      <c r="G122" s="10">
        <f t="shared" si="50"/>
        <v>0</v>
      </c>
      <c r="H122" s="10">
        <f>D122+октябрь!H122</f>
        <v>3.5</v>
      </c>
      <c r="I122" s="11">
        <v>0.5</v>
      </c>
      <c r="J122" s="11">
        <v>0.5</v>
      </c>
      <c r="K122" s="10">
        <f t="shared" si="51"/>
        <v>0</v>
      </c>
      <c r="L122" s="16">
        <f t="shared" si="56"/>
        <v>0</v>
      </c>
      <c r="M122" s="220"/>
      <c r="N122" s="221"/>
      <c r="O122" s="263">
        <f t="shared" si="57"/>
        <v>-3</v>
      </c>
      <c r="P122" s="264">
        <f t="shared" si="58"/>
        <v>-85.714285714285708</v>
      </c>
      <c r="Q122" s="114"/>
      <c r="R122" s="261"/>
      <c r="S122" s="261">
        <f t="shared" si="47"/>
        <v>2.5</v>
      </c>
      <c r="T122" s="265">
        <f>E122+апр!I122</f>
        <v>1</v>
      </c>
      <c r="U122" s="262">
        <f>F122+апр!J122</f>
        <v>1</v>
      </c>
      <c r="V122" s="261"/>
      <c r="W122" s="261"/>
      <c r="X122" s="261"/>
    </row>
    <row r="123" spans="1:24" ht="17.25" hidden="1" customHeight="1">
      <c r="A123" s="18" t="s">
        <v>254</v>
      </c>
      <c r="B123" s="9" t="s">
        <v>115</v>
      </c>
      <c r="C123" s="8" t="s">
        <v>4</v>
      </c>
      <c r="D123" s="10">
        <v>1.1120000000000001</v>
      </c>
      <c r="E123" s="8">
        <v>1.083</v>
      </c>
      <c r="F123" s="8"/>
      <c r="G123" s="10">
        <f t="shared" si="50"/>
        <v>-1.083</v>
      </c>
      <c r="H123" s="10">
        <f>D123+октябрь!H123</f>
        <v>12.232000000000001</v>
      </c>
      <c r="I123" s="8">
        <f>E123+сентябрь!I123</f>
        <v>10.83</v>
      </c>
      <c r="J123" s="10">
        <f>F123+сентябрь!J123</f>
        <v>0</v>
      </c>
      <c r="K123" s="10">
        <f t="shared" si="51"/>
        <v>-10.83</v>
      </c>
      <c r="L123" s="16">
        <f t="shared" si="56"/>
        <v>-100</v>
      </c>
      <c r="M123" s="220"/>
      <c r="N123" s="221"/>
      <c r="O123" s="263">
        <f t="shared" si="57"/>
        <v>-12.232000000000001</v>
      </c>
      <c r="P123" s="264">
        <f t="shared" si="58"/>
        <v>-100</v>
      </c>
      <c r="Q123" s="114"/>
      <c r="R123" s="261"/>
      <c r="S123" s="261">
        <f t="shared" si="47"/>
        <v>5.5600000000000005</v>
      </c>
      <c r="T123" s="265">
        <f>E123+апр!I123</f>
        <v>5.415</v>
      </c>
      <c r="U123" s="262">
        <f>F123+апр!J123</f>
        <v>0</v>
      </c>
      <c r="V123" s="261"/>
      <c r="W123" s="261"/>
      <c r="X123" s="261"/>
    </row>
    <row r="124" spans="1:24" ht="36" hidden="1" customHeight="1">
      <c r="A124" s="18" t="s">
        <v>255</v>
      </c>
      <c r="B124" s="9" t="s">
        <v>116</v>
      </c>
      <c r="C124" s="8" t="s">
        <v>4</v>
      </c>
      <c r="D124" s="10">
        <v>53.17</v>
      </c>
      <c r="E124" s="8">
        <v>52.167000000000002</v>
      </c>
      <c r="F124" s="54"/>
      <c r="G124" s="10">
        <f t="shared" si="50"/>
        <v>-52.167000000000002</v>
      </c>
      <c r="H124" s="10">
        <f>D124+октябрь!H124</f>
        <v>584.87</v>
      </c>
      <c r="I124" s="8">
        <f>E124+сентябрь!I124</f>
        <v>521.67000000000019</v>
      </c>
      <c r="J124" s="10">
        <f>F124+сентябрь!J124</f>
        <v>405</v>
      </c>
      <c r="K124" s="10">
        <f t="shared" si="51"/>
        <v>-116.67000000000019</v>
      </c>
      <c r="L124" s="16">
        <f t="shared" si="56"/>
        <v>-22.364713324515524</v>
      </c>
      <c r="M124" s="220"/>
      <c r="N124" s="221"/>
      <c r="O124" s="263">
        <f t="shared" si="57"/>
        <v>-179.87</v>
      </c>
      <c r="P124" s="264">
        <f t="shared" si="58"/>
        <v>-30.753842734282834</v>
      </c>
      <c r="Q124" s="114">
        <f>135+315</f>
        <v>450</v>
      </c>
      <c r="R124" s="261"/>
      <c r="S124" s="261">
        <f t="shared" si="47"/>
        <v>265.85000000000002</v>
      </c>
      <c r="T124" s="265">
        <f>E124+апр!I124</f>
        <v>260.83500000000004</v>
      </c>
      <c r="U124" s="262">
        <f>F124+апр!J124</f>
        <v>180</v>
      </c>
      <c r="V124" s="261"/>
      <c r="W124" s="261"/>
      <c r="X124" s="261"/>
    </row>
    <row r="125" spans="1:24" ht="41.25" hidden="1" customHeight="1">
      <c r="A125" s="18" t="s">
        <v>256</v>
      </c>
      <c r="B125" s="9" t="s">
        <v>117</v>
      </c>
      <c r="C125" s="8" t="s">
        <v>4</v>
      </c>
      <c r="D125" s="10">
        <v>411.35</v>
      </c>
      <c r="E125" s="8">
        <v>411.33300000000003</v>
      </c>
      <c r="F125" s="55"/>
      <c r="G125" s="10">
        <f t="shared" si="50"/>
        <v>-411.33300000000003</v>
      </c>
      <c r="H125" s="10">
        <f>D125+октябрь!H125</f>
        <v>4524.8500000000004</v>
      </c>
      <c r="I125" s="8">
        <f>E125+сентябрь!I125</f>
        <v>4113.33</v>
      </c>
      <c r="J125" s="10">
        <f>F125+сентябрь!J125</f>
        <v>4513.674</v>
      </c>
      <c r="K125" s="10">
        <f t="shared" si="51"/>
        <v>400.34400000000005</v>
      </c>
      <c r="L125" s="16">
        <f t="shared" si="56"/>
        <v>9.7328441919320863</v>
      </c>
      <c r="M125" s="231" t="s">
        <v>294</v>
      </c>
      <c r="N125" s="232"/>
      <c r="O125" s="263">
        <f t="shared" si="57"/>
        <v>-11.176000000000386</v>
      </c>
      <c r="P125" s="264">
        <f t="shared" si="58"/>
        <v>-0.24699161298165428</v>
      </c>
      <c r="Q125" s="117">
        <f>556.862+787.587+1473.109</f>
        <v>2817.558</v>
      </c>
      <c r="R125" s="261"/>
      <c r="S125" s="261">
        <f t="shared" si="47"/>
        <v>2056.75</v>
      </c>
      <c r="T125" s="265">
        <f>E125+апр!I125</f>
        <v>2056.665</v>
      </c>
      <c r="U125" s="262">
        <f>F125+апр!J125</f>
        <v>2227.3760000000002</v>
      </c>
      <c r="V125" s="261"/>
      <c r="W125" s="261"/>
      <c r="X125" s="261"/>
    </row>
    <row r="126" spans="1:24" ht="55.5" hidden="1" customHeight="1">
      <c r="A126" s="18" t="s">
        <v>257</v>
      </c>
      <c r="B126" s="9" t="s">
        <v>118</v>
      </c>
      <c r="C126" s="8" t="s">
        <v>4</v>
      </c>
      <c r="D126" s="10">
        <v>48.704000000000001</v>
      </c>
      <c r="E126" s="8">
        <v>48.667000000000002</v>
      </c>
      <c r="F126" s="54"/>
      <c r="G126" s="10">
        <f t="shared" si="50"/>
        <v>-48.667000000000002</v>
      </c>
      <c r="H126" s="10">
        <f>D126+октябрь!H126</f>
        <v>535.74400000000003</v>
      </c>
      <c r="I126" s="8">
        <f>E126+сентябрь!I126</f>
        <v>486.67000000000007</v>
      </c>
      <c r="J126" s="10">
        <f>159.3+318.54</f>
        <v>477.84000000000003</v>
      </c>
      <c r="K126" s="10">
        <f t="shared" si="51"/>
        <v>-8.8300000000000409</v>
      </c>
      <c r="L126" s="16">
        <f t="shared" si="56"/>
        <v>-1.814371134444293</v>
      </c>
      <c r="M126" s="220"/>
      <c r="N126" s="221"/>
      <c r="O126" s="263">
        <f t="shared" si="57"/>
        <v>-57.903999999999996</v>
      </c>
      <c r="P126" s="264">
        <f t="shared" si="58"/>
        <v>-10.808147174770038</v>
      </c>
      <c r="Q126" s="114"/>
      <c r="R126" s="261"/>
      <c r="S126" s="261">
        <f t="shared" si="47"/>
        <v>243.52</v>
      </c>
      <c r="T126" s="265">
        <f>E126+апр!I126</f>
        <v>243.33500000000001</v>
      </c>
      <c r="U126" s="262">
        <f>F126+апр!J126</f>
        <v>212.34</v>
      </c>
      <c r="V126" s="261"/>
      <c r="W126" s="261"/>
      <c r="X126" s="261"/>
    </row>
    <row r="127" spans="1:24" ht="17.25" hidden="1" customHeight="1">
      <c r="A127" s="18" t="s">
        <v>258</v>
      </c>
      <c r="B127" s="9" t="s">
        <v>119</v>
      </c>
      <c r="C127" s="8" t="s">
        <v>4</v>
      </c>
      <c r="D127" s="10">
        <v>38.012999999999998</v>
      </c>
      <c r="E127" s="8">
        <v>38</v>
      </c>
      <c r="F127" s="54"/>
      <c r="G127" s="10">
        <f t="shared" si="50"/>
        <v>-38</v>
      </c>
      <c r="H127" s="10">
        <f>D127+сентябрь!H127</f>
        <v>380.12999999999994</v>
      </c>
      <c r="I127" s="8">
        <f>E127+сентябрь!I127</f>
        <v>380</v>
      </c>
      <c r="J127" s="10">
        <f>F127+сентябрь!J127</f>
        <v>210</v>
      </c>
      <c r="K127" s="10">
        <f t="shared" si="51"/>
        <v>-170</v>
      </c>
      <c r="L127" s="16">
        <f t="shared" si="56"/>
        <v>-44.736842105263158</v>
      </c>
      <c r="M127" s="220"/>
      <c r="N127" s="221"/>
      <c r="O127" s="263">
        <f t="shared" si="57"/>
        <v>-170.12999999999994</v>
      </c>
      <c r="P127" s="264">
        <f t="shared" si="58"/>
        <v>-44.755741456870005</v>
      </c>
      <c r="Q127" s="114"/>
      <c r="R127" s="261"/>
      <c r="S127" s="261">
        <f t="shared" si="47"/>
        <v>190.065</v>
      </c>
      <c r="T127" s="265">
        <f>E127+апр!I127</f>
        <v>190</v>
      </c>
      <c r="U127" s="262">
        <f>F127+апр!J127</f>
        <v>105</v>
      </c>
      <c r="V127" s="261"/>
      <c r="W127" s="261"/>
      <c r="X127" s="261"/>
    </row>
    <row r="128" spans="1:24" ht="54" hidden="1" customHeight="1">
      <c r="A128" s="18" t="s">
        <v>259</v>
      </c>
      <c r="B128" s="9" t="s">
        <v>120</v>
      </c>
      <c r="C128" s="8" t="s">
        <v>4</v>
      </c>
      <c r="D128" s="10"/>
      <c r="E128" s="8"/>
      <c r="F128" s="8"/>
      <c r="G128" s="10">
        <f t="shared" si="50"/>
        <v>0</v>
      </c>
      <c r="H128" s="10">
        <f>D128+сентябрь!H128</f>
        <v>0</v>
      </c>
      <c r="I128" s="8">
        <f>E128+сентябрь!I128</f>
        <v>0</v>
      </c>
      <c r="J128" s="10">
        <f>F128+сентябрь!J128</f>
        <v>640.45500000000004</v>
      </c>
      <c r="K128" s="10">
        <f t="shared" si="51"/>
        <v>640.45500000000004</v>
      </c>
      <c r="L128" s="16" t="e">
        <f t="shared" si="56"/>
        <v>#DIV/0!</v>
      </c>
      <c r="M128" s="220"/>
      <c r="N128" s="221"/>
      <c r="O128" s="263">
        <f t="shared" si="57"/>
        <v>640.45500000000004</v>
      </c>
      <c r="P128" s="264" t="e">
        <f t="shared" si="58"/>
        <v>#DIV/0!</v>
      </c>
      <c r="Q128" s="114"/>
      <c r="R128" s="261"/>
      <c r="S128" s="261">
        <f t="shared" si="47"/>
        <v>0</v>
      </c>
      <c r="T128" s="265">
        <f>E128+апр!I128</f>
        <v>0</v>
      </c>
      <c r="U128" s="262">
        <f>F128+апр!J128</f>
        <v>640.45500000000004</v>
      </c>
      <c r="V128" s="261"/>
      <c r="W128" s="261"/>
      <c r="X128" s="261"/>
    </row>
    <row r="129" spans="1:24" ht="34.5" hidden="1" customHeight="1">
      <c r="A129" s="18" t="s">
        <v>121</v>
      </c>
      <c r="B129" s="9" t="s">
        <v>218</v>
      </c>
      <c r="C129" s="8" t="s">
        <v>4</v>
      </c>
      <c r="D129" s="10">
        <v>0</v>
      </c>
      <c r="E129" s="8"/>
      <c r="F129" s="8"/>
      <c r="G129" s="10">
        <f t="shared" si="50"/>
        <v>0</v>
      </c>
      <c r="H129" s="10">
        <f>D129+апр!H129</f>
        <v>0</v>
      </c>
      <c r="I129" s="8">
        <f>E129+апр!I129</f>
        <v>0</v>
      </c>
      <c r="J129" s="10">
        <f>F129+апр!J129</f>
        <v>0</v>
      </c>
      <c r="K129" s="10">
        <f t="shared" si="51"/>
        <v>0</v>
      </c>
      <c r="L129" s="16" t="e">
        <f t="shared" si="56"/>
        <v>#DIV/0!</v>
      </c>
      <c r="M129" s="220"/>
      <c r="N129" s="221"/>
      <c r="O129" s="263">
        <f t="shared" si="57"/>
        <v>0</v>
      </c>
      <c r="P129" s="264" t="e">
        <f t="shared" si="58"/>
        <v>#DIV/0!</v>
      </c>
      <c r="Q129" s="114"/>
      <c r="R129" s="261"/>
      <c r="S129" s="261">
        <f t="shared" si="47"/>
        <v>0</v>
      </c>
      <c r="T129" s="265">
        <f>E129+апр!I129</f>
        <v>0</v>
      </c>
      <c r="U129" s="262">
        <f>F129+апр!J129</f>
        <v>0</v>
      </c>
      <c r="V129" s="261"/>
      <c r="W129" s="261"/>
      <c r="X129" s="261"/>
    </row>
    <row r="130" spans="1:24" ht="33" hidden="1" customHeight="1">
      <c r="A130" s="18" t="s">
        <v>260</v>
      </c>
      <c r="B130" s="9" t="s">
        <v>263</v>
      </c>
      <c r="C130" s="8" t="s">
        <v>4</v>
      </c>
      <c r="D130" s="10"/>
      <c r="E130" s="8"/>
      <c r="F130" s="55"/>
      <c r="G130" s="10">
        <f t="shared" si="50"/>
        <v>0</v>
      </c>
      <c r="H130" s="10">
        <f>D130+сентябрь!H130</f>
        <v>0</v>
      </c>
      <c r="I130" s="8">
        <f>E130+сентябрь!I130</f>
        <v>0</v>
      </c>
      <c r="J130" s="10">
        <f>18+180+300+40</f>
        <v>538</v>
      </c>
      <c r="K130" s="10">
        <f t="shared" si="51"/>
        <v>538</v>
      </c>
      <c r="L130" s="16" t="e">
        <f t="shared" si="56"/>
        <v>#DIV/0!</v>
      </c>
      <c r="M130" s="231" t="s">
        <v>288</v>
      </c>
      <c r="N130" s="232"/>
      <c r="O130" s="263">
        <f t="shared" si="57"/>
        <v>538</v>
      </c>
      <c r="P130" s="264" t="e">
        <f t="shared" si="58"/>
        <v>#DIV/0!</v>
      </c>
      <c r="Q130" s="117"/>
      <c r="R130" s="261"/>
      <c r="S130" s="261">
        <f t="shared" si="47"/>
        <v>0</v>
      </c>
      <c r="T130" s="265">
        <f>E130+апр!I130</f>
        <v>0</v>
      </c>
      <c r="U130" s="262">
        <f>F130+апр!J130</f>
        <v>0</v>
      </c>
      <c r="V130" s="261"/>
      <c r="W130" s="261"/>
      <c r="X130" s="261"/>
    </row>
    <row r="131" spans="1:24" ht="17.25" hidden="1" customHeight="1">
      <c r="A131" s="18" t="s">
        <v>261</v>
      </c>
      <c r="B131" s="9" t="s">
        <v>122</v>
      </c>
      <c r="C131" s="8" t="s">
        <v>4</v>
      </c>
      <c r="D131" s="10">
        <v>69.783000000000001</v>
      </c>
      <c r="E131" s="8">
        <v>69.75</v>
      </c>
      <c r="F131" s="54"/>
      <c r="G131" s="10">
        <f t="shared" si="50"/>
        <v>-69.75</v>
      </c>
      <c r="H131" s="10">
        <f>D131+сентябрь!H131</f>
        <v>697.83</v>
      </c>
      <c r="I131" s="8">
        <f>E131+сентябрь!I131</f>
        <v>697.5</v>
      </c>
      <c r="J131" s="10">
        <f>F131+сентябрь!J131</f>
        <v>626.25</v>
      </c>
      <c r="K131" s="10">
        <f t="shared" si="51"/>
        <v>-71.25</v>
      </c>
      <c r="L131" s="16">
        <f t="shared" si="56"/>
        <v>-10.21505376344086</v>
      </c>
      <c r="M131" s="220"/>
      <c r="N131" s="221"/>
      <c r="O131" s="263">
        <f t="shared" si="57"/>
        <v>-71.580000000000041</v>
      </c>
      <c r="P131" s="264">
        <f t="shared" si="58"/>
        <v>-10.257512574695848</v>
      </c>
      <c r="Q131" s="114">
        <f>417.5+208.75</f>
        <v>626.25</v>
      </c>
      <c r="R131" s="261"/>
      <c r="S131" s="261">
        <f t="shared" si="47"/>
        <v>348.91500000000002</v>
      </c>
      <c r="T131" s="265">
        <f>E131+апр!I131</f>
        <v>348.75</v>
      </c>
      <c r="U131" s="262">
        <f>F131+апр!J131</f>
        <v>208.75</v>
      </c>
      <c r="V131" s="261"/>
      <c r="W131" s="261"/>
      <c r="X131" s="261"/>
    </row>
    <row r="132" spans="1:24" ht="54.75" hidden="1" customHeight="1">
      <c r="A132" s="18" t="s">
        <v>262</v>
      </c>
      <c r="B132" s="9" t="s">
        <v>123</v>
      </c>
      <c r="C132" s="8" t="s">
        <v>4</v>
      </c>
      <c r="D132" s="10"/>
      <c r="E132" s="8"/>
      <c r="F132" s="8"/>
      <c r="G132" s="10">
        <f t="shared" si="50"/>
        <v>0</v>
      </c>
      <c r="H132" s="10">
        <f>D132+сентябрь!H132</f>
        <v>0</v>
      </c>
      <c r="I132" s="8">
        <f>E132+сентябрь!I132</f>
        <v>0</v>
      </c>
      <c r="J132" s="10">
        <f>F132+сентябрь!J132</f>
        <v>0</v>
      </c>
      <c r="K132" s="10">
        <f t="shared" si="51"/>
        <v>0</v>
      </c>
      <c r="L132" s="16"/>
      <c r="M132" s="220"/>
      <c r="N132" s="221"/>
      <c r="O132" s="263">
        <f t="shared" si="57"/>
        <v>0</v>
      </c>
      <c r="P132" s="264" t="e">
        <f t="shared" si="58"/>
        <v>#DIV/0!</v>
      </c>
      <c r="Q132" s="114"/>
      <c r="R132" s="261"/>
      <c r="S132" s="261">
        <f t="shared" si="47"/>
        <v>0</v>
      </c>
      <c r="T132" s="265">
        <f>E132+апр!I132</f>
        <v>0</v>
      </c>
      <c r="U132" s="262">
        <f>F132+апр!J132</f>
        <v>0</v>
      </c>
      <c r="V132" s="261"/>
      <c r="W132" s="261"/>
      <c r="X132" s="261"/>
    </row>
    <row r="133" spans="1:24" ht="54" hidden="1" customHeight="1">
      <c r="A133" s="18" t="s">
        <v>264</v>
      </c>
      <c r="B133" s="9" t="s">
        <v>124</v>
      </c>
      <c r="C133" s="8" t="s">
        <v>4</v>
      </c>
      <c r="D133" s="10"/>
      <c r="E133" s="8"/>
      <c r="F133" s="8"/>
      <c r="G133" s="10">
        <f t="shared" si="50"/>
        <v>0</v>
      </c>
      <c r="H133" s="10">
        <f>D133+сентябрь!H133</f>
        <v>0</v>
      </c>
      <c r="I133" s="8">
        <f>E133+сентябрь!I133</f>
        <v>0</v>
      </c>
      <c r="J133" s="10">
        <f>F133+сентябрь!J133</f>
        <v>0</v>
      </c>
      <c r="K133" s="10">
        <f t="shared" si="51"/>
        <v>0</v>
      </c>
      <c r="L133" s="16"/>
      <c r="M133" s="220"/>
      <c r="N133" s="221"/>
      <c r="O133" s="263">
        <f t="shared" si="57"/>
        <v>0</v>
      </c>
      <c r="P133" s="264" t="e">
        <f t="shared" si="58"/>
        <v>#DIV/0!</v>
      </c>
      <c r="Q133" s="114"/>
      <c r="R133" s="261"/>
      <c r="S133" s="261">
        <f t="shared" si="47"/>
        <v>0</v>
      </c>
      <c r="T133" s="265">
        <f>E133+апр!I133</f>
        <v>0</v>
      </c>
      <c r="U133" s="262">
        <f>F133+апр!J133</f>
        <v>0</v>
      </c>
      <c r="V133" s="261"/>
      <c r="W133" s="261"/>
      <c r="X133" s="261"/>
    </row>
    <row r="134" spans="1:24" ht="17.25" hidden="1" customHeight="1">
      <c r="A134" s="18" t="s">
        <v>265</v>
      </c>
      <c r="B134" s="26" t="s">
        <v>125</v>
      </c>
      <c r="C134" s="8" t="s">
        <v>4</v>
      </c>
      <c r="D134" s="10">
        <v>6.4749999999999996</v>
      </c>
      <c r="E134" s="8">
        <v>6.5</v>
      </c>
      <c r="F134" s="55"/>
      <c r="G134" s="10">
        <f t="shared" si="50"/>
        <v>-6.5</v>
      </c>
      <c r="H134" s="10">
        <f>D134+сентябрь!H134</f>
        <v>64.75</v>
      </c>
      <c r="I134" s="8">
        <f>E134+сентябрь!I134</f>
        <v>65</v>
      </c>
      <c r="J134" s="10">
        <f>F134+сентябрь!J134</f>
        <v>76.731999999999999</v>
      </c>
      <c r="K134" s="10">
        <f t="shared" si="51"/>
        <v>11.731999999999999</v>
      </c>
      <c r="L134" s="16">
        <f t="shared" si="56"/>
        <v>18.049230769230768</v>
      </c>
      <c r="M134" s="220"/>
      <c r="N134" s="221"/>
      <c r="O134" s="263">
        <f t="shared" si="57"/>
        <v>11.981999999999999</v>
      </c>
      <c r="P134" s="264">
        <f t="shared" si="58"/>
        <v>18.505019305019303</v>
      </c>
      <c r="Q134" s="114"/>
      <c r="R134" s="261"/>
      <c r="S134" s="261">
        <f t="shared" si="47"/>
        <v>32.375</v>
      </c>
      <c r="T134" s="265">
        <f>E134+апр!I134</f>
        <v>32.5</v>
      </c>
      <c r="U134" s="262">
        <f>F134+апр!J134</f>
        <v>0</v>
      </c>
      <c r="V134" s="261"/>
      <c r="W134" s="261"/>
      <c r="X134" s="261"/>
    </row>
    <row r="135" spans="1:24" ht="17.25" hidden="1" customHeight="1">
      <c r="A135" s="18" t="s">
        <v>266</v>
      </c>
      <c r="B135" s="26" t="s">
        <v>232</v>
      </c>
      <c r="C135" s="8" t="s">
        <v>4</v>
      </c>
      <c r="D135" s="10"/>
      <c r="E135" s="8"/>
      <c r="F135" s="8"/>
      <c r="G135" s="10">
        <f t="shared" si="50"/>
        <v>0</v>
      </c>
      <c r="H135" s="10">
        <f>D135+сентябрь!H135</f>
        <v>0</v>
      </c>
      <c r="I135" s="8">
        <f>E135+сентябрь!I135</f>
        <v>0</v>
      </c>
      <c r="J135" s="10">
        <f>F135+сентябрь!J135</f>
        <v>0</v>
      </c>
      <c r="K135" s="10">
        <f t="shared" si="51"/>
        <v>0</v>
      </c>
      <c r="L135" s="16"/>
      <c r="M135" s="220"/>
      <c r="N135" s="221"/>
      <c r="O135" s="263">
        <f t="shared" si="57"/>
        <v>0</v>
      </c>
      <c r="P135" s="264" t="e">
        <f t="shared" si="58"/>
        <v>#DIV/0!</v>
      </c>
      <c r="Q135" s="114"/>
      <c r="R135" s="261"/>
      <c r="S135" s="261">
        <f t="shared" si="47"/>
        <v>0</v>
      </c>
      <c r="T135" s="265">
        <f>E135+апр!I135</f>
        <v>0</v>
      </c>
      <c r="U135" s="262">
        <f>F135+апр!J135</f>
        <v>0</v>
      </c>
      <c r="V135" s="261"/>
      <c r="W135" s="261"/>
      <c r="X135" s="261"/>
    </row>
    <row r="136" spans="1:24" ht="55.5" hidden="1" customHeight="1">
      <c r="A136" s="18"/>
      <c r="B136" s="26" t="s">
        <v>311</v>
      </c>
      <c r="C136" s="8" t="s">
        <v>4</v>
      </c>
      <c r="D136" s="10"/>
      <c r="E136" s="8">
        <v>79.167000000000002</v>
      </c>
      <c r="F136" s="54"/>
      <c r="G136" s="10">
        <f t="shared" si="50"/>
        <v>-79.167000000000002</v>
      </c>
      <c r="H136" s="10">
        <f>D136+сентябрь!H136</f>
        <v>0</v>
      </c>
      <c r="I136" s="8">
        <f>E136+сентябрь!I136</f>
        <v>791.67000000000019</v>
      </c>
      <c r="J136" s="10">
        <v>791.69600000000003</v>
      </c>
      <c r="K136" s="10">
        <f t="shared" si="51"/>
        <v>2.5999999999839929E-2</v>
      </c>
      <c r="L136" s="16">
        <f t="shared" si="56"/>
        <v>3.2841966980989455E-3</v>
      </c>
      <c r="M136" s="212"/>
      <c r="N136" s="213"/>
      <c r="O136" s="263">
        <f t="shared" si="57"/>
        <v>791.69600000000003</v>
      </c>
      <c r="P136" s="264" t="e">
        <f t="shared" si="58"/>
        <v>#DIV/0!</v>
      </c>
      <c r="Q136" s="114"/>
      <c r="R136" s="261"/>
      <c r="S136" s="261">
        <f t="shared" si="47"/>
        <v>0</v>
      </c>
      <c r="T136" s="265">
        <f>E136+апр!I136</f>
        <v>395.83500000000004</v>
      </c>
      <c r="U136" s="262">
        <f>F136+апр!J136</f>
        <v>316.67600000000004</v>
      </c>
      <c r="V136" s="261"/>
      <c r="W136" s="261"/>
      <c r="X136" s="261"/>
    </row>
    <row r="137" spans="1:24" ht="55.5" hidden="1" customHeight="1">
      <c r="A137" s="18"/>
      <c r="B137" s="26" t="s">
        <v>312</v>
      </c>
      <c r="C137" s="8" t="s">
        <v>4</v>
      </c>
      <c r="D137" s="10"/>
      <c r="E137" s="8">
        <v>83.332999999999998</v>
      </c>
      <c r="F137" s="54"/>
      <c r="G137" s="10">
        <f t="shared" si="50"/>
        <v>-83.332999999999998</v>
      </c>
      <c r="H137" s="10">
        <f>D137+сентябрь!H137</f>
        <v>0</v>
      </c>
      <c r="I137" s="8">
        <f>E137+сентябрь!I137</f>
        <v>833.32999999999981</v>
      </c>
      <c r="J137" s="10">
        <f>F137+сентябрь!J137</f>
        <v>750</v>
      </c>
      <c r="K137" s="10">
        <f t="shared" si="51"/>
        <v>-83.329999999999814</v>
      </c>
      <c r="L137" s="16">
        <f t="shared" si="56"/>
        <v>-9.9996399985599744</v>
      </c>
      <c r="M137" s="212"/>
      <c r="N137" s="213"/>
      <c r="O137" s="263">
        <f t="shared" si="57"/>
        <v>750</v>
      </c>
      <c r="P137" s="264" t="e">
        <f t="shared" si="58"/>
        <v>#DIV/0!</v>
      </c>
      <c r="Q137" s="114">
        <f>500+250</f>
        <v>750</v>
      </c>
      <c r="R137" s="262">
        <f>F144-R144</f>
        <v>-2424.3829999999998</v>
      </c>
      <c r="S137" s="261">
        <f t="shared" ref="S137:S206" si="70">D137*5</f>
        <v>0</v>
      </c>
      <c r="T137" s="265">
        <f>E137+апр!I137</f>
        <v>416.66499999999996</v>
      </c>
      <c r="U137" s="262">
        <f>F137+апр!J137</f>
        <v>250</v>
      </c>
      <c r="V137" s="261"/>
      <c r="W137" s="261"/>
      <c r="X137" s="261"/>
    </row>
    <row r="138" spans="1:24" ht="55.5" hidden="1" customHeight="1">
      <c r="A138" s="18"/>
      <c r="B138" s="26" t="s">
        <v>327</v>
      </c>
      <c r="C138" s="8" t="s">
        <v>4</v>
      </c>
      <c r="D138" s="10"/>
      <c r="E138" s="8"/>
      <c r="F138" s="54"/>
      <c r="G138" s="10"/>
      <c r="H138" s="10">
        <f>D138+сентябрь!H138</f>
        <v>0</v>
      </c>
      <c r="I138" s="8"/>
      <c r="J138" s="10">
        <v>357.63</v>
      </c>
      <c r="K138" s="10"/>
      <c r="L138" s="16"/>
      <c r="M138" s="212"/>
      <c r="N138" s="213"/>
      <c r="O138" s="263">
        <f t="shared" si="57"/>
        <v>357.63</v>
      </c>
      <c r="P138" s="264" t="e">
        <f t="shared" si="58"/>
        <v>#DIV/0!</v>
      </c>
      <c r="Q138" s="114"/>
      <c r="R138" s="262"/>
      <c r="S138" s="261"/>
      <c r="T138" s="265"/>
      <c r="U138" s="262"/>
      <c r="V138" s="261"/>
      <c r="W138" s="261"/>
      <c r="X138" s="261"/>
    </row>
    <row r="139" spans="1:24" ht="55.5" hidden="1" customHeight="1">
      <c r="A139" s="18"/>
      <c r="B139" s="26" t="s">
        <v>328</v>
      </c>
      <c r="C139" s="8" t="s">
        <v>4</v>
      </c>
      <c r="D139" s="10"/>
      <c r="E139" s="8"/>
      <c r="F139" s="54"/>
      <c r="G139" s="10"/>
      <c r="H139" s="10">
        <f>D139+сентябрь!H139</f>
        <v>0</v>
      </c>
      <c r="I139" s="8"/>
      <c r="J139" s="10">
        <f>F139+сентябрь!J139</f>
        <v>27.808</v>
      </c>
      <c r="K139" s="10"/>
      <c r="L139" s="16"/>
      <c r="M139" s="212"/>
      <c r="N139" s="213"/>
      <c r="O139" s="263">
        <f t="shared" si="57"/>
        <v>27.808</v>
      </c>
      <c r="P139" s="264" t="e">
        <f t="shared" si="58"/>
        <v>#DIV/0!</v>
      </c>
      <c r="Q139" s="114"/>
      <c r="R139" s="262"/>
      <c r="S139" s="261"/>
      <c r="T139" s="265"/>
      <c r="U139" s="262"/>
      <c r="V139" s="261"/>
      <c r="W139" s="261"/>
      <c r="X139" s="261"/>
    </row>
    <row r="140" spans="1:24" ht="55.5" hidden="1" customHeight="1">
      <c r="A140" s="18"/>
      <c r="B140" s="26" t="s">
        <v>336</v>
      </c>
      <c r="C140" s="8" t="s">
        <v>4</v>
      </c>
      <c r="D140" s="10"/>
      <c r="E140" s="8"/>
      <c r="F140" s="54"/>
      <c r="G140" s="10"/>
      <c r="H140" s="10">
        <f>D140+сентябрь!H140</f>
        <v>0</v>
      </c>
      <c r="I140" s="8"/>
      <c r="J140" s="10">
        <v>8.4369999999999994</v>
      </c>
      <c r="K140" s="10">
        <f t="shared" ref="K140:K143" si="71">J140-I140</f>
        <v>8.4369999999999994</v>
      </c>
      <c r="L140" s="16" t="e">
        <f t="shared" ref="L140:L143" si="72">K140/I140*100</f>
        <v>#DIV/0!</v>
      </c>
      <c r="M140" s="212"/>
      <c r="N140" s="213"/>
      <c r="O140" s="263">
        <f t="shared" si="57"/>
        <v>8.4369999999999994</v>
      </c>
      <c r="P140" s="264" t="e">
        <f t="shared" si="58"/>
        <v>#DIV/0!</v>
      </c>
      <c r="Q140" s="114"/>
      <c r="R140" s="262"/>
      <c r="S140" s="261"/>
      <c r="T140" s="265"/>
      <c r="U140" s="262"/>
      <c r="V140" s="261"/>
      <c r="W140" s="261"/>
      <c r="X140" s="261"/>
    </row>
    <row r="141" spans="1:24" ht="83.25" hidden="1" customHeight="1">
      <c r="A141" s="18"/>
      <c r="B141" s="26" t="s">
        <v>337</v>
      </c>
      <c r="C141" s="8" t="s">
        <v>4</v>
      </c>
      <c r="D141" s="10"/>
      <c r="E141" s="8"/>
      <c r="F141" s="54"/>
      <c r="G141" s="10"/>
      <c r="H141" s="10">
        <f>D141+сентябрь!H141</f>
        <v>0</v>
      </c>
      <c r="I141" s="8"/>
      <c r="J141" s="10">
        <v>110</v>
      </c>
      <c r="K141" s="10">
        <f t="shared" si="71"/>
        <v>110</v>
      </c>
      <c r="L141" s="16" t="e">
        <f t="shared" si="72"/>
        <v>#DIV/0!</v>
      </c>
      <c r="M141" s="212"/>
      <c r="N141" s="213"/>
      <c r="O141" s="263">
        <f t="shared" si="57"/>
        <v>110</v>
      </c>
      <c r="P141" s="264" t="e">
        <f t="shared" si="58"/>
        <v>#DIV/0!</v>
      </c>
      <c r="Q141" s="114"/>
      <c r="R141" s="262"/>
      <c r="S141" s="261"/>
      <c r="T141" s="265"/>
      <c r="U141" s="262"/>
      <c r="V141" s="261"/>
      <c r="W141" s="261"/>
      <c r="X141" s="261"/>
    </row>
    <row r="142" spans="1:24" ht="90.75" hidden="1" customHeight="1">
      <c r="A142" s="18"/>
      <c r="B142" s="26" t="s">
        <v>338</v>
      </c>
      <c r="C142" s="8" t="s">
        <v>4</v>
      </c>
      <c r="D142" s="10"/>
      <c r="E142" s="8"/>
      <c r="F142" s="54"/>
      <c r="G142" s="10"/>
      <c r="H142" s="10">
        <f>D142+сентябрь!H142</f>
        <v>0</v>
      </c>
      <c r="I142" s="8"/>
      <c r="J142" s="10">
        <v>310</v>
      </c>
      <c r="K142" s="10">
        <f t="shared" si="71"/>
        <v>310</v>
      </c>
      <c r="L142" s="16" t="e">
        <f t="shared" si="72"/>
        <v>#DIV/0!</v>
      </c>
      <c r="M142" s="212"/>
      <c r="N142" s="213"/>
      <c r="O142" s="263">
        <f t="shared" si="57"/>
        <v>310</v>
      </c>
      <c r="P142" s="264" t="e">
        <f t="shared" si="58"/>
        <v>#DIV/0!</v>
      </c>
      <c r="Q142" s="114"/>
      <c r="R142" s="262"/>
      <c r="S142" s="261"/>
      <c r="T142" s="265"/>
      <c r="U142" s="262"/>
      <c r="V142" s="261"/>
      <c r="W142" s="261"/>
      <c r="X142" s="261"/>
    </row>
    <row r="143" spans="1:24" ht="33.75" hidden="1" customHeight="1">
      <c r="A143" s="18"/>
      <c r="B143" s="26" t="s">
        <v>340</v>
      </c>
      <c r="C143" s="8" t="s">
        <v>4</v>
      </c>
      <c r="D143" s="10"/>
      <c r="E143" s="8"/>
      <c r="F143" s="54"/>
      <c r="G143" s="10"/>
      <c r="H143" s="10"/>
      <c r="I143" s="8"/>
      <c r="J143" s="10">
        <f>F143+сентябрь!J143</f>
        <v>0</v>
      </c>
      <c r="K143" s="10">
        <f t="shared" si="71"/>
        <v>0</v>
      </c>
      <c r="L143" s="16" t="e">
        <f t="shared" si="72"/>
        <v>#DIV/0!</v>
      </c>
      <c r="M143" s="212"/>
      <c r="N143" s="213"/>
      <c r="O143" s="263">
        <f t="shared" si="57"/>
        <v>0</v>
      </c>
      <c r="P143" s="264" t="e">
        <f t="shared" si="58"/>
        <v>#DIV/0!</v>
      </c>
      <c r="Q143" s="114"/>
      <c r="R143" s="262"/>
      <c r="S143" s="261"/>
      <c r="T143" s="265"/>
      <c r="U143" s="262"/>
      <c r="V143" s="261"/>
      <c r="W143" s="261"/>
      <c r="X143" s="261"/>
    </row>
    <row r="144" spans="1:24" ht="17.25" customHeight="1">
      <c r="A144" s="218" t="s">
        <v>126</v>
      </c>
      <c r="B144" s="6" t="s">
        <v>127</v>
      </c>
      <c r="C144" s="8" t="s">
        <v>4</v>
      </c>
      <c r="D144" s="7">
        <f t="shared" ref="D144:J144" si="73">D145</f>
        <v>3385.116</v>
      </c>
      <c r="E144" s="7">
        <f t="shared" si="73"/>
        <v>2989.2490000000003</v>
      </c>
      <c r="F144" s="7">
        <f t="shared" si="73"/>
        <v>0</v>
      </c>
      <c r="G144" s="10">
        <f t="shared" si="50"/>
        <v>-2989.2490000000003</v>
      </c>
      <c r="H144" s="7">
        <f t="shared" si="73"/>
        <v>41979.893173229204</v>
      </c>
      <c r="I144" s="7">
        <f t="shared" si="73"/>
        <v>28441.053780617684</v>
      </c>
      <c r="J144" s="7">
        <f t="shared" si="73"/>
        <v>31654.599000000006</v>
      </c>
      <c r="K144" s="10">
        <f t="shared" si="51"/>
        <v>3213.5452193823221</v>
      </c>
      <c r="L144" s="16">
        <f t="shared" si="56"/>
        <v>11.298966782912677</v>
      </c>
      <c r="M144" s="220"/>
      <c r="N144" s="221"/>
      <c r="O144" s="263">
        <f t="shared" si="57"/>
        <v>-10325.294173229198</v>
      </c>
      <c r="P144" s="264">
        <f t="shared" si="58"/>
        <v>-24.595808594895836</v>
      </c>
      <c r="Q144" s="114"/>
      <c r="R144" s="261">
        <v>2424.3829999999998</v>
      </c>
      <c r="S144" s="261">
        <f t="shared" si="70"/>
        <v>16925.580000000002</v>
      </c>
      <c r="T144" s="265">
        <f>E144+апр!I138</f>
        <v>14946.245000000001</v>
      </c>
      <c r="U144" s="262">
        <f>F144+апр!J138</f>
        <v>9173.1960000000017</v>
      </c>
      <c r="V144" s="261"/>
      <c r="W144" s="261"/>
      <c r="X144" s="261"/>
    </row>
    <row r="145" spans="1:24" ht="17.25" customHeight="1">
      <c r="A145" s="218">
        <v>6</v>
      </c>
      <c r="B145" s="6" t="s">
        <v>128</v>
      </c>
      <c r="C145" s="218" t="s">
        <v>4</v>
      </c>
      <c r="D145" s="7">
        <f>D146+D151+D152+D153+D154+D155+D156+D157+D160+D162+D178+D182+D183+D185+D190+D189+D194</f>
        <v>3385.116</v>
      </c>
      <c r="E145" s="7">
        <f t="shared" ref="E145:F145" si="74">E146+E151+E152+E153+E154+E155+E156+E157+E160+E162+E178+E182+E183+E185+E190+E189+E194</f>
        <v>2989.2490000000003</v>
      </c>
      <c r="F145" s="7">
        <f t="shared" si="74"/>
        <v>0</v>
      </c>
      <c r="G145" s="10">
        <f>F145-E145</f>
        <v>-2989.2490000000003</v>
      </c>
      <c r="H145" s="7">
        <f>H146+H151+H152+H153+H154+H155+H156+H157+H160+H162+H178+H182+H183+H185+H190+H189+H194</f>
        <v>41979.893173229204</v>
      </c>
      <c r="I145" s="7">
        <f t="shared" ref="I145" si="75">I146+I151+I152+I153+I154+I155+I156+I157+I160+I162+I178+I182+I183+I185+I190+I189+I194</f>
        <v>28441.053780617684</v>
      </c>
      <c r="J145" s="7">
        <f>J146+J151+J152+J153+J154+J155+J156+J157+J160+J162+J178+J182+J183+J185+J190+J189+J194</f>
        <v>31654.599000000006</v>
      </c>
      <c r="K145" s="10">
        <f t="shared" si="51"/>
        <v>3213.5452193823221</v>
      </c>
      <c r="L145" s="16">
        <f t="shared" si="56"/>
        <v>11.298966782912677</v>
      </c>
      <c r="M145" s="220"/>
      <c r="N145" s="221"/>
      <c r="O145" s="263">
        <f t="shared" si="57"/>
        <v>-10325.294173229198</v>
      </c>
      <c r="P145" s="264">
        <f t="shared" si="58"/>
        <v>-24.595808594895836</v>
      </c>
      <c r="Q145" s="114"/>
      <c r="R145" s="261"/>
      <c r="S145" s="261">
        <f t="shared" si="70"/>
        <v>16925.580000000002</v>
      </c>
      <c r="T145" s="265">
        <f>E145+апр!I139</f>
        <v>14946.245000000001</v>
      </c>
      <c r="U145" s="262">
        <f>F145+апр!J139</f>
        <v>9173.1960000000017</v>
      </c>
      <c r="V145" s="261"/>
      <c r="W145" s="261"/>
      <c r="X145" s="261"/>
    </row>
    <row r="146" spans="1:24" ht="17.25" customHeight="1">
      <c r="A146" s="218" t="s">
        <v>129</v>
      </c>
      <c r="B146" s="6" t="s">
        <v>130</v>
      </c>
      <c r="C146" s="218" t="s">
        <v>4</v>
      </c>
      <c r="D146" s="7">
        <f t="shared" ref="D146:F146" si="76">D147+D148</f>
        <v>97.608999999999995</v>
      </c>
      <c r="E146" s="7">
        <f t="shared" si="76"/>
        <v>97.582999999999998</v>
      </c>
      <c r="F146" s="7">
        <f t="shared" si="76"/>
        <v>0</v>
      </c>
      <c r="G146" s="10">
        <f t="shared" ref="G146:G210" si="77">F146-E146</f>
        <v>-97.582999999999998</v>
      </c>
      <c r="H146" s="7">
        <f t="shared" ref="H146:J146" si="78">H147+H148</f>
        <v>720.35650656254347</v>
      </c>
      <c r="I146" s="7">
        <f t="shared" si="78"/>
        <v>719.96878061767836</v>
      </c>
      <c r="J146" s="7">
        <f t="shared" si="78"/>
        <v>874.04700000000003</v>
      </c>
      <c r="K146" s="10">
        <f t="shared" ref="K146:K210" si="79">J146-I146</f>
        <v>154.07821938232166</v>
      </c>
      <c r="L146" s="16">
        <f t="shared" si="56"/>
        <v>21.400680630920455</v>
      </c>
      <c r="M146" s="220"/>
      <c r="N146" s="221"/>
      <c r="O146" s="263">
        <f t="shared" si="57"/>
        <v>153.69049343745655</v>
      </c>
      <c r="P146" s="264">
        <f t="shared" si="58"/>
        <v>21.335337716438421</v>
      </c>
      <c r="Q146" s="114"/>
      <c r="R146" s="261"/>
      <c r="S146" s="261">
        <f t="shared" si="70"/>
        <v>488.04499999999996</v>
      </c>
      <c r="T146" s="265">
        <f>E146+апр!I140</f>
        <v>487.91499999999996</v>
      </c>
      <c r="U146" s="262">
        <f>F146+апр!J140</f>
        <v>292.99800000000005</v>
      </c>
      <c r="V146" s="261"/>
      <c r="W146" s="261"/>
      <c r="X146" s="261"/>
    </row>
    <row r="147" spans="1:24" ht="37.5" hidden="1">
      <c r="A147" s="8" t="s">
        <v>131</v>
      </c>
      <c r="B147" s="9" t="s">
        <v>132</v>
      </c>
      <c r="C147" s="8" t="s">
        <v>4</v>
      </c>
      <c r="D147" s="10">
        <v>42.552999999999997</v>
      </c>
      <c r="E147" s="10">
        <v>42.5</v>
      </c>
      <c r="F147" s="10"/>
      <c r="G147" s="10">
        <f t="shared" si="77"/>
        <v>-42.5</v>
      </c>
      <c r="H147" s="10">
        <f>D147+сентябрь!H147</f>
        <v>425.53</v>
      </c>
      <c r="I147" s="8">
        <f>E147+сентябрь!I147</f>
        <v>425</v>
      </c>
      <c r="J147" s="10">
        <f>127.47+142.295+139.679</f>
        <v>409.44399999999996</v>
      </c>
      <c r="K147" s="10">
        <f t="shared" si="79"/>
        <v>-15.55600000000004</v>
      </c>
      <c r="L147" s="16">
        <f t="shared" si="56"/>
        <v>-3.6602352941176566</v>
      </c>
      <c r="M147" s="220"/>
      <c r="N147" s="221"/>
      <c r="O147" s="263">
        <f t="shared" si="57"/>
        <v>-16.086000000000013</v>
      </c>
      <c r="P147" s="264">
        <f t="shared" si="58"/>
        <v>-3.780227011021553</v>
      </c>
      <c r="Q147" s="114">
        <f>127.47+142.295+139.679</f>
        <v>409.44399999999996</v>
      </c>
      <c r="R147" s="261"/>
      <c r="S147" s="261">
        <f t="shared" si="70"/>
        <v>212.76499999999999</v>
      </c>
      <c r="T147" s="265">
        <f>E147+апр!I141</f>
        <v>212.5</v>
      </c>
      <c r="U147" s="262">
        <f>F147+апр!J141</f>
        <v>157.04500000000002</v>
      </c>
      <c r="V147" s="261"/>
      <c r="W147" s="261"/>
      <c r="X147" s="261"/>
    </row>
    <row r="148" spans="1:24" ht="17.25" hidden="1" customHeight="1">
      <c r="A148" s="8" t="s">
        <v>133</v>
      </c>
      <c r="B148" s="9" t="s">
        <v>63</v>
      </c>
      <c r="C148" s="8" t="s">
        <v>4</v>
      </c>
      <c r="D148" s="10">
        <v>55.055999999999997</v>
      </c>
      <c r="E148" s="8">
        <v>55.082999999999998</v>
      </c>
      <c r="F148" s="8"/>
      <c r="G148" s="10">
        <f t="shared" si="77"/>
        <v>-55.082999999999998</v>
      </c>
      <c r="H148" s="10">
        <f>D148+сентябрь!H148</f>
        <v>294.82650656254356</v>
      </c>
      <c r="I148" s="8">
        <f>E148+сентябрь!I148</f>
        <v>294.96878061767836</v>
      </c>
      <c r="J148" s="10">
        <f>126.666+337.937</f>
        <v>464.60300000000001</v>
      </c>
      <c r="K148" s="10">
        <f t="shared" si="79"/>
        <v>169.63421938232165</v>
      </c>
      <c r="L148" s="16">
        <f t="shared" si="56"/>
        <v>57.50921132300838</v>
      </c>
      <c r="M148" s="220"/>
      <c r="N148" s="221"/>
      <c r="O148" s="263">
        <f t="shared" si="57"/>
        <v>169.77649343745645</v>
      </c>
      <c r="P148" s="264">
        <f t="shared" si="58"/>
        <v>57.585220344304631</v>
      </c>
      <c r="Q148" s="114">
        <f>126.666+337.937</f>
        <v>464.60300000000001</v>
      </c>
      <c r="R148" s="261"/>
      <c r="S148" s="261">
        <f t="shared" si="70"/>
        <v>275.27999999999997</v>
      </c>
      <c r="T148" s="265">
        <f>E148+апр!I142</f>
        <v>275.41499999999996</v>
      </c>
      <c r="U148" s="262">
        <f>F148+апр!J142</f>
        <v>135.953</v>
      </c>
      <c r="V148" s="261"/>
      <c r="W148" s="261"/>
      <c r="X148" s="261"/>
    </row>
    <row r="149" spans="1:24" s="144" customFormat="1" ht="17.25" hidden="1" customHeight="1">
      <c r="A149" s="55"/>
      <c r="B149" s="136" t="s">
        <v>68</v>
      </c>
      <c r="C149" s="137" t="s">
        <v>66</v>
      </c>
      <c r="D149" s="138">
        <v>2816.6669999999999</v>
      </c>
      <c r="E149" s="139">
        <v>2817</v>
      </c>
      <c r="F149" s="139"/>
      <c r="G149" s="54">
        <f t="shared" si="77"/>
        <v>-2817</v>
      </c>
      <c r="H149" s="10">
        <f>D149+сентябрь!H149</f>
        <v>20838.457999999999</v>
      </c>
      <c r="I149" s="8">
        <f>E149+сентябрь!I149</f>
        <v>21167.084999999999</v>
      </c>
      <c r="J149" s="10">
        <v>23765</v>
      </c>
      <c r="K149" s="54">
        <f t="shared" si="79"/>
        <v>2597.9150000000009</v>
      </c>
      <c r="L149" s="140"/>
      <c r="M149" s="259"/>
      <c r="N149" s="260"/>
      <c r="O149" s="270">
        <f t="shared" si="57"/>
        <v>2926.5420000000013</v>
      </c>
      <c r="P149" s="271">
        <f t="shared" si="58"/>
        <v>14.043947013737778</v>
      </c>
      <c r="Q149" s="143"/>
      <c r="R149" s="272"/>
      <c r="S149" s="272">
        <f t="shared" si="70"/>
        <v>14083.334999999999</v>
      </c>
      <c r="T149" s="273">
        <f>E149+апр!I143</f>
        <v>2817</v>
      </c>
      <c r="U149" s="274">
        <f>F149+апр!J143</f>
        <v>552</v>
      </c>
      <c r="V149" s="272"/>
      <c r="W149" s="272"/>
      <c r="X149" s="272"/>
    </row>
    <row r="150" spans="1:24" ht="17.25" hidden="1" customHeight="1">
      <c r="A150" s="8"/>
      <c r="B150" s="12" t="s">
        <v>15</v>
      </c>
      <c r="C150" s="13" t="s">
        <v>16</v>
      </c>
      <c r="D150" s="16">
        <f t="shared" ref="D150:F150" si="80">D148/D149*1000</f>
        <v>19.546506562543602</v>
      </c>
      <c r="E150" s="16">
        <f t="shared" si="80"/>
        <v>19.553780617678381</v>
      </c>
      <c r="F150" s="16" t="e">
        <f t="shared" si="80"/>
        <v>#DIV/0!</v>
      </c>
      <c r="G150" s="10" t="e">
        <f t="shared" si="77"/>
        <v>#DIV/0!</v>
      </c>
      <c r="H150" s="16">
        <f t="shared" ref="H150:I150" si="81">H148/H149*1000</f>
        <v>14.14819208611998</v>
      </c>
      <c r="I150" s="16">
        <f t="shared" si="81"/>
        <v>13.935257529210016</v>
      </c>
      <c r="J150" s="16">
        <f>J148/J149*1000</f>
        <v>19.54988428361035</v>
      </c>
      <c r="K150" s="10">
        <f t="shared" si="79"/>
        <v>5.6146267544003337</v>
      </c>
      <c r="L150" s="16"/>
      <c r="M150" s="220"/>
      <c r="N150" s="221"/>
      <c r="O150" s="263">
        <f t="shared" si="57"/>
        <v>5.4016921974903696</v>
      </c>
      <c r="P150" s="264">
        <f t="shared" si="58"/>
        <v>38.179381256702584</v>
      </c>
      <c r="Q150" s="114"/>
      <c r="R150" s="261"/>
      <c r="S150" s="261">
        <f t="shared" si="70"/>
        <v>97.732532812718006</v>
      </c>
      <c r="T150" s="265">
        <f>E150+апр!I144</f>
        <v>19.553780617678381</v>
      </c>
      <c r="U150" s="262" t="e">
        <f>F150+апр!J144</f>
        <v>#DIV/0!</v>
      </c>
      <c r="V150" s="261"/>
      <c r="W150" s="261"/>
      <c r="X150" s="261"/>
    </row>
    <row r="151" spans="1:24" ht="32.25" customHeight="1">
      <c r="A151" s="8" t="s">
        <v>134</v>
      </c>
      <c r="B151" s="9" t="s">
        <v>135</v>
      </c>
      <c r="C151" s="8" t="s">
        <v>4</v>
      </c>
      <c r="D151" s="10">
        <v>1914.3579999999999</v>
      </c>
      <c r="E151" s="8">
        <v>1416.4169999999999</v>
      </c>
      <c r="F151" s="54"/>
      <c r="G151" s="10">
        <f t="shared" si="77"/>
        <v>-1416.4169999999999</v>
      </c>
      <c r="H151" s="10">
        <f>D151+сентябрь!H151</f>
        <v>19143.579999999998</v>
      </c>
      <c r="I151" s="8">
        <f>E151+сентябрь!I151</f>
        <v>14164.169999999996</v>
      </c>
      <c r="J151" s="10">
        <f>11380.931+3675.626</f>
        <v>15056.557000000001</v>
      </c>
      <c r="K151" s="10">
        <f t="shared" si="79"/>
        <v>892.38700000000426</v>
      </c>
      <c r="L151" s="16">
        <f>K151/I151*100</f>
        <v>6.3003126904012348</v>
      </c>
      <c r="M151" s="220"/>
      <c r="N151" s="221"/>
      <c r="O151" s="263">
        <f>J151-H151</f>
        <v>-4087.0229999999974</v>
      </c>
      <c r="P151" s="264">
        <f>O151/H151*100</f>
        <v>-21.349313973666355</v>
      </c>
      <c r="Q151" s="114">
        <f>6365.162+4070.316+3675.626</f>
        <v>14111.103999999999</v>
      </c>
      <c r="R151" s="261"/>
      <c r="S151" s="261">
        <f t="shared" si="70"/>
        <v>9571.7899999999991</v>
      </c>
      <c r="T151" s="265">
        <f>E151+апр!I145</f>
        <v>7082.0849999999991</v>
      </c>
      <c r="U151" s="262">
        <f>F151+апр!J145</f>
        <v>5418.049</v>
      </c>
      <c r="V151" s="261"/>
      <c r="W151" s="261"/>
      <c r="X151" s="261"/>
    </row>
    <row r="152" spans="1:24" ht="17.25" hidden="1" customHeight="1">
      <c r="A152" s="8" t="s">
        <v>136</v>
      </c>
      <c r="B152" s="9" t="s">
        <v>77</v>
      </c>
      <c r="C152" s="8" t="s">
        <v>4</v>
      </c>
      <c r="D152" s="10">
        <v>105.29</v>
      </c>
      <c r="E152" s="10">
        <v>76.5</v>
      </c>
      <c r="F152" s="55"/>
      <c r="G152" s="10">
        <f t="shared" si="77"/>
        <v>-76.5</v>
      </c>
      <c r="H152" s="10">
        <f>D152+сентябрь!H152</f>
        <v>526.45000000000005</v>
      </c>
      <c r="I152" s="8">
        <f>E152+сентябрь!I152</f>
        <v>765</v>
      </c>
      <c r="J152" s="10">
        <f>653.068+218.089</f>
        <v>871.15699999999993</v>
      </c>
      <c r="K152" s="10">
        <f t="shared" si="79"/>
        <v>106.15699999999993</v>
      </c>
      <c r="L152" s="16">
        <f t="shared" si="56"/>
        <v>13.876732026143781</v>
      </c>
      <c r="M152" s="220"/>
      <c r="N152" s="221"/>
      <c r="O152" s="263">
        <f t="shared" ref="O152:O216" si="82">J152-H152</f>
        <v>344.70699999999988</v>
      </c>
      <c r="P152" s="264">
        <f t="shared" ref="P152:P216" si="83">O152/H152*100</f>
        <v>65.477633203533074</v>
      </c>
      <c r="Q152" s="114"/>
      <c r="R152" s="261"/>
      <c r="S152" s="261">
        <f t="shared" si="70"/>
        <v>526.45000000000005</v>
      </c>
      <c r="T152" s="265">
        <f>E152+апр!I146</f>
        <v>382.5</v>
      </c>
      <c r="U152" s="262">
        <f>F152+апр!J146</f>
        <v>322.41899999999998</v>
      </c>
      <c r="V152" s="261"/>
      <c r="W152" s="261"/>
      <c r="X152" s="261"/>
    </row>
    <row r="153" spans="1:24" ht="17.25" hidden="1" customHeight="1">
      <c r="A153" s="8"/>
      <c r="B153" s="9" t="s">
        <v>307</v>
      </c>
      <c r="C153" s="8" t="s">
        <v>4</v>
      </c>
      <c r="D153" s="10">
        <v>84.231999999999999</v>
      </c>
      <c r="E153" s="10">
        <v>63.75</v>
      </c>
      <c r="F153" s="55"/>
      <c r="G153" s="10">
        <f t="shared" si="77"/>
        <v>-63.75</v>
      </c>
      <c r="H153" s="10">
        <f>D153+сентябрь!H153</f>
        <v>421.15999999999997</v>
      </c>
      <c r="I153" s="8">
        <f>E153+сентябрь!I153</f>
        <v>637.5</v>
      </c>
      <c r="J153" s="10">
        <f>321.324+101.7</f>
        <v>423.024</v>
      </c>
      <c r="K153" s="10">
        <f t="shared" si="79"/>
        <v>-214.476</v>
      </c>
      <c r="L153" s="16">
        <f t="shared" si="56"/>
        <v>-33.643294117647059</v>
      </c>
      <c r="M153" s="212"/>
      <c r="N153" s="213"/>
      <c r="O153" s="263">
        <f t="shared" si="82"/>
        <v>1.8640000000000327</v>
      </c>
      <c r="P153" s="264">
        <f t="shared" si="83"/>
        <v>0.44258714027923657</v>
      </c>
      <c r="Q153" s="114"/>
      <c r="R153" s="261"/>
      <c r="S153" s="261">
        <f t="shared" si="70"/>
        <v>421.15999999999997</v>
      </c>
      <c r="T153" s="265">
        <f>E153+апр!I147</f>
        <v>318.75</v>
      </c>
      <c r="U153" s="262">
        <f>F153+апр!J147</f>
        <v>151.49399999999997</v>
      </c>
      <c r="V153" s="261"/>
      <c r="W153" s="261"/>
      <c r="X153" s="261"/>
    </row>
    <row r="154" spans="1:24" ht="17.25" hidden="1" customHeight="1">
      <c r="A154" s="8"/>
      <c r="B154" s="9" t="s">
        <v>310</v>
      </c>
      <c r="C154" s="8" t="s">
        <v>4</v>
      </c>
      <c r="D154" s="10"/>
      <c r="E154" s="10">
        <v>21.25</v>
      </c>
      <c r="F154" s="55"/>
      <c r="G154" s="10">
        <f t="shared" si="77"/>
        <v>-21.25</v>
      </c>
      <c r="H154" s="10">
        <f>D154+сентябрь!H154</f>
        <v>387.9</v>
      </c>
      <c r="I154" s="8">
        <f>E154+сентябрь!I154</f>
        <v>191.25</v>
      </c>
      <c r="J154" s="10">
        <f>152.15+48.119</f>
        <v>200.26900000000001</v>
      </c>
      <c r="K154" s="10">
        <f t="shared" si="79"/>
        <v>9.0190000000000055</v>
      </c>
      <c r="L154" s="16">
        <f t="shared" si="56"/>
        <v>4.7158169934640553</v>
      </c>
      <c r="M154" s="212"/>
      <c r="N154" s="213"/>
      <c r="O154" s="263">
        <f t="shared" si="82"/>
        <v>-187.63099999999997</v>
      </c>
      <c r="P154" s="264">
        <f t="shared" si="83"/>
        <v>-48.370971899974215</v>
      </c>
      <c r="Q154" s="114"/>
      <c r="R154" s="261"/>
      <c r="S154" s="261">
        <f t="shared" si="70"/>
        <v>0</v>
      </c>
      <c r="T154" s="265">
        <f>E154+апр!I148</f>
        <v>106.25</v>
      </c>
      <c r="U154" s="262">
        <f>F154+апр!J148</f>
        <v>69.332999999999998</v>
      </c>
      <c r="V154" s="261"/>
      <c r="W154" s="261"/>
      <c r="X154" s="261"/>
    </row>
    <row r="155" spans="1:24" ht="17.25" hidden="1" customHeight="1">
      <c r="A155" s="8"/>
      <c r="B155" s="9" t="s">
        <v>315</v>
      </c>
      <c r="C155" s="8" t="s">
        <v>4</v>
      </c>
      <c r="D155" s="10"/>
      <c r="E155" s="10"/>
      <c r="F155" s="54"/>
      <c r="G155" s="10">
        <f t="shared" si="77"/>
        <v>0</v>
      </c>
      <c r="H155" s="10">
        <f>D155+сентябрь!H155</f>
        <v>1195.7449999999999</v>
      </c>
      <c r="I155" s="8">
        <f>E155+сентябрь!I155</f>
        <v>0</v>
      </c>
      <c r="J155" s="10"/>
      <c r="K155" s="10"/>
      <c r="L155" s="16"/>
      <c r="M155" s="212"/>
      <c r="N155" s="213"/>
      <c r="O155" s="263">
        <f t="shared" si="82"/>
        <v>-1195.7449999999999</v>
      </c>
      <c r="P155" s="264">
        <f t="shared" si="83"/>
        <v>-100</v>
      </c>
      <c r="Q155" s="114"/>
      <c r="R155" s="261"/>
      <c r="S155" s="261">
        <f t="shared" si="70"/>
        <v>0</v>
      </c>
      <c r="T155" s="265">
        <f>E155+апр!I149</f>
        <v>0</v>
      </c>
      <c r="U155" s="262">
        <f>F155+апр!J149</f>
        <v>211.14000000000004</v>
      </c>
      <c r="V155" s="261"/>
      <c r="W155" s="261"/>
      <c r="X155" s="261"/>
    </row>
    <row r="156" spans="1:24" ht="17.25" hidden="1" customHeight="1">
      <c r="A156" s="8" t="s">
        <v>137</v>
      </c>
      <c r="B156" s="9" t="s">
        <v>138</v>
      </c>
      <c r="C156" s="8" t="s">
        <v>4</v>
      </c>
      <c r="D156" s="10">
        <v>77.58</v>
      </c>
      <c r="E156" s="8">
        <v>77.582999999999998</v>
      </c>
      <c r="F156" s="55"/>
      <c r="G156" s="10">
        <f t="shared" si="77"/>
        <v>-77.582999999999998</v>
      </c>
      <c r="H156" s="10">
        <f>D156+сентябрь!H156</f>
        <v>431.68999999999994</v>
      </c>
      <c r="I156" s="8">
        <f>E156+сентябрь!I156</f>
        <v>775.82999999999981</v>
      </c>
      <c r="J156" s="10">
        <f>858.463+88.575</f>
        <v>947.03800000000001</v>
      </c>
      <c r="K156" s="10">
        <f t="shared" si="79"/>
        <v>171.2080000000002</v>
      </c>
      <c r="L156" s="16">
        <f t="shared" si="56"/>
        <v>22.067721021357801</v>
      </c>
      <c r="M156" s="220" t="s">
        <v>301</v>
      </c>
      <c r="N156" s="221"/>
      <c r="O156" s="263">
        <f t="shared" si="82"/>
        <v>515.34800000000007</v>
      </c>
      <c r="P156" s="264">
        <f t="shared" si="83"/>
        <v>119.37918413676485</v>
      </c>
      <c r="Q156" s="114"/>
      <c r="R156" s="261"/>
      <c r="S156" s="261">
        <f t="shared" si="70"/>
        <v>387.9</v>
      </c>
      <c r="T156" s="265">
        <f>E156+апр!I150</f>
        <v>387.91499999999996</v>
      </c>
      <c r="U156" s="262">
        <f>F156+апр!J150</f>
        <v>562.10500000000002</v>
      </c>
      <c r="V156" s="261"/>
      <c r="W156" s="261"/>
      <c r="X156" s="261"/>
    </row>
    <row r="157" spans="1:24" ht="17.25" customHeight="1">
      <c r="A157" s="218" t="s">
        <v>139</v>
      </c>
      <c r="B157" s="6" t="s">
        <v>140</v>
      </c>
      <c r="C157" s="218" t="s">
        <v>4</v>
      </c>
      <c r="D157" s="7">
        <f t="shared" ref="D157:F157" si="84">D158+D159</f>
        <v>239.149</v>
      </c>
      <c r="E157" s="218">
        <v>47.832999999999998</v>
      </c>
      <c r="F157" s="7">
        <f t="shared" si="84"/>
        <v>0</v>
      </c>
      <c r="G157" s="10">
        <f t="shared" si="77"/>
        <v>-47.832999999999998</v>
      </c>
      <c r="H157" s="7">
        <f t="shared" ref="H157" si="85">H158+H159</f>
        <v>1334.3049999999998</v>
      </c>
      <c r="I157" s="8">
        <f>E157+сентябрь!I157</f>
        <v>478.32999999999993</v>
      </c>
      <c r="J157" s="7">
        <f t="shared" ref="J157" si="86">J158+J159</f>
        <v>685.91899999999998</v>
      </c>
      <c r="K157" s="10">
        <f t="shared" si="79"/>
        <v>207.58900000000006</v>
      </c>
      <c r="L157" s="16">
        <f t="shared" si="56"/>
        <v>43.398699642506237</v>
      </c>
      <c r="M157" s="220"/>
      <c r="N157" s="221"/>
      <c r="O157" s="263">
        <f t="shared" si="82"/>
        <v>-648.38599999999985</v>
      </c>
      <c r="P157" s="264">
        <f t="shared" si="83"/>
        <v>-48.593537459576332</v>
      </c>
      <c r="Q157" s="114"/>
      <c r="R157" s="261"/>
      <c r="S157" s="261">
        <f t="shared" si="70"/>
        <v>1195.7449999999999</v>
      </c>
      <c r="T157" s="265">
        <f>E157+апр!I151</f>
        <v>239.16499999999999</v>
      </c>
      <c r="U157" s="262">
        <f>F157+апр!J151</f>
        <v>177.93100000000001</v>
      </c>
      <c r="V157" s="261"/>
      <c r="W157" s="261"/>
      <c r="X157" s="261"/>
    </row>
    <row r="158" spans="1:24" ht="17.25" hidden="1" customHeight="1">
      <c r="A158" s="8" t="s">
        <v>141</v>
      </c>
      <c r="B158" s="9" t="s">
        <v>81</v>
      </c>
      <c r="C158" s="8" t="s">
        <v>4</v>
      </c>
      <c r="D158" s="10">
        <v>8.7579999999999991</v>
      </c>
      <c r="E158" s="8"/>
      <c r="F158" s="55"/>
      <c r="G158" s="10">
        <f t="shared" si="77"/>
        <v>0</v>
      </c>
      <c r="H158" s="10">
        <f>D158+сентябрь!H158</f>
        <v>113.06999999999998</v>
      </c>
      <c r="I158" s="8"/>
      <c r="J158" s="10">
        <v>554.18899999999996</v>
      </c>
      <c r="K158" s="10">
        <f t="shared" si="79"/>
        <v>554.18899999999996</v>
      </c>
      <c r="L158" s="16"/>
      <c r="M158" s="220"/>
      <c r="N158" s="221"/>
      <c r="O158" s="263">
        <f t="shared" si="82"/>
        <v>441.11899999999997</v>
      </c>
      <c r="P158" s="264">
        <f t="shared" si="83"/>
        <v>390.12912355178213</v>
      </c>
      <c r="Q158" s="114">
        <f>151.331+353.558</f>
        <v>504.88900000000001</v>
      </c>
      <c r="R158" s="261"/>
      <c r="S158" s="261">
        <f t="shared" si="70"/>
        <v>43.789999999999992</v>
      </c>
      <c r="T158" s="265">
        <f>E158+апр!I152</f>
        <v>0</v>
      </c>
      <c r="U158" s="262">
        <f>F158+апр!J152</f>
        <v>130.03</v>
      </c>
      <c r="V158" s="261"/>
      <c r="W158" s="261"/>
      <c r="X158" s="261"/>
    </row>
    <row r="159" spans="1:24" ht="17.25" hidden="1" customHeight="1">
      <c r="A159" s="8" t="s">
        <v>142</v>
      </c>
      <c r="B159" s="9" t="s">
        <v>143</v>
      </c>
      <c r="C159" s="8"/>
      <c r="D159" s="10">
        <v>230.39099999999999</v>
      </c>
      <c r="E159" s="8"/>
      <c r="F159" s="55"/>
      <c r="G159" s="10">
        <f t="shared" si="77"/>
        <v>0</v>
      </c>
      <c r="H159" s="10">
        <f>D159+сентябрь!H159</f>
        <v>1221.2349999999999</v>
      </c>
      <c r="I159" s="8"/>
      <c r="J159" s="10">
        <v>131.72999999999999</v>
      </c>
      <c r="K159" s="10">
        <f t="shared" si="79"/>
        <v>131.72999999999999</v>
      </c>
      <c r="L159" s="16"/>
      <c r="M159" s="220"/>
      <c r="N159" s="221"/>
      <c r="O159" s="263">
        <f t="shared" si="82"/>
        <v>-1089.5049999999999</v>
      </c>
      <c r="P159" s="264">
        <f t="shared" si="83"/>
        <v>-89.213378260531343</v>
      </c>
      <c r="Q159" s="114">
        <f>83.828+35.926</f>
        <v>119.754</v>
      </c>
      <c r="R159" s="261"/>
      <c r="S159" s="261">
        <f t="shared" si="70"/>
        <v>1151.9549999999999</v>
      </c>
      <c r="T159" s="265">
        <f>E159+апр!I153</f>
        <v>0</v>
      </c>
      <c r="U159" s="262">
        <f>F159+апр!J153</f>
        <v>47.901000000000003</v>
      </c>
      <c r="V159" s="261"/>
      <c r="W159" s="261"/>
      <c r="X159" s="261"/>
    </row>
    <row r="160" spans="1:24" ht="75.75" customHeight="1">
      <c r="A160" s="218" t="s">
        <v>144</v>
      </c>
      <c r="B160" s="6" t="s">
        <v>145</v>
      </c>
      <c r="C160" s="218" t="s">
        <v>4</v>
      </c>
      <c r="D160" s="7">
        <f t="shared" ref="D160:J160" si="87">D161</f>
        <v>13.856</v>
      </c>
      <c r="E160" s="7">
        <f t="shared" si="87"/>
        <v>13.833</v>
      </c>
      <c r="F160" s="7">
        <f t="shared" si="87"/>
        <v>0</v>
      </c>
      <c r="G160" s="10">
        <f t="shared" si="77"/>
        <v>-13.833</v>
      </c>
      <c r="H160" s="7">
        <f t="shared" si="87"/>
        <v>314.41999999999996</v>
      </c>
      <c r="I160" s="7">
        <f t="shared" si="87"/>
        <v>138.33000000000001</v>
      </c>
      <c r="J160" s="7">
        <f t="shared" si="87"/>
        <v>352.36200000000002</v>
      </c>
      <c r="K160" s="10">
        <f t="shared" si="79"/>
        <v>214.03200000000001</v>
      </c>
      <c r="L160" s="16">
        <f t="shared" ref="L160:L209" si="88">K160/I160*100</f>
        <v>154.72565603990458</v>
      </c>
      <c r="M160" s="220"/>
      <c r="N160" s="221"/>
      <c r="O160" s="263">
        <f t="shared" si="82"/>
        <v>37.942000000000064</v>
      </c>
      <c r="P160" s="264">
        <f t="shared" si="83"/>
        <v>12.067298517906009</v>
      </c>
      <c r="Q160" s="114"/>
      <c r="R160" s="261"/>
      <c r="S160" s="261">
        <f t="shared" si="70"/>
        <v>69.28</v>
      </c>
      <c r="T160" s="265">
        <f>E160+апр!I154</f>
        <v>69.165000000000006</v>
      </c>
      <c r="U160" s="262">
        <f>F160+апр!J154</f>
        <v>135.75200000000001</v>
      </c>
      <c r="V160" s="261"/>
      <c r="W160" s="261"/>
      <c r="X160" s="261"/>
    </row>
    <row r="161" spans="1:24" ht="17.25" customHeight="1">
      <c r="A161" s="8" t="s">
        <v>146</v>
      </c>
      <c r="B161" s="9" t="s">
        <v>147</v>
      </c>
      <c r="C161" s="8" t="s">
        <v>4</v>
      </c>
      <c r="D161" s="10">
        <v>13.856</v>
      </c>
      <c r="E161" s="8">
        <v>13.833</v>
      </c>
      <c r="F161" s="55"/>
      <c r="G161" s="10">
        <f t="shared" si="77"/>
        <v>-13.833</v>
      </c>
      <c r="H161" s="10">
        <f>D161+сентябрь!H161</f>
        <v>314.41999999999996</v>
      </c>
      <c r="I161" s="8">
        <f>E161+сентябрь!I161</f>
        <v>138.33000000000001</v>
      </c>
      <c r="J161" s="10">
        <f>14.875+18.865+52.611+41.096+209.19+15.725</f>
        <v>352.36200000000002</v>
      </c>
      <c r="K161" s="10">
        <f t="shared" si="79"/>
        <v>214.03200000000001</v>
      </c>
      <c r="L161" s="16">
        <f t="shared" si="88"/>
        <v>154.72565603990458</v>
      </c>
      <c r="M161" s="220"/>
      <c r="N161" s="221"/>
      <c r="O161" s="263">
        <f t="shared" si="82"/>
        <v>37.942000000000064</v>
      </c>
      <c r="P161" s="264">
        <f t="shared" si="83"/>
        <v>12.067298517906009</v>
      </c>
      <c r="Q161" s="114">
        <f>14.875+16.64+15.725+41.096+191.653+35.074</f>
        <v>315.06299999999999</v>
      </c>
      <c r="R161" s="261"/>
      <c r="S161" s="261">
        <f t="shared" si="70"/>
        <v>69.28</v>
      </c>
      <c r="T161" s="265">
        <f>E161+апр!I155</f>
        <v>69.165000000000006</v>
      </c>
      <c r="U161" s="262">
        <f>F161+апр!J155</f>
        <v>135.75200000000001</v>
      </c>
      <c r="V161" s="261"/>
      <c r="W161" s="261"/>
      <c r="X161" s="261"/>
    </row>
    <row r="162" spans="1:24" ht="18" customHeight="1">
      <c r="A162" s="218" t="s">
        <v>148</v>
      </c>
      <c r="B162" s="6" t="s">
        <v>149</v>
      </c>
      <c r="C162" s="218" t="s">
        <v>4</v>
      </c>
      <c r="D162" s="27">
        <f t="shared" ref="D162" si="89">D163+D166+D169+D172+D175</f>
        <v>71.188999999999993</v>
      </c>
      <c r="E162" s="218">
        <v>72.417000000000002</v>
      </c>
      <c r="F162" s="27">
        <f>F163+F166+F169+F172+F175</f>
        <v>0</v>
      </c>
      <c r="G162" s="10">
        <f t="shared" si="77"/>
        <v>-72.417000000000002</v>
      </c>
      <c r="H162" s="27">
        <f>H163+H166+H169+H172+H175</f>
        <v>3131.876666666667</v>
      </c>
      <c r="I162" s="8">
        <f>E162+сентябрь!I162</f>
        <v>724.17000000000019</v>
      </c>
      <c r="J162" s="27">
        <f>J163+J166+J169+J172+J175</f>
        <v>662.92399999999998</v>
      </c>
      <c r="K162" s="10">
        <f t="shared" si="79"/>
        <v>-61.246000000000208</v>
      </c>
      <c r="L162" s="16">
        <f t="shared" si="88"/>
        <v>-8.4574064100971036</v>
      </c>
      <c r="M162" s="220"/>
      <c r="N162" s="221"/>
      <c r="O162" s="263">
        <f t="shared" si="82"/>
        <v>-2468.952666666667</v>
      </c>
      <c r="P162" s="264">
        <f t="shared" si="83"/>
        <v>-78.833010665596674</v>
      </c>
      <c r="Q162" s="114"/>
      <c r="R162" s="261"/>
      <c r="S162" s="261">
        <f t="shared" si="70"/>
        <v>355.94499999999994</v>
      </c>
      <c r="T162" s="265">
        <f>E162+апр!I156</f>
        <v>362.08500000000004</v>
      </c>
      <c r="U162" s="262">
        <f>F162+апр!J156</f>
        <v>525.91800000000001</v>
      </c>
      <c r="V162" s="261"/>
      <c r="W162" s="261"/>
      <c r="X162" s="261"/>
    </row>
    <row r="163" spans="1:24" ht="17.25" hidden="1" customHeight="1">
      <c r="A163" s="8" t="s">
        <v>150</v>
      </c>
      <c r="B163" s="9" t="s">
        <v>151</v>
      </c>
      <c r="C163" s="8" t="s">
        <v>4</v>
      </c>
      <c r="D163" s="10">
        <v>49.027999999999999</v>
      </c>
      <c r="E163" s="8"/>
      <c r="F163" s="8"/>
      <c r="G163" s="10">
        <f t="shared" si="77"/>
        <v>0</v>
      </c>
      <c r="H163" s="10">
        <f>D163+сентябрь!H163</f>
        <v>490.28000000000009</v>
      </c>
      <c r="I163" s="8"/>
      <c r="J163" s="10">
        <f>483.977+38.446</f>
        <v>522.423</v>
      </c>
      <c r="K163" s="10">
        <f t="shared" si="79"/>
        <v>522.423</v>
      </c>
      <c r="L163" s="16"/>
      <c r="M163" s="220"/>
      <c r="N163" s="221"/>
      <c r="O163" s="263">
        <f t="shared" si="82"/>
        <v>32.142999999999915</v>
      </c>
      <c r="P163" s="264">
        <f t="shared" si="83"/>
        <v>6.5560496043077245</v>
      </c>
      <c r="Q163" s="114"/>
      <c r="R163" s="261"/>
      <c r="S163" s="261">
        <f t="shared" si="70"/>
        <v>245.14</v>
      </c>
      <c r="T163" s="265">
        <f>E163+апр!I157</f>
        <v>0</v>
      </c>
      <c r="U163" s="262">
        <f>F163+апр!J157</f>
        <v>483.976</v>
      </c>
      <c r="V163" s="261"/>
      <c r="W163" s="261"/>
      <c r="X163" s="261"/>
    </row>
    <row r="164" spans="1:24" ht="17.25" hidden="1" customHeight="1">
      <c r="A164" s="8"/>
      <c r="B164" s="28" t="s">
        <v>13</v>
      </c>
      <c r="C164" s="8" t="s">
        <v>152</v>
      </c>
      <c r="D164" s="10">
        <v>13.144</v>
      </c>
      <c r="E164" s="8"/>
      <c r="F164" s="8"/>
      <c r="G164" s="10">
        <f t="shared" si="77"/>
        <v>0</v>
      </c>
      <c r="H164" s="10">
        <f>D164+сентябрь!H164</f>
        <v>70.334999999999994</v>
      </c>
      <c r="I164" s="8"/>
      <c r="J164" s="10">
        <f>F164+сентябрь!J164</f>
        <v>81.87</v>
      </c>
      <c r="K164" s="10">
        <f t="shared" si="79"/>
        <v>81.87</v>
      </c>
      <c r="L164" s="16"/>
      <c r="M164" s="220" t="s">
        <v>302</v>
      </c>
      <c r="N164" s="221"/>
      <c r="O164" s="263">
        <f t="shared" si="82"/>
        <v>11.535000000000011</v>
      </c>
      <c r="P164" s="264">
        <f t="shared" si="83"/>
        <v>16.400085306035418</v>
      </c>
      <c r="Q164" s="114"/>
      <c r="R164" s="261"/>
      <c r="S164" s="261">
        <f t="shared" si="70"/>
        <v>65.72</v>
      </c>
      <c r="T164" s="265">
        <f>E164+апр!I158</f>
        <v>0</v>
      </c>
      <c r="U164" s="262">
        <f>F164+апр!J158</f>
        <v>81.87</v>
      </c>
      <c r="V164" s="261"/>
      <c r="W164" s="261"/>
      <c r="X164" s="261"/>
    </row>
    <row r="165" spans="1:24" ht="17.25" hidden="1" customHeight="1">
      <c r="A165" s="8"/>
      <c r="B165" s="28" t="s">
        <v>15</v>
      </c>
      <c r="C165" s="8" t="s">
        <v>16</v>
      </c>
      <c r="D165" s="16">
        <f>D163/D164*1000</f>
        <v>3730.0669506999393</v>
      </c>
      <c r="E165" s="16"/>
      <c r="F165" s="16" t="e">
        <f>F163/F164*1000</f>
        <v>#DIV/0!</v>
      </c>
      <c r="G165" s="10" t="e">
        <f t="shared" si="77"/>
        <v>#DIV/0!</v>
      </c>
      <c r="H165" s="16">
        <f>H163/H164*1000</f>
        <v>6970.640506149145</v>
      </c>
      <c r="I165" s="8"/>
      <c r="J165" s="16">
        <f>J163/J164*1000</f>
        <v>6381.1286185415902</v>
      </c>
      <c r="K165" s="10">
        <f t="shared" si="79"/>
        <v>6381.1286185415902</v>
      </c>
      <c r="L165" s="16"/>
      <c r="M165" s="220"/>
      <c r="N165" s="221"/>
      <c r="O165" s="263">
        <f t="shared" si="82"/>
        <v>-589.51188760755485</v>
      </c>
      <c r="P165" s="264">
        <f t="shared" si="83"/>
        <v>-8.4570691471969806</v>
      </c>
      <c r="Q165" s="114"/>
      <c r="R165" s="261"/>
      <c r="S165" s="261">
        <f t="shared" si="70"/>
        <v>18650.334753499697</v>
      </c>
      <c r="T165" s="265">
        <f>E165+апр!I159</f>
        <v>0</v>
      </c>
      <c r="U165" s="262" t="e">
        <f>F165+апр!J159</f>
        <v>#DIV/0!</v>
      </c>
      <c r="V165" s="261"/>
      <c r="W165" s="261"/>
      <c r="X165" s="261"/>
    </row>
    <row r="166" spans="1:24" ht="17.25" hidden="1" customHeight="1">
      <c r="A166" s="8" t="s">
        <v>153</v>
      </c>
      <c r="B166" s="9" t="s">
        <v>154</v>
      </c>
      <c r="C166" s="8" t="s">
        <v>4</v>
      </c>
      <c r="D166" s="10">
        <v>0.92300000000000004</v>
      </c>
      <c r="E166" s="8"/>
      <c r="F166" s="8"/>
      <c r="G166" s="10">
        <f t="shared" si="77"/>
        <v>0</v>
      </c>
      <c r="H166" s="10">
        <f>D166+сентябрь!H166</f>
        <v>1235.2816666666668</v>
      </c>
      <c r="I166" s="8"/>
      <c r="J166" s="10">
        <f>F166+сентябрь!J166</f>
        <v>0</v>
      </c>
      <c r="K166" s="10">
        <f t="shared" si="79"/>
        <v>0</v>
      </c>
      <c r="L166" s="16"/>
      <c r="M166" s="220"/>
      <c r="N166" s="221"/>
      <c r="O166" s="263">
        <f t="shared" si="82"/>
        <v>-1235.2816666666668</v>
      </c>
      <c r="P166" s="264">
        <f t="shared" si="83"/>
        <v>-100</v>
      </c>
      <c r="Q166" s="114"/>
      <c r="R166" s="261"/>
      <c r="S166" s="261">
        <f t="shared" si="70"/>
        <v>4.6150000000000002</v>
      </c>
      <c r="T166" s="265">
        <f>E166+апр!I160</f>
        <v>0</v>
      </c>
      <c r="U166" s="262">
        <f>F166+апр!J160</f>
        <v>0</v>
      </c>
      <c r="V166" s="261"/>
      <c r="W166" s="261"/>
      <c r="X166" s="261"/>
    </row>
    <row r="167" spans="1:24" ht="17.25" hidden="1" customHeight="1">
      <c r="A167" s="8"/>
      <c r="B167" s="28" t="s">
        <v>13</v>
      </c>
      <c r="C167" s="8" t="s">
        <v>155</v>
      </c>
      <c r="D167" s="10">
        <v>0.75</v>
      </c>
      <c r="E167" s="8"/>
      <c r="F167" s="8"/>
      <c r="G167" s="10">
        <f t="shared" si="77"/>
        <v>0</v>
      </c>
      <c r="H167" s="10">
        <f>D167+сентябрь!H167</f>
        <v>14.65</v>
      </c>
      <c r="I167" s="8"/>
      <c r="J167" s="10">
        <f>F167+сентябрь!J167</f>
        <v>0</v>
      </c>
      <c r="K167" s="10">
        <f t="shared" si="79"/>
        <v>0</v>
      </c>
      <c r="L167" s="16"/>
      <c r="M167" s="220"/>
      <c r="N167" s="221"/>
      <c r="O167" s="263">
        <f t="shared" si="82"/>
        <v>-14.65</v>
      </c>
      <c r="P167" s="264">
        <f t="shared" si="83"/>
        <v>-100</v>
      </c>
      <c r="Q167" s="114"/>
      <c r="R167" s="261"/>
      <c r="S167" s="261">
        <f t="shared" si="70"/>
        <v>3.75</v>
      </c>
      <c r="T167" s="265">
        <f>E167+апр!I161</f>
        <v>0</v>
      </c>
      <c r="U167" s="262">
        <f>F167+апр!J161</f>
        <v>0</v>
      </c>
      <c r="V167" s="261"/>
      <c r="W167" s="261"/>
      <c r="X167" s="261"/>
    </row>
    <row r="168" spans="1:24" ht="17.25" hidden="1" customHeight="1">
      <c r="A168" s="8"/>
      <c r="B168" s="28" t="s">
        <v>15</v>
      </c>
      <c r="C168" s="8" t="s">
        <v>16</v>
      </c>
      <c r="D168" s="16">
        <f>D166/D167*1000</f>
        <v>1230.6666666666667</v>
      </c>
      <c r="E168" s="8"/>
      <c r="F168" s="8"/>
      <c r="G168" s="10">
        <f t="shared" si="77"/>
        <v>0</v>
      </c>
      <c r="H168" s="16">
        <f>H166/H167*1000</f>
        <v>84319.567690557451</v>
      </c>
      <c r="I168" s="8"/>
      <c r="J168" s="8"/>
      <c r="K168" s="10">
        <f t="shared" si="79"/>
        <v>0</v>
      </c>
      <c r="L168" s="16"/>
      <c r="M168" s="220"/>
      <c r="N168" s="221"/>
      <c r="O168" s="263">
        <f t="shared" si="82"/>
        <v>-84319.567690557451</v>
      </c>
      <c r="P168" s="264">
        <f t="shared" si="83"/>
        <v>-100</v>
      </c>
      <c r="Q168" s="114"/>
      <c r="R168" s="261"/>
      <c r="S168" s="261">
        <f t="shared" si="70"/>
        <v>6153.3333333333339</v>
      </c>
      <c r="T168" s="265">
        <f>E168+апр!I162</f>
        <v>0</v>
      </c>
      <c r="U168" s="262">
        <f>F168+апр!J162</f>
        <v>0</v>
      </c>
      <c r="V168" s="261"/>
      <c r="W168" s="261"/>
      <c r="X168" s="261"/>
    </row>
    <row r="169" spans="1:24" ht="17.25" hidden="1" customHeight="1">
      <c r="A169" s="8" t="s">
        <v>156</v>
      </c>
      <c r="B169" s="9" t="s">
        <v>157</v>
      </c>
      <c r="C169" s="8" t="s">
        <v>4</v>
      </c>
      <c r="D169" s="10">
        <v>2.1800000000000002</v>
      </c>
      <c r="E169" s="8"/>
      <c r="F169" s="55"/>
      <c r="G169" s="10">
        <f t="shared" si="77"/>
        <v>0</v>
      </c>
      <c r="H169" s="10">
        <f>D169+сентябрь!H169</f>
        <v>119.90000000000003</v>
      </c>
      <c r="I169" s="8"/>
      <c r="J169" s="10">
        <f>6.693+19.627</f>
        <v>26.32</v>
      </c>
      <c r="K169" s="10">
        <f t="shared" si="79"/>
        <v>26.32</v>
      </c>
      <c r="L169" s="16"/>
      <c r="M169" s="220"/>
      <c r="N169" s="221"/>
      <c r="O169" s="263">
        <f t="shared" si="82"/>
        <v>-93.580000000000041</v>
      </c>
      <c r="P169" s="264">
        <f t="shared" si="83"/>
        <v>-78.048373644703929</v>
      </c>
      <c r="Q169" s="114"/>
      <c r="R169" s="261"/>
      <c r="S169" s="261">
        <f t="shared" si="70"/>
        <v>10.9</v>
      </c>
      <c r="T169" s="265">
        <f>E169+апр!I163</f>
        <v>0</v>
      </c>
      <c r="U169" s="262">
        <f>F169+апр!J163</f>
        <v>12.802999999999999</v>
      </c>
      <c r="V169" s="261"/>
      <c r="W169" s="261"/>
      <c r="X169" s="261"/>
    </row>
    <row r="170" spans="1:24" ht="17.25" hidden="1" customHeight="1">
      <c r="A170" s="8"/>
      <c r="B170" s="28" t="s">
        <v>13</v>
      </c>
      <c r="C170" s="8" t="s">
        <v>155</v>
      </c>
      <c r="D170" s="14">
        <v>20</v>
      </c>
      <c r="E170" s="8"/>
      <c r="F170" s="8"/>
      <c r="G170" s="10">
        <f t="shared" si="77"/>
        <v>0</v>
      </c>
      <c r="H170" s="10">
        <f>D170+сентябрь!H170</f>
        <v>195.29</v>
      </c>
      <c r="I170" s="8"/>
      <c r="J170" s="10">
        <f>F170+сентябрь!J170</f>
        <v>99</v>
      </c>
      <c r="K170" s="10">
        <f t="shared" si="79"/>
        <v>99</v>
      </c>
      <c r="L170" s="16"/>
      <c r="M170" s="220"/>
      <c r="N170" s="221"/>
      <c r="O170" s="263">
        <f t="shared" si="82"/>
        <v>-96.289999999999992</v>
      </c>
      <c r="P170" s="264">
        <f t="shared" si="83"/>
        <v>-49.306160069640022</v>
      </c>
      <c r="Q170" s="114"/>
      <c r="R170" s="261"/>
      <c r="S170" s="261">
        <f t="shared" si="70"/>
        <v>100</v>
      </c>
      <c r="T170" s="265">
        <f>E170+апр!I164</f>
        <v>0</v>
      </c>
      <c r="U170" s="262">
        <f>F170+апр!J164</f>
        <v>99</v>
      </c>
      <c r="V170" s="261"/>
      <c r="W170" s="261"/>
      <c r="X170" s="261"/>
    </row>
    <row r="171" spans="1:24" ht="17.25" hidden="1" customHeight="1">
      <c r="A171" s="8"/>
      <c r="B171" s="28" t="s">
        <v>15</v>
      </c>
      <c r="C171" s="8" t="s">
        <v>16</v>
      </c>
      <c r="D171" s="16">
        <f>D169/D170*1000</f>
        <v>109.00000000000001</v>
      </c>
      <c r="E171" s="16"/>
      <c r="F171" s="16" t="e">
        <f t="shared" ref="F171" si="90">F169/F170*1000</f>
        <v>#DIV/0!</v>
      </c>
      <c r="G171" s="10" t="e">
        <f t="shared" si="77"/>
        <v>#DIV/0!</v>
      </c>
      <c r="H171" s="16">
        <f>H169/H170*1000</f>
        <v>613.95872804547105</v>
      </c>
      <c r="I171" s="8"/>
      <c r="J171" s="16">
        <f t="shared" ref="J171" si="91">J169/J170*1000</f>
        <v>265.85858585858585</v>
      </c>
      <c r="K171" s="10">
        <f t="shared" si="79"/>
        <v>265.85858585858585</v>
      </c>
      <c r="L171" s="16"/>
      <c r="M171" s="220"/>
      <c r="N171" s="221"/>
      <c r="O171" s="263">
        <f t="shared" si="82"/>
        <v>-348.10014218688519</v>
      </c>
      <c r="P171" s="264">
        <f t="shared" si="83"/>
        <v>-56.697645344184146</v>
      </c>
      <c r="Q171" s="114"/>
      <c r="R171" s="261"/>
      <c r="S171" s="261">
        <f t="shared" si="70"/>
        <v>545.00000000000011</v>
      </c>
      <c r="T171" s="265">
        <f>E171+апр!I165</f>
        <v>0</v>
      </c>
      <c r="U171" s="262" t="e">
        <f>F171+апр!J165</f>
        <v>#DIV/0!</v>
      </c>
      <c r="V171" s="261"/>
      <c r="W171" s="261"/>
      <c r="X171" s="261"/>
    </row>
    <row r="172" spans="1:24" ht="17.25" hidden="1" customHeight="1">
      <c r="A172" s="8" t="s">
        <v>158</v>
      </c>
      <c r="B172" s="9" t="s">
        <v>159</v>
      </c>
      <c r="C172" s="8" t="s">
        <v>4</v>
      </c>
      <c r="D172" s="10">
        <v>19.058</v>
      </c>
      <c r="E172" s="8"/>
      <c r="F172" s="54"/>
      <c r="G172" s="10">
        <f t="shared" si="77"/>
        <v>0</v>
      </c>
      <c r="H172" s="10">
        <f>D172+сентябрь!H172</f>
        <v>1286.415</v>
      </c>
      <c r="I172" s="8"/>
      <c r="J172" s="10">
        <f>66.6+33.3</f>
        <v>99.899999999999991</v>
      </c>
      <c r="K172" s="10">
        <f t="shared" si="79"/>
        <v>99.899999999999991</v>
      </c>
      <c r="L172" s="16"/>
      <c r="M172" s="220"/>
      <c r="N172" s="221"/>
      <c r="O172" s="263">
        <f t="shared" si="82"/>
        <v>-1186.5149999999999</v>
      </c>
      <c r="P172" s="264">
        <f t="shared" si="83"/>
        <v>-92.234232343372852</v>
      </c>
      <c r="Q172" s="114"/>
      <c r="R172" s="261"/>
      <c r="S172" s="261">
        <f t="shared" si="70"/>
        <v>95.289999999999992</v>
      </c>
      <c r="T172" s="265">
        <f>E172+апр!I166</f>
        <v>0</v>
      </c>
      <c r="U172" s="262">
        <f>F172+апр!J166</f>
        <v>22.2</v>
      </c>
      <c r="V172" s="261"/>
      <c r="W172" s="261"/>
      <c r="X172" s="261"/>
    </row>
    <row r="173" spans="1:24" ht="17.25" hidden="1" customHeight="1">
      <c r="A173" s="8"/>
      <c r="B173" s="28" t="s">
        <v>13</v>
      </c>
      <c r="C173" s="8" t="s">
        <v>155</v>
      </c>
      <c r="D173" s="14">
        <v>16</v>
      </c>
      <c r="E173" s="8"/>
      <c r="F173" s="8"/>
      <c r="G173" s="10">
        <f t="shared" si="77"/>
        <v>0</v>
      </c>
      <c r="H173" s="10">
        <f>D173+сентябрь!H173</f>
        <v>80</v>
      </c>
      <c r="I173" s="8"/>
      <c r="J173" s="10">
        <f>F173+сентябрь!J173</f>
        <v>6</v>
      </c>
      <c r="K173" s="10">
        <f t="shared" si="79"/>
        <v>6</v>
      </c>
      <c r="L173" s="16"/>
      <c r="M173" s="220"/>
      <c r="N173" s="221"/>
      <c r="O173" s="263">
        <f t="shared" si="82"/>
        <v>-74</v>
      </c>
      <c r="P173" s="264">
        <f t="shared" si="83"/>
        <v>-92.5</v>
      </c>
      <c r="Q173" s="114"/>
      <c r="R173" s="261"/>
      <c r="S173" s="261">
        <f t="shared" si="70"/>
        <v>80</v>
      </c>
      <c r="T173" s="265">
        <f>E173+апр!I167</f>
        <v>0</v>
      </c>
      <c r="U173" s="262">
        <f>F173+апр!J167</f>
        <v>6</v>
      </c>
      <c r="V173" s="261"/>
      <c r="W173" s="261"/>
      <c r="X173" s="261"/>
    </row>
    <row r="174" spans="1:24" ht="17.25" hidden="1" customHeight="1">
      <c r="A174" s="8"/>
      <c r="B174" s="28" t="s">
        <v>15</v>
      </c>
      <c r="C174" s="8" t="s">
        <v>16</v>
      </c>
      <c r="D174" s="16">
        <f>D172/D173*1000</f>
        <v>1191.125</v>
      </c>
      <c r="E174" s="8"/>
      <c r="F174" s="16" t="e">
        <f>F172/F173*1000</f>
        <v>#DIV/0!</v>
      </c>
      <c r="G174" s="10" t="e">
        <f t="shared" si="77"/>
        <v>#DIV/0!</v>
      </c>
      <c r="H174" s="16">
        <f>H172/H173*1000</f>
        <v>16080.187500000002</v>
      </c>
      <c r="I174" s="8"/>
      <c r="J174" s="16">
        <f>J172/J173*1000</f>
        <v>16650</v>
      </c>
      <c r="K174" s="10">
        <f t="shared" si="79"/>
        <v>16650</v>
      </c>
      <c r="L174" s="16"/>
      <c r="M174" s="220"/>
      <c r="N174" s="221"/>
      <c r="O174" s="263">
        <f t="shared" si="82"/>
        <v>569.81249999999818</v>
      </c>
      <c r="P174" s="264">
        <f t="shared" si="83"/>
        <v>3.543568755028498</v>
      </c>
      <c r="Q174" s="114"/>
      <c r="R174" s="261"/>
      <c r="S174" s="261">
        <f t="shared" si="70"/>
        <v>5955.625</v>
      </c>
      <c r="T174" s="265">
        <f>E174+апр!I168</f>
        <v>0</v>
      </c>
      <c r="U174" s="262" t="e">
        <f>F174+апр!J168</f>
        <v>#DIV/0!</v>
      </c>
      <c r="V174" s="261"/>
      <c r="W174" s="261"/>
      <c r="X174" s="261"/>
    </row>
    <row r="175" spans="1:24" ht="17.25" hidden="1" customHeight="1">
      <c r="A175" s="8" t="s">
        <v>158</v>
      </c>
      <c r="B175" s="9" t="s">
        <v>224</v>
      </c>
      <c r="C175" s="8" t="s">
        <v>4</v>
      </c>
      <c r="D175" s="10">
        <v>0</v>
      </c>
      <c r="E175" s="8"/>
      <c r="F175" s="55"/>
      <c r="G175" s="10">
        <f t="shared" si="77"/>
        <v>0</v>
      </c>
      <c r="H175" s="10">
        <f>D175+сентябрь!H175</f>
        <v>0</v>
      </c>
      <c r="I175" s="8"/>
      <c r="J175" s="10">
        <f>3.635+10.646</f>
        <v>14.281000000000001</v>
      </c>
      <c r="K175" s="10">
        <f t="shared" si="79"/>
        <v>14.281000000000001</v>
      </c>
      <c r="L175" s="16"/>
      <c r="M175" s="220"/>
      <c r="N175" s="221"/>
      <c r="O175" s="263">
        <f t="shared" si="82"/>
        <v>14.281000000000001</v>
      </c>
      <c r="P175" s="264" t="e">
        <f t="shared" si="83"/>
        <v>#DIV/0!</v>
      </c>
      <c r="Q175" s="114"/>
      <c r="R175" s="261"/>
      <c r="S175" s="261">
        <f t="shared" si="70"/>
        <v>0</v>
      </c>
      <c r="T175" s="265">
        <f>E175+апр!I169</f>
        <v>0</v>
      </c>
      <c r="U175" s="262">
        <f>F175+апр!J169</f>
        <v>6.9390000000000001</v>
      </c>
      <c r="V175" s="261"/>
      <c r="W175" s="261"/>
      <c r="X175" s="261"/>
    </row>
    <row r="176" spans="1:24" ht="17.25" hidden="1" customHeight="1">
      <c r="A176" s="8"/>
      <c r="B176" s="28" t="s">
        <v>13</v>
      </c>
      <c r="C176" s="8" t="s">
        <v>155</v>
      </c>
      <c r="D176" s="14">
        <v>0</v>
      </c>
      <c r="E176" s="8"/>
      <c r="F176" s="8"/>
      <c r="G176" s="10">
        <f t="shared" si="77"/>
        <v>0</v>
      </c>
      <c r="H176" s="10">
        <f>D176+сентябрь!H176</f>
        <v>0</v>
      </c>
      <c r="I176" s="8"/>
      <c r="J176" s="10">
        <f>F176+сентябрь!J176</f>
        <v>99</v>
      </c>
      <c r="K176" s="10">
        <f t="shared" si="79"/>
        <v>99</v>
      </c>
      <c r="L176" s="16"/>
      <c r="M176" s="220"/>
      <c r="N176" s="221"/>
      <c r="O176" s="263">
        <f t="shared" si="82"/>
        <v>99</v>
      </c>
      <c r="P176" s="264" t="e">
        <f t="shared" si="83"/>
        <v>#DIV/0!</v>
      </c>
      <c r="Q176" s="114"/>
      <c r="R176" s="261"/>
      <c r="S176" s="261">
        <f t="shared" si="70"/>
        <v>0</v>
      </c>
      <c r="T176" s="265">
        <f>E176+апр!I170</f>
        <v>0</v>
      </c>
      <c r="U176" s="262">
        <f>F176+апр!J170</f>
        <v>99</v>
      </c>
      <c r="V176" s="261"/>
      <c r="W176" s="261"/>
      <c r="X176" s="261"/>
    </row>
    <row r="177" spans="1:24" ht="17.25" hidden="1" customHeight="1">
      <c r="A177" s="8"/>
      <c r="B177" s="28" t="s">
        <v>15</v>
      </c>
      <c r="C177" s="8" t="s">
        <v>16</v>
      </c>
      <c r="D177" s="16" t="e">
        <f>D175/D176*1000</f>
        <v>#DIV/0!</v>
      </c>
      <c r="E177" s="8"/>
      <c r="F177" s="16" t="e">
        <f>F175/F176*1000</f>
        <v>#DIV/0!</v>
      </c>
      <c r="G177" s="10" t="e">
        <f t="shared" si="77"/>
        <v>#DIV/0!</v>
      </c>
      <c r="H177" s="16" t="e">
        <f>H175/H176*1000</f>
        <v>#DIV/0!</v>
      </c>
      <c r="I177" s="8"/>
      <c r="J177" s="16">
        <f>J175/J176*1000</f>
        <v>144.25252525252526</v>
      </c>
      <c r="K177" s="10">
        <f t="shared" si="79"/>
        <v>144.25252525252526</v>
      </c>
      <c r="L177" s="16"/>
      <c r="M177" s="220"/>
      <c r="N177" s="221"/>
      <c r="O177" s="263" t="e">
        <f t="shared" si="82"/>
        <v>#DIV/0!</v>
      </c>
      <c r="P177" s="264" t="e">
        <f t="shared" si="83"/>
        <v>#DIV/0!</v>
      </c>
      <c r="Q177" s="114"/>
      <c r="R177" s="261"/>
      <c r="S177" s="261" t="e">
        <f t="shared" si="70"/>
        <v>#DIV/0!</v>
      </c>
      <c r="T177" s="265">
        <f>E177+апр!I171</f>
        <v>0</v>
      </c>
      <c r="U177" s="262" t="e">
        <f>F177+апр!J171</f>
        <v>#DIV/0!</v>
      </c>
      <c r="V177" s="261"/>
      <c r="W177" s="261"/>
      <c r="X177" s="261"/>
    </row>
    <row r="178" spans="1:24" ht="17.25" customHeight="1">
      <c r="A178" s="16" t="s">
        <v>160</v>
      </c>
      <c r="B178" s="9" t="s">
        <v>108</v>
      </c>
      <c r="C178" s="8" t="s">
        <v>4</v>
      </c>
      <c r="D178" s="10">
        <v>62.704999999999998</v>
      </c>
      <c r="E178" s="8">
        <v>62.667000000000002</v>
      </c>
      <c r="F178" s="10">
        <f>F179+F180+F181</f>
        <v>0</v>
      </c>
      <c r="G178" s="10">
        <f t="shared" si="77"/>
        <v>-62.667000000000002</v>
      </c>
      <c r="H178" s="10">
        <f>D178+сентябрь!H178</f>
        <v>627.04999999999995</v>
      </c>
      <c r="I178" s="8">
        <f>E178+сентябрь!I178</f>
        <v>626.67000000000019</v>
      </c>
      <c r="J178" s="8">
        <f>J179+J180+J181</f>
        <v>854.26100000000008</v>
      </c>
      <c r="K178" s="10">
        <f t="shared" si="79"/>
        <v>227.59099999999989</v>
      </c>
      <c r="L178" s="16">
        <f t="shared" si="88"/>
        <v>36.317519587661742</v>
      </c>
      <c r="M178" s="220"/>
      <c r="N178" s="221"/>
      <c r="O178" s="263">
        <f t="shared" si="82"/>
        <v>227.21100000000013</v>
      </c>
      <c r="P178" s="264">
        <f t="shared" si="83"/>
        <v>36.234909496850356</v>
      </c>
      <c r="Q178" s="114"/>
      <c r="R178" s="261"/>
      <c r="S178" s="261">
        <f t="shared" si="70"/>
        <v>313.52499999999998</v>
      </c>
      <c r="T178" s="265">
        <f>E178+апр!I172</f>
        <v>313.33500000000004</v>
      </c>
      <c r="U178" s="262">
        <f>F178+апр!J172</f>
        <v>260.55100000000004</v>
      </c>
      <c r="V178" s="261"/>
      <c r="W178" s="261"/>
      <c r="X178" s="261"/>
    </row>
    <row r="179" spans="1:24" ht="17.25" hidden="1" customHeight="1">
      <c r="A179" s="16"/>
      <c r="B179" s="9" t="s">
        <v>221</v>
      </c>
      <c r="C179" s="8" t="s">
        <v>4</v>
      </c>
      <c r="D179" s="10"/>
      <c r="E179" s="8"/>
      <c r="F179" s="54"/>
      <c r="G179" s="10">
        <f t="shared" si="77"/>
        <v>0</v>
      </c>
      <c r="H179" s="10">
        <f>D179+сентябрь!H179</f>
        <v>0</v>
      </c>
      <c r="I179" s="8"/>
      <c r="J179" s="10">
        <f>197.21+399.23</f>
        <v>596.44000000000005</v>
      </c>
      <c r="K179" s="10">
        <f t="shared" si="79"/>
        <v>596.44000000000005</v>
      </c>
      <c r="L179" s="16"/>
      <c r="M179" s="220"/>
      <c r="N179" s="221"/>
      <c r="O179" s="263">
        <f t="shared" si="82"/>
        <v>596.44000000000005</v>
      </c>
      <c r="P179" s="264" t="e">
        <f t="shared" si="83"/>
        <v>#DIV/0!</v>
      </c>
      <c r="Q179" s="114"/>
      <c r="R179" s="261"/>
      <c r="S179" s="261">
        <f t="shared" si="70"/>
        <v>0</v>
      </c>
      <c r="T179" s="265">
        <f>E179+апр!I173</f>
        <v>0</v>
      </c>
      <c r="U179" s="262">
        <f>F179+апр!J173</f>
        <v>158.73000000000002</v>
      </c>
      <c r="V179" s="261"/>
      <c r="W179" s="261"/>
      <c r="X179" s="261"/>
    </row>
    <row r="180" spans="1:24" ht="37.5" hidden="1" customHeight="1">
      <c r="A180" s="16"/>
      <c r="B180" s="9" t="s">
        <v>222</v>
      </c>
      <c r="C180" s="8" t="s">
        <v>4</v>
      </c>
      <c r="D180" s="10"/>
      <c r="E180" s="8"/>
      <c r="F180" s="54"/>
      <c r="G180" s="10">
        <f t="shared" si="77"/>
        <v>0</v>
      </c>
      <c r="H180" s="10">
        <f>D180+сентябрь!H180</f>
        <v>324.53000000000003</v>
      </c>
      <c r="I180" s="8"/>
      <c r="J180" s="10">
        <f>120+137.821</f>
        <v>257.82100000000003</v>
      </c>
      <c r="K180" s="10">
        <f t="shared" si="79"/>
        <v>257.82100000000003</v>
      </c>
      <c r="L180" s="16"/>
      <c r="M180" s="220"/>
      <c r="N180" s="221"/>
      <c r="O180" s="263">
        <f t="shared" si="82"/>
        <v>-66.709000000000003</v>
      </c>
      <c r="P180" s="264">
        <f t="shared" si="83"/>
        <v>-20.555572674329028</v>
      </c>
      <c r="Q180" s="114"/>
      <c r="R180" s="261"/>
      <c r="S180" s="261">
        <f t="shared" si="70"/>
        <v>0</v>
      </c>
      <c r="T180" s="265">
        <f>E180+апр!I174</f>
        <v>0</v>
      </c>
      <c r="U180" s="262">
        <f>F180+апр!J174</f>
        <v>101.821</v>
      </c>
      <c r="V180" s="261"/>
      <c r="W180" s="261"/>
      <c r="X180" s="261"/>
    </row>
    <row r="181" spans="1:24" ht="18.75" hidden="1" customHeight="1">
      <c r="A181" s="16"/>
      <c r="B181" s="9" t="s">
        <v>223</v>
      </c>
      <c r="C181" s="8" t="s">
        <v>4</v>
      </c>
      <c r="D181" s="10"/>
      <c r="E181" s="8"/>
      <c r="F181" s="8"/>
      <c r="G181" s="10">
        <f t="shared" si="77"/>
        <v>0</v>
      </c>
      <c r="H181" s="10">
        <f>D181+сентябрь!H181</f>
        <v>11.165000000000001</v>
      </c>
      <c r="I181" s="8"/>
      <c r="J181" s="10">
        <f>F181+сентябрь!J181</f>
        <v>0</v>
      </c>
      <c r="K181" s="10">
        <f t="shared" si="79"/>
        <v>0</v>
      </c>
      <c r="L181" s="16"/>
      <c r="M181" s="220"/>
      <c r="N181" s="221"/>
      <c r="O181" s="263">
        <f t="shared" si="82"/>
        <v>-11.165000000000001</v>
      </c>
      <c r="P181" s="264">
        <f t="shared" si="83"/>
        <v>-100</v>
      </c>
      <c r="Q181" s="114"/>
      <c r="R181" s="261"/>
      <c r="S181" s="261">
        <f t="shared" si="70"/>
        <v>0</v>
      </c>
      <c r="T181" s="265">
        <f>E181+апр!I175</f>
        <v>0</v>
      </c>
      <c r="U181" s="262">
        <f>F181+апр!J175</f>
        <v>0</v>
      </c>
      <c r="V181" s="261"/>
      <c r="W181" s="261"/>
      <c r="X181" s="261"/>
    </row>
    <row r="182" spans="1:24" ht="18.75">
      <c r="A182" s="16" t="s">
        <v>161</v>
      </c>
      <c r="B182" s="9" t="s">
        <v>162</v>
      </c>
      <c r="C182" s="8" t="s">
        <v>4</v>
      </c>
      <c r="D182" s="10">
        <v>64.906000000000006</v>
      </c>
      <c r="E182" s="8">
        <v>64.917000000000002</v>
      </c>
      <c r="F182" s="8"/>
      <c r="G182" s="10">
        <f t="shared" si="77"/>
        <v>-64.917000000000002</v>
      </c>
      <c r="H182" s="10">
        <f>D182+сентябрь!H182</f>
        <v>335.69500000000005</v>
      </c>
      <c r="I182" s="8">
        <f>E182+сентябрь!I182</f>
        <v>649.17000000000019</v>
      </c>
      <c r="J182" s="10">
        <f>25.661+56.002+17.583+49.179+39.375+59.874+189.793+50.862+129.185+91.875</f>
        <v>709.38900000000001</v>
      </c>
      <c r="K182" s="10">
        <f t="shared" si="79"/>
        <v>60.218999999999824</v>
      </c>
      <c r="L182" s="16">
        <f t="shared" si="88"/>
        <v>9.2763066685151507</v>
      </c>
      <c r="M182" s="220"/>
      <c r="N182" s="221"/>
      <c r="O182" s="263">
        <f t="shared" si="82"/>
        <v>373.69399999999996</v>
      </c>
      <c r="P182" s="264">
        <f t="shared" si="83"/>
        <v>111.31950133305529</v>
      </c>
      <c r="Q182" s="114"/>
      <c r="R182" s="261"/>
      <c r="S182" s="261">
        <f t="shared" si="70"/>
        <v>324.53000000000003</v>
      </c>
      <c r="T182" s="265">
        <f>E182+апр!I176</f>
        <v>324.58500000000004</v>
      </c>
      <c r="U182" s="262">
        <f>F182+апр!J176</f>
        <v>305.517</v>
      </c>
      <c r="V182" s="261"/>
      <c r="W182" s="261"/>
      <c r="X182" s="261"/>
    </row>
    <row r="183" spans="1:24" ht="35.25" customHeight="1">
      <c r="A183" s="16" t="s">
        <v>163</v>
      </c>
      <c r="B183" s="9" t="s">
        <v>165</v>
      </c>
      <c r="C183" s="8" t="s">
        <v>4</v>
      </c>
      <c r="D183" s="10">
        <f>D184</f>
        <v>2.2330000000000001</v>
      </c>
      <c r="E183" s="8"/>
      <c r="F183" s="8"/>
      <c r="G183" s="10">
        <f t="shared" si="77"/>
        <v>0</v>
      </c>
      <c r="H183" s="10">
        <f>H184</f>
        <v>317.63</v>
      </c>
      <c r="I183" s="8"/>
      <c r="J183" s="8"/>
      <c r="K183" s="10">
        <f t="shared" si="79"/>
        <v>0</v>
      </c>
      <c r="L183" s="16"/>
      <c r="M183" s="220"/>
      <c r="N183" s="221"/>
      <c r="O183" s="263">
        <f t="shared" si="82"/>
        <v>-317.63</v>
      </c>
      <c r="P183" s="264">
        <f t="shared" si="83"/>
        <v>-100</v>
      </c>
      <c r="Q183" s="114"/>
      <c r="R183" s="261"/>
      <c r="S183" s="261">
        <f t="shared" si="70"/>
        <v>11.165000000000001</v>
      </c>
      <c r="T183" s="265">
        <f>E183+апр!I177</f>
        <v>0</v>
      </c>
      <c r="U183" s="262">
        <f>F183+апр!J177</f>
        <v>0</v>
      </c>
      <c r="V183" s="261"/>
      <c r="W183" s="261"/>
      <c r="X183" s="261"/>
    </row>
    <row r="184" spans="1:24" ht="18.75" customHeight="1">
      <c r="A184" s="16"/>
      <c r="B184" s="9" t="s">
        <v>100</v>
      </c>
      <c r="C184" s="8" t="s">
        <v>4</v>
      </c>
      <c r="D184" s="10">
        <v>2.2330000000000001</v>
      </c>
      <c r="E184" s="8"/>
      <c r="F184" s="8"/>
      <c r="G184" s="10">
        <f t="shared" si="77"/>
        <v>0</v>
      </c>
      <c r="H184" s="10">
        <f>D184+сентябрь!H184</f>
        <v>317.63</v>
      </c>
      <c r="I184" s="8"/>
      <c r="J184" s="10">
        <f>F184+сентябрь!J184</f>
        <v>0</v>
      </c>
      <c r="K184" s="10">
        <f t="shared" si="79"/>
        <v>0</v>
      </c>
      <c r="L184" s="16"/>
      <c r="M184" s="212"/>
      <c r="N184" s="213"/>
      <c r="O184" s="263">
        <f t="shared" si="82"/>
        <v>-317.63</v>
      </c>
      <c r="P184" s="264">
        <f t="shared" si="83"/>
        <v>-100</v>
      </c>
      <c r="Q184" s="114"/>
      <c r="R184" s="261"/>
      <c r="S184" s="261">
        <f t="shared" si="70"/>
        <v>11.165000000000001</v>
      </c>
      <c r="T184" s="265">
        <f>E184+апр!I178</f>
        <v>0</v>
      </c>
      <c r="U184" s="262">
        <f>F184+апр!J178</f>
        <v>0</v>
      </c>
      <c r="V184" s="261"/>
      <c r="W184" s="261"/>
      <c r="X184" s="261"/>
    </row>
    <row r="185" spans="1:24" ht="17.25" customHeight="1">
      <c r="A185" s="16" t="s">
        <v>164</v>
      </c>
      <c r="B185" s="6" t="s">
        <v>169</v>
      </c>
      <c r="C185" s="218" t="s">
        <v>4</v>
      </c>
      <c r="D185" s="7">
        <f t="shared" ref="D185:F185" si="92">D186+D187+D188</f>
        <v>318.99799999999999</v>
      </c>
      <c r="E185" s="7">
        <f t="shared" si="92"/>
        <v>637.41600000000005</v>
      </c>
      <c r="F185" s="7">
        <f t="shared" si="92"/>
        <v>0</v>
      </c>
      <c r="G185" s="10">
        <f t="shared" si="77"/>
        <v>-637.41600000000005</v>
      </c>
      <c r="H185" s="7">
        <f t="shared" ref="H185:J185" si="93">H186+H187+H188</f>
        <v>2772.2649999999999</v>
      </c>
      <c r="I185" s="7">
        <f t="shared" si="93"/>
        <v>5798.0770000000002</v>
      </c>
      <c r="J185" s="7">
        <f t="shared" si="93"/>
        <v>6997.8110000000015</v>
      </c>
      <c r="K185" s="10">
        <f t="shared" si="79"/>
        <v>1199.7340000000013</v>
      </c>
      <c r="L185" s="16">
        <f t="shared" si="88"/>
        <v>20.691929410389019</v>
      </c>
      <c r="M185" s="220"/>
      <c r="N185" s="221"/>
      <c r="O185" s="263">
        <f t="shared" si="82"/>
        <v>4225.5460000000021</v>
      </c>
      <c r="P185" s="264">
        <f t="shared" si="83"/>
        <v>152.4221530048535</v>
      </c>
      <c r="Q185" s="114"/>
      <c r="R185" s="261"/>
      <c r="S185" s="261">
        <f t="shared" si="70"/>
        <v>1594.99</v>
      </c>
      <c r="T185" s="265">
        <f>E185+апр!I179</f>
        <v>3187.0800000000004</v>
      </c>
      <c r="U185" s="262">
        <f>F185+апр!J179</f>
        <v>0</v>
      </c>
      <c r="V185" s="261"/>
      <c r="W185" s="261"/>
      <c r="X185" s="261"/>
    </row>
    <row r="186" spans="1:24" ht="17.25" hidden="1" customHeight="1">
      <c r="A186" s="8" t="s">
        <v>166</v>
      </c>
      <c r="B186" s="9" t="s">
        <v>170</v>
      </c>
      <c r="C186" s="8" t="s">
        <v>4</v>
      </c>
      <c r="D186" s="10">
        <v>61.292999999999999</v>
      </c>
      <c r="E186" s="8">
        <v>61.332999999999998</v>
      </c>
      <c r="F186" s="8"/>
      <c r="G186" s="10">
        <f t="shared" si="77"/>
        <v>-61.332999999999998</v>
      </c>
      <c r="H186" s="10">
        <f>D186+сентябрь!H186</f>
        <v>752.60500000000002</v>
      </c>
      <c r="I186" s="8">
        <f>E186+сентябрь!I186</f>
        <v>613.32999999999981</v>
      </c>
      <c r="J186" s="10">
        <f>798.734</f>
        <v>798.73400000000004</v>
      </c>
      <c r="K186" s="10">
        <f t="shared" si="79"/>
        <v>185.40400000000022</v>
      </c>
      <c r="L186" s="16">
        <f t="shared" si="88"/>
        <v>30.229077331942065</v>
      </c>
      <c r="M186" s="220"/>
      <c r="N186" s="221"/>
      <c r="O186" s="263">
        <f t="shared" si="82"/>
        <v>46.129000000000019</v>
      </c>
      <c r="P186" s="264">
        <f t="shared" si="83"/>
        <v>6.1292444243660382</v>
      </c>
      <c r="Q186" s="114"/>
      <c r="R186" s="261"/>
      <c r="S186" s="261">
        <f t="shared" si="70"/>
        <v>306.46499999999997</v>
      </c>
      <c r="T186" s="265">
        <f>E186+апр!I180</f>
        <v>306.66499999999996</v>
      </c>
      <c r="U186" s="262">
        <f>F186+апр!J180</f>
        <v>0</v>
      </c>
      <c r="V186" s="261"/>
      <c r="W186" s="261"/>
      <c r="X186" s="261"/>
    </row>
    <row r="187" spans="1:24" ht="17.25" hidden="1" customHeight="1">
      <c r="A187" s="8" t="s">
        <v>167</v>
      </c>
      <c r="B187" s="9" t="s">
        <v>171</v>
      </c>
      <c r="C187" s="8" t="s">
        <v>4</v>
      </c>
      <c r="D187" s="10">
        <v>168.477</v>
      </c>
      <c r="E187" s="8">
        <v>486.83300000000003</v>
      </c>
      <c r="F187" s="8"/>
      <c r="G187" s="10">
        <f t="shared" si="77"/>
        <v>-486.83300000000003</v>
      </c>
      <c r="H187" s="10">
        <f>D187+сентябрь!H187</f>
        <v>1320.93</v>
      </c>
      <c r="I187" s="8">
        <f>E187+сентябрь!I187</f>
        <v>4381.4970000000003</v>
      </c>
      <c r="J187" s="10">
        <f>2556.516+2556.514</f>
        <v>5113.0300000000007</v>
      </c>
      <c r="K187" s="10">
        <f t="shared" si="79"/>
        <v>731.53300000000036</v>
      </c>
      <c r="L187" s="16">
        <f t="shared" si="88"/>
        <v>16.695960307630024</v>
      </c>
      <c r="M187" s="220" t="s">
        <v>300</v>
      </c>
      <c r="N187" s="221"/>
      <c r="O187" s="263">
        <f t="shared" si="82"/>
        <v>3792.1000000000004</v>
      </c>
      <c r="P187" s="264">
        <f t="shared" si="83"/>
        <v>287.07804349965556</v>
      </c>
      <c r="Q187" s="114"/>
      <c r="R187" s="261"/>
      <c r="S187" s="261">
        <f t="shared" si="70"/>
        <v>842.38499999999999</v>
      </c>
      <c r="T187" s="265">
        <f>E187+апр!I181</f>
        <v>2434.165</v>
      </c>
      <c r="U187" s="262">
        <f>F187+апр!J181</f>
        <v>0</v>
      </c>
      <c r="V187" s="261"/>
      <c r="W187" s="261"/>
      <c r="X187" s="261"/>
    </row>
    <row r="188" spans="1:24" ht="17.25" hidden="1" customHeight="1">
      <c r="A188" s="8" t="s">
        <v>267</v>
      </c>
      <c r="B188" s="9" t="s">
        <v>172</v>
      </c>
      <c r="C188" s="8" t="s">
        <v>4</v>
      </c>
      <c r="D188" s="10">
        <v>89.227999999999994</v>
      </c>
      <c r="E188" s="10">
        <v>89.25</v>
      </c>
      <c r="F188" s="8"/>
      <c r="G188" s="10">
        <f t="shared" si="77"/>
        <v>-89.25</v>
      </c>
      <c r="H188" s="10">
        <f>D188+сентябрь!H188</f>
        <v>698.7299999999999</v>
      </c>
      <c r="I188" s="8">
        <f>E188+сентябрь!I188</f>
        <v>803.25</v>
      </c>
      <c r="J188" s="10">
        <f>438.85+647.197</f>
        <v>1086.047</v>
      </c>
      <c r="K188" s="10">
        <f t="shared" si="79"/>
        <v>282.79700000000003</v>
      </c>
      <c r="L188" s="16">
        <f t="shared" si="88"/>
        <v>35.206598194833497</v>
      </c>
      <c r="M188" s="220" t="s">
        <v>300</v>
      </c>
      <c r="N188" s="221"/>
      <c r="O188" s="263">
        <f t="shared" si="82"/>
        <v>387.31700000000012</v>
      </c>
      <c r="P188" s="264">
        <f t="shared" si="83"/>
        <v>55.431568703218723</v>
      </c>
      <c r="Q188" s="114"/>
      <c r="R188" s="261"/>
      <c r="S188" s="261">
        <f t="shared" si="70"/>
        <v>446.14</v>
      </c>
      <c r="T188" s="265">
        <f>E188+апр!I182</f>
        <v>446.25</v>
      </c>
      <c r="U188" s="262">
        <f>F188+апр!J182</f>
        <v>0</v>
      </c>
      <c r="V188" s="261"/>
      <c r="W188" s="261"/>
      <c r="X188" s="261"/>
    </row>
    <row r="189" spans="1:24" ht="53.25" hidden="1" customHeight="1">
      <c r="A189" s="8" t="s">
        <v>168</v>
      </c>
      <c r="B189" s="9" t="s">
        <v>174</v>
      </c>
      <c r="C189" s="8" t="s">
        <v>4</v>
      </c>
      <c r="D189" s="10">
        <v>95.709000000000003</v>
      </c>
      <c r="E189" s="8">
        <v>93.167000000000002</v>
      </c>
      <c r="F189" s="8"/>
      <c r="G189" s="10">
        <f t="shared" si="77"/>
        <v>-93.167000000000002</v>
      </c>
      <c r="H189" s="10">
        <f>D189+сентябрь!H189</f>
        <v>574.81500000000005</v>
      </c>
      <c r="I189" s="8">
        <f>E189+сентябрь!I189</f>
        <v>838.50300000000016</v>
      </c>
      <c r="J189" s="10">
        <f>360.75+597.745</f>
        <v>958.495</v>
      </c>
      <c r="K189" s="10">
        <f t="shared" si="79"/>
        <v>119.99199999999985</v>
      </c>
      <c r="L189" s="16">
        <f t="shared" si="88"/>
        <v>14.310264841032152</v>
      </c>
      <c r="M189" s="231" t="s">
        <v>303</v>
      </c>
      <c r="N189" s="232"/>
      <c r="O189" s="263">
        <f t="shared" si="82"/>
        <v>383.67999999999995</v>
      </c>
      <c r="P189" s="264">
        <f t="shared" si="83"/>
        <v>66.748432104242212</v>
      </c>
      <c r="Q189" s="117"/>
      <c r="R189" s="261"/>
      <c r="S189" s="261">
        <f t="shared" si="70"/>
        <v>478.54500000000002</v>
      </c>
      <c r="T189" s="265">
        <f>E189+апр!I183</f>
        <v>465.83500000000004</v>
      </c>
      <c r="U189" s="262">
        <f>F189+апр!J183</f>
        <v>314.67400000000004</v>
      </c>
      <c r="V189" s="261"/>
      <c r="W189" s="261"/>
      <c r="X189" s="261"/>
    </row>
    <row r="190" spans="1:24" ht="33" customHeight="1">
      <c r="A190" s="218" t="s">
        <v>173</v>
      </c>
      <c r="B190" s="6" t="s">
        <v>176</v>
      </c>
      <c r="C190" s="218" t="s">
        <v>4</v>
      </c>
      <c r="D190" s="7">
        <f t="shared" ref="D190:F190" si="94">D191+D192+D193</f>
        <v>50.518000000000001</v>
      </c>
      <c r="E190" s="7">
        <v>50.5</v>
      </c>
      <c r="F190" s="7">
        <f t="shared" si="94"/>
        <v>0</v>
      </c>
      <c r="G190" s="10">
        <f t="shared" si="77"/>
        <v>-50.5</v>
      </c>
      <c r="H190" s="7">
        <f t="shared" ref="H190:J190" si="95">H191+H192+H193</f>
        <v>521.40999999999985</v>
      </c>
      <c r="I190" s="7">
        <f t="shared" si="95"/>
        <v>0</v>
      </c>
      <c r="J190" s="7">
        <f t="shared" si="95"/>
        <v>852.02300000000002</v>
      </c>
      <c r="K190" s="10">
        <f t="shared" si="79"/>
        <v>852.02300000000002</v>
      </c>
      <c r="L190" s="16" t="e">
        <f t="shared" si="88"/>
        <v>#DIV/0!</v>
      </c>
      <c r="M190" s="231" t="s">
        <v>293</v>
      </c>
      <c r="N190" s="232"/>
      <c r="O190" s="263">
        <f t="shared" si="82"/>
        <v>330.61300000000017</v>
      </c>
      <c r="P190" s="264">
        <f t="shared" si="83"/>
        <v>63.407491225714942</v>
      </c>
      <c r="Q190" s="217"/>
      <c r="R190" s="7">
        <f>R191+R192+R193</f>
        <v>343.50800000000004</v>
      </c>
      <c r="S190" s="261">
        <f t="shared" si="70"/>
        <v>252.59</v>
      </c>
      <c r="T190" s="265">
        <f>E190+апр!I184</f>
        <v>252.5</v>
      </c>
      <c r="U190" s="262">
        <f>F190+апр!J184</f>
        <v>0</v>
      </c>
      <c r="V190" s="261"/>
      <c r="W190" s="261"/>
      <c r="X190" s="261"/>
    </row>
    <row r="191" spans="1:24" ht="17.25" customHeight="1">
      <c r="A191" s="8" t="s">
        <v>268</v>
      </c>
      <c r="B191" s="9" t="s">
        <v>177</v>
      </c>
      <c r="C191" s="8" t="s">
        <v>4</v>
      </c>
      <c r="D191" s="10">
        <v>19.254000000000001</v>
      </c>
      <c r="E191" s="8"/>
      <c r="F191" s="10"/>
      <c r="G191" s="10">
        <f t="shared" si="77"/>
        <v>0</v>
      </c>
      <c r="H191" s="10">
        <f>D191+сентябрь!H191</f>
        <v>208.76999999999995</v>
      </c>
      <c r="I191" s="8">
        <f>E191+сентябрь!I191</f>
        <v>0</v>
      </c>
      <c r="J191" s="10">
        <f>215.25+636.773</f>
        <v>852.02300000000002</v>
      </c>
      <c r="K191" s="10">
        <f t="shared" si="79"/>
        <v>852.02300000000002</v>
      </c>
      <c r="L191" s="16"/>
      <c r="M191" s="220"/>
      <c r="N191" s="221"/>
      <c r="O191" s="263">
        <f t="shared" si="82"/>
        <v>643.25300000000004</v>
      </c>
      <c r="P191" s="264">
        <f t="shared" si="83"/>
        <v>308.11562964027405</v>
      </c>
      <c r="Q191" s="213"/>
      <c r="R191" s="10">
        <v>130.12</v>
      </c>
      <c r="S191" s="261">
        <f t="shared" si="70"/>
        <v>96.27000000000001</v>
      </c>
      <c r="T191" s="265">
        <f>E191+апр!I185</f>
        <v>0</v>
      </c>
      <c r="U191" s="262">
        <f>F191+апр!J185</f>
        <v>0</v>
      </c>
      <c r="V191" s="261"/>
      <c r="W191" s="261"/>
      <c r="X191" s="261"/>
    </row>
    <row r="192" spans="1:24" ht="17.25" customHeight="1">
      <c r="A192" s="8" t="s">
        <v>269</v>
      </c>
      <c r="B192" s="9" t="s">
        <v>178</v>
      </c>
      <c r="C192" s="8" t="s">
        <v>4</v>
      </c>
      <c r="D192" s="10">
        <v>8.7639999999999993</v>
      </c>
      <c r="E192" s="8"/>
      <c r="F192" s="8"/>
      <c r="G192" s="10">
        <f t="shared" si="77"/>
        <v>0</v>
      </c>
      <c r="H192" s="10">
        <f>D192+сентябрь!H192</f>
        <v>87.639999999999972</v>
      </c>
      <c r="I192" s="8">
        <f>E192+сентябрь!I192</f>
        <v>0</v>
      </c>
      <c r="J192" s="10">
        <f>F192+сентябрь!J192</f>
        <v>0</v>
      </c>
      <c r="K192" s="10">
        <f t="shared" si="79"/>
        <v>0</v>
      </c>
      <c r="L192" s="16"/>
      <c r="M192" s="220"/>
      <c r="N192" s="221"/>
      <c r="O192" s="263">
        <f t="shared" si="82"/>
        <v>-87.639999999999972</v>
      </c>
      <c r="P192" s="264">
        <f t="shared" si="83"/>
        <v>-100</v>
      </c>
      <c r="Q192" s="213"/>
      <c r="R192" s="8">
        <v>15.369</v>
      </c>
      <c r="S192" s="261">
        <f t="shared" si="70"/>
        <v>43.819999999999993</v>
      </c>
      <c r="T192" s="265">
        <f>E192+апр!I186</f>
        <v>0</v>
      </c>
      <c r="U192" s="262">
        <f>F192+апр!J186</f>
        <v>0</v>
      </c>
      <c r="V192" s="261"/>
      <c r="W192" s="261"/>
      <c r="X192" s="261"/>
    </row>
    <row r="193" spans="1:24" ht="17.25" customHeight="1">
      <c r="A193" s="8" t="s">
        <v>270</v>
      </c>
      <c r="B193" s="9" t="s">
        <v>179</v>
      </c>
      <c r="C193" s="8" t="s">
        <v>4</v>
      </c>
      <c r="D193" s="10">
        <v>22.5</v>
      </c>
      <c r="E193" s="8"/>
      <c r="F193" s="8"/>
      <c r="G193" s="10">
        <f t="shared" si="77"/>
        <v>0</v>
      </c>
      <c r="H193" s="10">
        <f>D193+сентябрь!H193</f>
        <v>225</v>
      </c>
      <c r="I193" s="8">
        <f>E193+сентябрь!I193</f>
        <v>0</v>
      </c>
      <c r="J193" s="10">
        <f>F193+сентябрь!J193</f>
        <v>0</v>
      </c>
      <c r="K193" s="10">
        <f t="shared" si="79"/>
        <v>0</v>
      </c>
      <c r="L193" s="16"/>
      <c r="M193" s="220"/>
      <c r="N193" s="221"/>
      <c r="O193" s="263">
        <f t="shared" si="82"/>
        <v>-225</v>
      </c>
      <c r="P193" s="264">
        <f t="shared" si="83"/>
        <v>-100</v>
      </c>
      <c r="Q193" s="213"/>
      <c r="R193" s="8">
        <v>198.01900000000001</v>
      </c>
      <c r="S193" s="261">
        <f t="shared" si="70"/>
        <v>112.5</v>
      </c>
      <c r="T193" s="265">
        <f>E193+апр!I187</f>
        <v>0</v>
      </c>
      <c r="U193" s="262">
        <f>F193+апр!J187</f>
        <v>0</v>
      </c>
      <c r="V193" s="261"/>
      <c r="W193" s="261"/>
      <c r="X193" s="261"/>
    </row>
    <row r="194" spans="1:24" ht="17.25" customHeight="1">
      <c r="A194" s="218" t="s">
        <v>175</v>
      </c>
      <c r="B194" s="6" t="s">
        <v>180</v>
      </c>
      <c r="C194" s="218" t="s">
        <v>4</v>
      </c>
      <c r="D194" s="7">
        <f>D195+D196+D197+D198+D203+D204+D205+D206+D210</f>
        <v>186.78400000000005</v>
      </c>
      <c r="E194" s="7">
        <f>E195+E196+E197+E198+E203+E204+E205+E206+E210</f>
        <v>193.416</v>
      </c>
      <c r="F194" s="7">
        <f>F195+F196+F197+F198+F203+F204+F205+F206+F210</f>
        <v>0</v>
      </c>
      <c r="G194" s="10">
        <f t="shared" si="77"/>
        <v>-193.416</v>
      </c>
      <c r="H194" s="7">
        <f>H195+H196+H197+H198+H203+H204+H205+H206+H210</f>
        <v>9223.5450000000001</v>
      </c>
      <c r="I194" s="7">
        <f>I195+I196+I197+I198+I203+I204+I205+I206+I210</f>
        <v>1934.085</v>
      </c>
      <c r="J194" s="7">
        <f>J195+J196+J197+J198+J203+J204+J205+J206+J210+J211</f>
        <v>1209.3229999999999</v>
      </c>
      <c r="K194" s="10">
        <f t="shared" si="79"/>
        <v>-724.76200000000017</v>
      </c>
      <c r="L194" s="16">
        <f t="shared" si="88"/>
        <v>-37.47312036441005</v>
      </c>
      <c r="M194" s="226"/>
      <c r="N194" s="221"/>
      <c r="O194" s="263">
        <f t="shared" si="82"/>
        <v>-8014.2219999999998</v>
      </c>
      <c r="P194" s="264">
        <f t="shared" si="83"/>
        <v>-86.888739633188749</v>
      </c>
      <c r="Q194" s="114"/>
      <c r="R194" s="261"/>
      <c r="S194" s="261">
        <f t="shared" si="70"/>
        <v>933.9200000000003</v>
      </c>
      <c r="T194" s="265">
        <f>E194+апр!I188</f>
        <v>967.07999999999993</v>
      </c>
      <c r="U194" s="262">
        <f>F194+апр!J188</f>
        <v>425.315</v>
      </c>
      <c r="V194" s="261"/>
      <c r="W194" s="261"/>
      <c r="X194" s="261"/>
    </row>
    <row r="195" spans="1:24" ht="17.25" hidden="1" customHeight="1">
      <c r="A195" s="18" t="s">
        <v>271</v>
      </c>
      <c r="B195" s="9" t="s">
        <v>181</v>
      </c>
      <c r="C195" s="8" t="s">
        <v>4</v>
      </c>
      <c r="D195" s="10">
        <v>0</v>
      </c>
      <c r="E195" s="8"/>
      <c r="F195" s="8"/>
      <c r="G195" s="10">
        <f t="shared" si="77"/>
        <v>0</v>
      </c>
      <c r="H195" s="10">
        <f>D195+сентябрь!H195</f>
        <v>7.4550000000000001</v>
      </c>
      <c r="I195" s="8">
        <f>E195+сентябрь!I195</f>
        <v>0</v>
      </c>
      <c r="J195" s="10">
        <f>F195+сентябрь!J195</f>
        <v>0</v>
      </c>
      <c r="K195" s="10">
        <f t="shared" si="79"/>
        <v>0</v>
      </c>
      <c r="L195" s="16"/>
      <c r="M195" s="220"/>
      <c r="N195" s="221"/>
      <c r="O195" s="263">
        <f t="shared" si="82"/>
        <v>-7.4550000000000001</v>
      </c>
      <c r="P195" s="264">
        <f t="shared" si="83"/>
        <v>-100</v>
      </c>
      <c r="Q195" s="114"/>
      <c r="R195" s="261"/>
      <c r="S195" s="261">
        <f t="shared" si="70"/>
        <v>0</v>
      </c>
      <c r="T195" s="265">
        <f>E195+апр!I189</f>
        <v>0</v>
      </c>
      <c r="U195" s="262">
        <f>F195+апр!J189</f>
        <v>0</v>
      </c>
      <c r="V195" s="261"/>
      <c r="W195" s="261"/>
      <c r="X195" s="261"/>
    </row>
    <row r="196" spans="1:24" ht="17.25" hidden="1" customHeight="1">
      <c r="A196" s="18" t="s">
        <v>272</v>
      </c>
      <c r="B196" s="9" t="s">
        <v>182</v>
      </c>
      <c r="C196" s="8" t="s">
        <v>4</v>
      </c>
      <c r="D196" s="10">
        <v>15.651</v>
      </c>
      <c r="E196" s="10">
        <v>22.25</v>
      </c>
      <c r="F196" s="55"/>
      <c r="G196" s="10">
        <f t="shared" si="77"/>
        <v>-22.25</v>
      </c>
      <c r="H196" s="10">
        <f>D196+сентябрь!H196</f>
        <v>156.51</v>
      </c>
      <c r="I196" s="8">
        <f>E196+сентябрь!I196</f>
        <v>222.5</v>
      </c>
      <c r="J196" s="10">
        <f>45.713+207.845</f>
        <v>253.55799999999999</v>
      </c>
      <c r="K196" s="10">
        <f t="shared" si="79"/>
        <v>31.057999999999993</v>
      </c>
      <c r="L196" s="16">
        <f t="shared" si="88"/>
        <v>13.958651685393257</v>
      </c>
      <c r="M196" s="220"/>
      <c r="N196" s="221"/>
      <c r="O196" s="263">
        <f t="shared" si="82"/>
        <v>97.048000000000002</v>
      </c>
      <c r="P196" s="264">
        <f t="shared" si="83"/>
        <v>62.00753945434797</v>
      </c>
      <c r="Q196" s="114"/>
      <c r="R196" s="261"/>
      <c r="S196" s="261">
        <f t="shared" si="70"/>
        <v>78.254999999999995</v>
      </c>
      <c r="T196" s="265">
        <f>E196+апр!I190</f>
        <v>111.25</v>
      </c>
      <c r="U196" s="262">
        <f>F196+апр!J190</f>
        <v>131.35500000000002</v>
      </c>
      <c r="V196" s="261"/>
      <c r="W196" s="261"/>
      <c r="X196" s="261"/>
    </row>
    <row r="197" spans="1:24" ht="33.75" hidden="1" customHeight="1">
      <c r="A197" s="18" t="s">
        <v>273</v>
      </c>
      <c r="B197" s="9" t="s">
        <v>237</v>
      </c>
      <c r="C197" s="8" t="s">
        <v>4</v>
      </c>
      <c r="D197" s="10">
        <v>1.4910000000000001</v>
      </c>
      <c r="E197" s="10">
        <v>1.5</v>
      </c>
      <c r="F197" s="54"/>
      <c r="G197" s="10">
        <f t="shared" si="77"/>
        <v>-1.5</v>
      </c>
      <c r="H197" s="10">
        <f>D197+сентябрь!H197</f>
        <v>14.909999999999998</v>
      </c>
      <c r="I197" s="8">
        <f>E197+сентябрь!I197</f>
        <v>15</v>
      </c>
      <c r="J197" s="10">
        <f>3.6+13.09</f>
        <v>16.690000000000001</v>
      </c>
      <c r="K197" s="10">
        <f t="shared" si="79"/>
        <v>1.6900000000000013</v>
      </c>
      <c r="L197" s="16">
        <f t="shared" si="88"/>
        <v>11.266666666666675</v>
      </c>
      <c r="M197" s="220"/>
      <c r="N197" s="221"/>
      <c r="O197" s="263">
        <f t="shared" si="82"/>
        <v>1.7800000000000029</v>
      </c>
      <c r="P197" s="264">
        <f t="shared" si="83"/>
        <v>11.93829644533872</v>
      </c>
      <c r="Q197" s="114"/>
      <c r="R197" s="261"/>
      <c r="S197" s="261">
        <f t="shared" si="70"/>
        <v>7.4550000000000001</v>
      </c>
      <c r="T197" s="265">
        <f>E197+апр!I191</f>
        <v>7.5</v>
      </c>
      <c r="U197" s="262">
        <f>F197+апр!J191</f>
        <v>9.09</v>
      </c>
      <c r="V197" s="261"/>
      <c r="W197" s="261"/>
      <c r="X197" s="261"/>
    </row>
    <row r="198" spans="1:24" ht="36.75" hidden="1" customHeight="1">
      <c r="A198" s="18" t="s">
        <v>274</v>
      </c>
      <c r="B198" s="9" t="s">
        <v>183</v>
      </c>
      <c r="C198" s="8" t="s">
        <v>4</v>
      </c>
      <c r="D198" s="10">
        <f t="shared" ref="D198:F198" si="96">D199+D200+D201+D202</f>
        <v>149.55900000000003</v>
      </c>
      <c r="E198" s="10">
        <f t="shared" si="96"/>
        <v>149.583</v>
      </c>
      <c r="F198" s="10">
        <f t="shared" si="96"/>
        <v>0</v>
      </c>
      <c r="G198" s="10">
        <f t="shared" si="77"/>
        <v>-149.583</v>
      </c>
      <c r="H198" s="10">
        <f t="shared" ref="H198:I198" si="97">H199+H200+H201+H202</f>
        <v>1495.5900000000004</v>
      </c>
      <c r="I198" s="10">
        <f t="shared" si="97"/>
        <v>1495.83</v>
      </c>
      <c r="J198" s="10">
        <f>J199+J200+J201+J202</f>
        <v>589.34</v>
      </c>
      <c r="K198" s="10">
        <f t="shared" si="79"/>
        <v>-906.4899999999999</v>
      </c>
      <c r="L198" s="16">
        <f t="shared" si="88"/>
        <v>-60.601137829833597</v>
      </c>
      <c r="M198" s="220"/>
      <c r="N198" s="221"/>
      <c r="O198" s="263">
        <f t="shared" si="82"/>
        <v>-906.25000000000034</v>
      </c>
      <c r="P198" s="264">
        <f t="shared" si="83"/>
        <v>-60.594815424013269</v>
      </c>
      <c r="Q198" s="114"/>
      <c r="R198" s="261"/>
      <c r="S198" s="261">
        <f t="shared" si="70"/>
        <v>747.79500000000007</v>
      </c>
      <c r="T198" s="265">
        <f>E198+апр!I192</f>
        <v>747.91499999999996</v>
      </c>
      <c r="U198" s="262">
        <f>F198+апр!J192</f>
        <v>274.28100000000001</v>
      </c>
      <c r="V198" s="261"/>
      <c r="W198" s="261"/>
      <c r="X198" s="261"/>
    </row>
    <row r="199" spans="1:24" ht="74.25" hidden="1" customHeight="1">
      <c r="A199" s="8" t="s">
        <v>275</v>
      </c>
      <c r="B199" s="9" t="s">
        <v>184</v>
      </c>
      <c r="C199" s="8" t="s">
        <v>4</v>
      </c>
      <c r="D199" s="10">
        <v>33.363999999999997</v>
      </c>
      <c r="E199" s="8">
        <v>33.332999999999998</v>
      </c>
      <c r="F199" s="55"/>
      <c r="G199" s="10">
        <f t="shared" si="77"/>
        <v>-33.332999999999998</v>
      </c>
      <c r="H199" s="10">
        <f>D199+сентябрь!H199</f>
        <v>333.63999999999993</v>
      </c>
      <c r="I199" s="8">
        <f>E199+сентябрь!I199</f>
        <v>333.32999999999993</v>
      </c>
      <c r="J199" s="10">
        <f>117.959</f>
        <v>117.959</v>
      </c>
      <c r="K199" s="10">
        <f t="shared" si="79"/>
        <v>-215.37099999999992</v>
      </c>
      <c r="L199" s="16">
        <f t="shared" si="88"/>
        <v>-64.61194611946118</v>
      </c>
      <c r="M199" s="220"/>
      <c r="N199" s="221"/>
      <c r="O199" s="263">
        <f t="shared" si="82"/>
        <v>-215.68099999999993</v>
      </c>
      <c r="P199" s="264">
        <f t="shared" si="83"/>
        <v>-64.64482675938136</v>
      </c>
      <c r="Q199" s="114"/>
      <c r="R199" s="261"/>
      <c r="S199" s="261">
        <f t="shared" si="70"/>
        <v>166.82</v>
      </c>
      <c r="T199" s="265">
        <f>E199+апр!I193</f>
        <v>166.66499999999999</v>
      </c>
      <c r="U199" s="262">
        <f>F199+апр!J193</f>
        <v>189.47499999999999</v>
      </c>
      <c r="V199" s="261"/>
      <c r="W199" s="261"/>
      <c r="X199" s="261"/>
    </row>
    <row r="200" spans="1:24" ht="93" hidden="1" customHeight="1">
      <c r="A200" s="8" t="s">
        <v>276</v>
      </c>
      <c r="B200" s="9" t="s">
        <v>238</v>
      </c>
      <c r="C200" s="8" t="s">
        <v>4</v>
      </c>
      <c r="D200" s="10">
        <v>89.792000000000002</v>
      </c>
      <c r="E200" s="8">
        <v>89.832999999999998</v>
      </c>
      <c r="F200" s="55"/>
      <c r="G200" s="10">
        <f t="shared" si="77"/>
        <v>-89.832999999999998</v>
      </c>
      <c r="H200" s="10">
        <f>D200+сентябрь!H200</f>
        <v>897.92000000000019</v>
      </c>
      <c r="I200" s="8">
        <f>E200+сентябрь!I200</f>
        <v>898.32999999999981</v>
      </c>
      <c r="J200" s="10">
        <v>252.40600000000001</v>
      </c>
      <c r="K200" s="10">
        <f t="shared" si="79"/>
        <v>-645.92399999999975</v>
      </c>
      <c r="L200" s="16">
        <f t="shared" si="88"/>
        <v>-71.902752885910516</v>
      </c>
      <c r="M200" s="220"/>
      <c r="N200" s="221"/>
      <c r="O200" s="263">
        <f t="shared" si="82"/>
        <v>-645.51400000000012</v>
      </c>
      <c r="P200" s="264">
        <f t="shared" si="83"/>
        <v>-71.889923378474691</v>
      </c>
      <c r="Q200" s="114"/>
      <c r="R200" s="261"/>
      <c r="S200" s="261">
        <f t="shared" si="70"/>
        <v>448.96000000000004</v>
      </c>
      <c r="T200" s="265">
        <f>E200+апр!I194</f>
        <v>449.16499999999996</v>
      </c>
      <c r="U200" s="262">
        <f>F200+апр!J194</f>
        <v>0</v>
      </c>
      <c r="V200" s="261"/>
      <c r="W200" s="261"/>
      <c r="X200" s="261"/>
    </row>
    <row r="201" spans="1:24" ht="90.75" hidden="1" customHeight="1">
      <c r="A201" s="8" t="s">
        <v>277</v>
      </c>
      <c r="B201" s="9" t="s">
        <v>185</v>
      </c>
      <c r="C201" s="8" t="s">
        <v>4</v>
      </c>
      <c r="D201" s="10">
        <v>7.9660000000000002</v>
      </c>
      <c r="E201" s="8">
        <v>8</v>
      </c>
      <c r="F201" s="55"/>
      <c r="G201" s="10">
        <f t="shared" si="77"/>
        <v>-8</v>
      </c>
      <c r="H201" s="10">
        <f>D201+сентябрь!H201</f>
        <v>79.66</v>
      </c>
      <c r="I201" s="8">
        <f>E201+сентябрь!I201</f>
        <v>80</v>
      </c>
      <c r="J201" s="10">
        <f>15.261+47.237</f>
        <v>62.498000000000005</v>
      </c>
      <c r="K201" s="10">
        <f t="shared" si="79"/>
        <v>-17.501999999999995</v>
      </c>
      <c r="L201" s="16">
        <f t="shared" si="88"/>
        <v>-21.877499999999994</v>
      </c>
      <c r="M201" s="220"/>
      <c r="N201" s="221"/>
      <c r="O201" s="263">
        <f t="shared" si="82"/>
        <v>-17.161999999999992</v>
      </c>
      <c r="P201" s="264">
        <f t="shared" si="83"/>
        <v>-21.544062264624646</v>
      </c>
      <c r="Q201" s="114">
        <v>180.55600000000001</v>
      </c>
      <c r="R201" s="261"/>
      <c r="S201" s="261">
        <f t="shared" si="70"/>
        <v>39.83</v>
      </c>
      <c r="T201" s="265">
        <f>E201+апр!I195</f>
        <v>40</v>
      </c>
      <c r="U201" s="262">
        <f>F201+апр!J195</f>
        <v>15.260999999999999</v>
      </c>
      <c r="V201" s="261"/>
      <c r="W201" s="261"/>
      <c r="X201" s="261"/>
    </row>
    <row r="202" spans="1:24" ht="37.5" hidden="1" customHeight="1">
      <c r="A202" s="8" t="s">
        <v>278</v>
      </c>
      <c r="B202" s="9" t="s">
        <v>186</v>
      </c>
      <c r="C202" s="8" t="s">
        <v>4</v>
      </c>
      <c r="D202" s="10">
        <v>18.437000000000001</v>
      </c>
      <c r="E202" s="8">
        <v>18.417000000000002</v>
      </c>
      <c r="F202" s="55"/>
      <c r="G202" s="10">
        <f t="shared" si="77"/>
        <v>-18.417000000000002</v>
      </c>
      <c r="H202" s="10">
        <f>D202+сентябрь!H202</f>
        <v>184.37000000000003</v>
      </c>
      <c r="I202" s="8">
        <f>E202+сентябрь!I202</f>
        <v>184.17000000000002</v>
      </c>
      <c r="J202" s="10">
        <f>34.773+121.704</f>
        <v>156.477</v>
      </c>
      <c r="K202" s="10">
        <f t="shared" si="79"/>
        <v>-27.693000000000012</v>
      </c>
      <c r="L202" s="16">
        <f t="shared" si="88"/>
        <v>-15.036650920345338</v>
      </c>
      <c r="M202" s="220"/>
      <c r="N202" s="221"/>
      <c r="O202" s="263">
        <f t="shared" si="82"/>
        <v>-27.893000000000029</v>
      </c>
      <c r="P202" s="264">
        <f t="shared" si="83"/>
        <v>-15.12881705266585</v>
      </c>
      <c r="Q202" s="114"/>
      <c r="R202" s="261"/>
      <c r="S202" s="261">
        <f t="shared" si="70"/>
        <v>92.185000000000002</v>
      </c>
      <c r="T202" s="265">
        <f>E202+апр!I196</f>
        <v>92.085000000000008</v>
      </c>
      <c r="U202" s="262">
        <f>F202+апр!J196</f>
        <v>69.545000000000002</v>
      </c>
      <c r="V202" s="261"/>
      <c r="W202" s="261"/>
      <c r="X202" s="261"/>
    </row>
    <row r="203" spans="1:24" ht="17.25" hidden="1" customHeight="1">
      <c r="A203" s="18" t="s">
        <v>279</v>
      </c>
      <c r="B203" s="26" t="s">
        <v>187</v>
      </c>
      <c r="C203" s="8" t="s">
        <v>4</v>
      </c>
      <c r="D203" s="10">
        <v>15.818</v>
      </c>
      <c r="E203" s="8">
        <v>15.833</v>
      </c>
      <c r="F203" s="8"/>
      <c r="G203" s="10">
        <f t="shared" si="77"/>
        <v>-15.833</v>
      </c>
      <c r="H203" s="10">
        <f>D203+сентябрь!H203</f>
        <v>158.18</v>
      </c>
      <c r="I203" s="8">
        <f>E203+сентябрь!I203</f>
        <v>158.255</v>
      </c>
      <c r="J203" s="10">
        <f>F203+сентябрь!J203</f>
        <v>0</v>
      </c>
      <c r="K203" s="10">
        <f t="shared" si="79"/>
        <v>-158.255</v>
      </c>
      <c r="L203" s="16">
        <f t="shared" si="88"/>
        <v>-100</v>
      </c>
      <c r="M203" s="220"/>
      <c r="N203" s="221"/>
      <c r="O203" s="263">
        <f t="shared" si="82"/>
        <v>-158.18</v>
      </c>
      <c r="P203" s="264">
        <f t="shared" si="83"/>
        <v>-100</v>
      </c>
      <c r="Q203" s="114"/>
      <c r="R203" s="261"/>
      <c r="S203" s="261">
        <f t="shared" si="70"/>
        <v>79.09</v>
      </c>
      <c r="T203" s="265">
        <f>E203+апр!I197</f>
        <v>79.165000000000006</v>
      </c>
      <c r="U203" s="262">
        <f>F203+апр!J197</f>
        <v>0</v>
      </c>
      <c r="V203" s="261"/>
      <c r="W203" s="261"/>
      <c r="X203" s="261"/>
    </row>
    <row r="204" spans="1:24" ht="17.25" hidden="1" customHeight="1">
      <c r="A204" s="18"/>
      <c r="B204" s="26" t="s">
        <v>125</v>
      </c>
      <c r="C204" s="8" t="s">
        <v>4</v>
      </c>
      <c r="D204" s="10">
        <v>0.34200000000000003</v>
      </c>
      <c r="E204" s="8">
        <v>0.33300000000000002</v>
      </c>
      <c r="F204" s="8"/>
      <c r="G204" s="10">
        <f t="shared" si="77"/>
        <v>-0.33300000000000002</v>
      </c>
      <c r="H204" s="10">
        <f>D204+сентябрь!H204</f>
        <v>21.324999999999996</v>
      </c>
      <c r="I204" s="8">
        <f>E204+сентябрь!I204</f>
        <v>3.3300000000000005</v>
      </c>
      <c r="J204" s="10">
        <f>F204+сентябрь!J204</f>
        <v>0</v>
      </c>
      <c r="K204" s="10">
        <f t="shared" si="79"/>
        <v>-3.3300000000000005</v>
      </c>
      <c r="L204" s="16">
        <f t="shared" si="88"/>
        <v>-100</v>
      </c>
      <c r="M204" s="220"/>
      <c r="N204" s="221"/>
      <c r="O204" s="263">
        <f t="shared" si="82"/>
        <v>-21.324999999999996</v>
      </c>
      <c r="P204" s="264">
        <f t="shared" si="83"/>
        <v>-100</v>
      </c>
      <c r="Q204" s="114"/>
      <c r="R204" s="261"/>
      <c r="S204" s="261">
        <f t="shared" si="70"/>
        <v>1.7100000000000002</v>
      </c>
      <c r="T204" s="265">
        <f>E204+апр!I198</f>
        <v>1.665</v>
      </c>
      <c r="U204" s="262">
        <f>F204+апр!J198</f>
        <v>0</v>
      </c>
      <c r="V204" s="261"/>
      <c r="W204" s="261"/>
      <c r="X204" s="261"/>
    </row>
    <row r="205" spans="1:24" ht="17.25" hidden="1" customHeight="1">
      <c r="A205" s="18" t="s">
        <v>280</v>
      </c>
      <c r="B205" s="26" t="s">
        <v>188</v>
      </c>
      <c r="C205" s="8" t="s">
        <v>4</v>
      </c>
      <c r="D205" s="10">
        <v>0</v>
      </c>
      <c r="E205" s="8"/>
      <c r="F205" s="8"/>
      <c r="G205" s="10">
        <f t="shared" si="77"/>
        <v>0</v>
      </c>
      <c r="H205" s="10">
        <f>D205+сентябрь!H205</f>
        <v>0</v>
      </c>
      <c r="I205" s="8">
        <f>E205+сентябрь!I205</f>
        <v>0</v>
      </c>
      <c r="J205" s="10">
        <f>F205+сентябрь!J205</f>
        <v>0</v>
      </c>
      <c r="K205" s="10">
        <f t="shared" si="79"/>
        <v>0</v>
      </c>
      <c r="L205" s="16"/>
      <c r="M205" s="220"/>
      <c r="N205" s="221"/>
      <c r="O205" s="263">
        <f t="shared" si="82"/>
        <v>0</v>
      </c>
      <c r="P205" s="264" t="e">
        <f t="shared" si="83"/>
        <v>#DIV/0!</v>
      </c>
      <c r="Q205" s="114"/>
      <c r="R205" s="261"/>
      <c r="S205" s="261">
        <f t="shared" si="70"/>
        <v>0</v>
      </c>
      <c r="T205" s="265">
        <f>E205+апр!I199</f>
        <v>0</v>
      </c>
      <c r="U205" s="262">
        <f>F205+апр!J199</f>
        <v>0</v>
      </c>
      <c r="V205" s="261"/>
      <c r="W205" s="261"/>
      <c r="X205" s="261"/>
    </row>
    <row r="206" spans="1:24" ht="27" hidden="1" customHeight="1">
      <c r="A206" s="18" t="s">
        <v>281</v>
      </c>
      <c r="B206" s="26" t="s">
        <v>189</v>
      </c>
      <c r="C206" s="8" t="s">
        <v>4</v>
      </c>
      <c r="D206" s="10">
        <v>3.923</v>
      </c>
      <c r="E206" s="8">
        <v>3.9169999999999998</v>
      </c>
      <c r="F206" s="10"/>
      <c r="G206" s="10">
        <f t="shared" si="77"/>
        <v>-3.9169999999999998</v>
      </c>
      <c r="H206" s="10">
        <f>D206+сентябрь!H206</f>
        <v>19.615000000000002</v>
      </c>
      <c r="I206" s="8">
        <f>E206+сентябрь!I206</f>
        <v>39.170000000000009</v>
      </c>
      <c r="J206" s="10">
        <f>4.964+13.446</f>
        <v>18.41</v>
      </c>
      <c r="K206" s="10">
        <f t="shared" si="79"/>
        <v>-20.760000000000009</v>
      </c>
      <c r="L206" s="16">
        <f t="shared" si="88"/>
        <v>-52.999744702578511</v>
      </c>
      <c r="M206" s="231" t="s">
        <v>289</v>
      </c>
      <c r="N206" s="232"/>
      <c r="O206" s="263">
        <f t="shared" si="82"/>
        <v>-1.2050000000000018</v>
      </c>
      <c r="P206" s="264">
        <f t="shared" si="83"/>
        <v>-6.1432577109355169</v>
      </c>
      <c r="Q206" s="117"/>
      <c r="R206" s="261"/>
      <c r="S206" s="261">
        <f t="shared" si="70"/>
        <v>19.615000000000002</v>
      </c>
      <c r="T206" s="265">
        <f>E206+апр!I200</f>
        <v>19.585000000000001</v>
      </c>
      <c r="U206" s="262">
        <f>F206+апр!J200</f>
        <v>10.589</v>
      </c>
      <c r="V206" s="261"/>
      <c r="W206" s="261"/>
      <c r="X206" s="261"/>
    </row>
    <row r="207" spans="1:24" ht="17.25" hidden="1" customHeight="1">
      <c r="A207" s="18" t="s">
        <v>282</v>
      </c>
      <c r="B207" s="26" t="s">
        <v>225</v>
      </c>
      <c r="C207" s="8" t="s">
        <v>4</v>
      </c>
      <c r="D207" s="10">
        <v>0</v>
      </c>
      <c r="E207" s="8"/>
      <c r="F207" s="8"/>
      <c r="G207" s="10">
        <f t="shared" si="77"/>
        <v>0</v>
      </c>
      <c r="H207" s="10">
        <f>D207+сентябрь!H207</f>
        <v>0</v>
      </c>
      <c r="I207" s="8">
        <f>E207+сентябрь!I207</f>
        <v>0</v>
      </c>
      <c r="J207" s="10">
        <f>173.548+4032.099</f>
        <v>4205.6469999999999</v>
      </c>
      <c r="K207" s="10">
        <f t="shared" si="79"/>
        <v>4205.6469999999999</v>
      </c>
      <c r="L207" s="16" t="e">
        <f>K207/I207*100</f>
        <v>#DIV/0!</v>
      </c>
      <c r="M207" s="231" t="s">
        <v>290</v>
      </c>
      <c r="N207" s="232"/>
      <c r="O207" s="263">
        <f t="shared" si="82"/>
        <v>4205.6469999999999</v>
      </c>
      <c r="P207" s="264" t="e">
        <f t="shared" si="83"/>
        <v>#DIV/0!</v>
      </c>
      <c r="Q207" s="117"/>
      <c r="R207" s="261"/>
      <c r="S207" s="261">
        <f t="shared" ref="S207:S225" si="98">D207*5</f>
        <v>0</v>
      </c>
      <c r="T207" s="265">
        <f>E207+апр!I201</f>
        <v>0</v>
      </c>
      <c r="U207" s="262">
        <f>F207+апр!J201</f>
        <v>0</v>
      </c>
      <c r="V207" s="261"/>
      <c r="W207" s="261"/>
      <c r="X207" s="261"/>
    </row>
    <row r="208" spans="1:24" ht="17.25" hidden="1" customHeight="1">
      <c r="A208" s="18" t="s">
        <v>283</v>
      </c>
      <c r="B208" s="26" t="s">
        <v>228</v>
      </c>
      <c r="C208" s="8" t="s">
        <v>4</v>
      </c>
      <c r="D208" s="10">
        <v>0</v>
      </c>
      <c r="E208" s="8"/>
      <c r="F208" s="8"/>
      <c r="G208" s="10">
        <f t="shared" si="77"/>
        <v>0</v>
      </c>
      <c r="H208" s="10">
        <f>D208+сентябрь!H208</f>
        <v>0</v>
      </c>
      <c r="I208" s="8">
        <f>E208+сентябрь!I208</f>
        <v>0</v>
      </c>
      <c r="J208" s="10">
        <f>F208+сентябрь!J208</f>
        <v>0</v>
      </c>
      <c r="K208" s="10">
        <f t="shared" si="79"/>
        <v>0</v>
      </c>
      <c r="L208" s="16" t="e">
        <f t="shared" si="88"/>
        <v>#DIV/0!</v>
      </c>
      <c r="M208" s="231" t="s">
        <v>290</v>
      </c>
      <c r="N208" s="232"/>
      <c r="O208" s="263">
        <f t="shared" si="82"/>
        <v>0</v>
      </c>
      <c r="P208" s="264" t="e">
        <f t="shared" si="83"/>
        <v>#DIV/0!</v>
      </c>
      <c r="Q208" s="117"/>
      <c r="R208" s="261"/>
      <c r="S208" s="261">
        <f t="shared" si="98"/>
        <v>0</v>
      </c>
      <c r="T208" s="265">
        <f>E208+апр!I202</f>
        <v>0</v>
      </c>
      <c r="U208" s="262">
        <f>F208+апр!J202</f>
        <v>0</v>
      </c>
      <c r="V208" s="261"/>
      <c r="W208" s="261"/>
      <c r="X208" s="261"/>
    </row>
    <row r="209" spans="1:24" ht="34.5" hidden="1" customHeight="1">
      <c r="A209" s="18" t="s">
        <v>284</v>
      </c>
      <c r="B209" s="26" t="s">
        <v>231</v>
      </c>
      <c r="C209" s="8" t="s">
        <v>4</v>
      </c>
      <c r="D209" s="10">
        <v>0</v>
      </c>
      <c r="E209" s="8"/>
      <c r="F209" s="8"/>
      <c r="G209" s="10">
        <f t="shared" si="77"/>
        <v>0</v>
      </c>
      <c r="H209" s="10">
        <f>D209+сентябрь!H209</f>
        <v>0</v>
      </c>
      <c r="I209" s="8">
        <f>E209+сентябрь!I209</f>
        <v>0</v>
      </c>
      <c r="J209" s="10">
        <f>F209+сентябрь!J209</f>
        <v>0</v>
      </c>
      <c r="K209" s="10">
        <f t="shared" si="79"/>
        <v>0</v>
      </c>
      <c r="L209" s="16" t="e">
        <f t="shared" si="88"/>
        <v>#DIV/0!</v>
      </c>
      <c r="M209" s="231" t="s">
        <v>290</v>
      </c>
      <c r="N209" s="232"/>
      <c r="O209" s="263">
        <f t="shared" si="82"/>
        <v>0</v>
      </c>
      <c r="P209" s="264" t="e">
        <f t="shared" si="83"/>
        <v>#DIV/0!</v>
      </c>
      <c r="Q209" s="117"/>
      <c r="R209" s="261"/>
      <c r="S209" s="261">
        <f t="shared" si="98"/>
        <v>0</v>
      </c>
      <c r="T209" s="265">
        <f>E209+апр!I203</f>
        <v>0</v>
      </c>
      <c r="U209" s="262">
        <f>F209+апр!J203</f>
        <v>0</v>
      </c>
      <c r="V209" s="261"/>
      <c r="W209" s="261"/>
      <c r="X209" s="261"/>
    </row>
    <row r="210" spans="1:24" ht="17.25" hidden="1" customHeight="1">
      <c r="A210" s="18" t="s">
        <v>348</v>
      </c>
      <c r="B210" s="26" t="s">
        <v>230</v>
      </c>
      <c r="C210" s="8" t="s">
        <v>4</v>
      </c>
      <c r="D210" s="10">
        <v>0</v>
      </c>
      <c r="E210" s="8"/>
      <c r="F210" s="8"/>
      <c r="G210" s="10">
        <f t="shared" si="77"/>
        <v>0</v>
      </c>
      <c r="H210" s="10">
        <f>D210+сентябрь!H210</f>
        <v>7349.96</v>
      </c>
      <c r="I210" s="8">
        <f>E210+сентябрь!I210</f>
        <v>0</v>
      </c>
      <c r="J210" s="10">
        <f>F210+сентябрь!J210</f>
        <v>0</v>
      </c>
      <c r="K210" s="10">
        <f t="shared" si="79"/>
        <v>0</v>
      </c>
      <c r="L210" s="16"/>
      <c r="M210" s="220"/>
      <c r="N210" s="221"/>
      <c r="O210" s="263">
        <f t="shared" si="82"/>
        <v>-7349.96</v>
      </c>
      <c r="P210" s="264">
        <f t="shared" si="83"/>
        <v>-100</v>
      </c>
      <c r="Q210" s="114"/>
      <c r="R210" s="261"/>
      <c r="S210" s="261">
        <f t="shared" si="98"/>
        <v>0</v>
      </c>
      <c r="T210" s="265">
        <f>E210+апр!I204</f>
        <v>0</v>
      </c>
      <c r="U210" s="262">
        <f>F210+апр!J204</f>
        <v>0</v>
      </c>
      <c r="V210" s="261"/>
      <c r="W210" s="261"/>
      <c r="X210" s="261"/>
    </row>
    <row r="211" spans="1:24" ht="17.25" hidden="1" customHeight="1">
      <c r="A211" s="18" t="s">
        <v>349</v>
      </c>
      <c r="B211" s="26" t="s">
        <v>350</v>
      </c>
      <c r="C211" s="8" t="s">
        <v>4</v>
      </c>
      <c r="D211" s="10"/>
      <c r="E211" s="8"/>
      <c r="F211" s="8"/>
      <c r="G211" s="10"/>
      <c r="H211" s="10"/>
      <c r="I211" s="8"/>
      <c r="J211" s="10">
        <v>331.32499999999999</v>
      </c>
      <c r="K211" s="10"/>
      <c r="L211" s="16"/>
      <c r="M211" s="212"/>
      <c r="N211" s="213"/>
      <c r="O211" s="263"/>
      <c r="P211" s="264"/>
      <c r="Q211" s="114"/>
      <c r="R211" s="261"/>
      <c r="S211" s="261"/>
      <c r="T211" s="265"/>
      <c r="U211" s="262"/>
      <c r="V211" s="261"/>
      <c r="W211" s="261"/>
      <c r="X211" s="261"/>
    </row>
    <row r="212" spans="1:24" ht="21" customHeight="1">
      <c r="A212" s="218" t="s">
        <v>190</v>
      </c>
      <c r="B212" s="6" t="s">
        <v>191</v>
      </c>
      <c r="C212" s="218" t="s">
        <v>4</v>
      </c>
      <c r="D212" s="7">
        <f>D8+D144</f>
        <v>76555.231</v>
      </c>
      <c r="E212" s="21">
        <f>E8+E144</f>
        <v>71086.831999999995</v>
      </c>
      <c r="F212" s="7">
        <f>F8+F144</f>
        <v>27704.759000000002</v>
      </c>
      <c r="G212" s="10">
        <f t="shared" ref="G212:G220" si="99">F212-E212</f>
        <v>-43382.072999999989</v>
      </c>
      <c r="H212" s="7">
        <f>H8+H144</f>
        <v>820219.21617322916</v>
      </c>
      <c r="I212" s="7">
        <f>I8+I144</f>
        <v>685108.88378061762</v>
      </c>
      <c r="J212" s="7">
        <f>J8+J144</f>
        <v>847604.93399999989</v>
      </c>
      <c r="K212" s="10">
        <f t="shared" ref="K212:K220" si="100">J212-I212</f>
        <v>162496.05021938228</v>
      </c>
      <c r="L212" s="16">
        <f t="shared" ref="L212:L220" si="101">K212/I212*100</f>
        <v>23.718281001216152</v>
      </c>
      <c r="M212" s="220"/>
      <c r="N212" s="221"/>
      <c r="O212" s="263">
        <f>J212-H212</f>
        <v>27385.717826770735</v>
      </c>
      <c r="P212" s="264">
        <f t="shared" si="83"/>
        <v>3.3388290943170134</v>
      </c>
      <c r="Q212" s="114"/>
      <c r="R212" s="262"/>
      <c r="S212" s="261">
        <f t="shared" si="98"/>
        <v>382776.15500000003</v>
      </c>
      <c r="T212" s="265">
        <f>E212+апр!I205</f>
        <v>355434.16</v>
      </c>
      <c r="U212" s="262">
        <f>F212+апр!J205</f>
        <v>310689.40749999991</v>
      </c>
      <c r="V212" s="261"/>
      <c r="W212" s="261"/>
      <c r="X212" s="261"/>
    </row>
    <row r="213" spans="1:24" ht="17.25" customHeight="1">
      <c r="A213" s="218" t="s">
        <v>192</v>
      </c>
      <c r="B213" s="6" t="s">
        <v>193</v>
      </c>
      <c r="C213" s="218" t="s">
        <v>4</v>
      </c>
      <c r="D213" s="7">
        <v>1469.992</v>
      </c>
      <c r="E213" s="218">
        <v>1470.0830000000001</v>
      </c>
      <c r="F213" s="21">
        <f>F216-F212</f>
        <v>35577.811000000002</v>
      </c>
      <c r="G213" s="16">
        <f t="shared" si="99"/>
        <v>34107.728000000003</v>
      </c>
      <c r="H213" s="10">
        <f>D213+сентябрь!H213</f>
        <v>14699.92</v>
      </c>
      <c r="I213" s="8">
        <f>E213+сентябрь!I213</f>
        <v>14700.830000000004</v>
      </c>
      <c r="J213" s="10">
        <f>F213+сентябрь!J213</f>
        <v>120170.62057999993</v>
      </c>
      <c r="K213" s="10">
        <f t="shared" si="100"/>
        <v>105469.79057999993</v>
      </c>
      <c r="L213" s="16">
        <f t="shared" si="101"/>
        <v>717.44105999457111</v>
      </c>
      <c r="M213" s="220"/>
      <c r="N213" s="221"/>
      <c r="O213" s="263">
        <f t="shared" si="82"/>
        <v>105470.70057999993</v>
      </c>
      <c r="P213" s="264">
        <f t="shared" si="83"/>
        <v>717.4916637641561</v>
      </c>
      <c r="Q213" s="114"/>
      <c r="R213" s="261"/>
      <c r="S213" s="261">
        <f>D213*5</f>
        <v>7349.96</v>
      </c>
      <c r="T213" s="265">
        <f>E213+апр!I206</f>
        <v>7350.4150000000009</v>
      </c>
      <c r="U213" s="262">
        <f>F213+апр!J206</f>
        <v>43240.530539999978</v>
      </c>
      <c r="V213" s="261"/>
      <c r="W213" s="261"/>
      <c r="X213" s="261"/>
    </row>
    <row r="214" spans="1:24" ht="17.25" customHeight="1">
      <c r="A214" s="218" t="s">
        <v>194</v>
      </c>
      <c r="B214" s="6" t="s">
        <v>195</v>
      </c>
      <c r="C214" s="218" t="s">
        <v>4</v>
      </c>
      <c r="D214" s="7">
        <f>D212+D213</f>
        <v>78025.222999999998</v>
      </c>
      <c r="E214" s="21">
        <f>E212+E213</f>
        <v>72556.914999999994</v>
      </c>
      <c r="F214" s="21">
        <f>F212+F213</f>
        <v>63282.570000000007</v>
      </c>
      <c r="G214" s="16">
        <f t="shared" si="99"/>
        <v>-9274.3449999999866</v>
      </c>
      <c r="H214" s="7">
        <f>H212+H213</f>
        <v>834919.1361732292</v>
      </c>
      <c r="I214" s="7">
        <f>I212+I213</f>
        <v>699809.71378061757</v>
      </c>
      <c r="J214" s="7">
        <f>J212+J213</f>
        <v>967775.55457999976</v>
      </c>
      <c r="K214" s="10">
        <f t="shared" si="100"/>
        <v>267965.84079938219</v>
      </c>
      <c r="L214" s="16">
        <f t="shared" si="101"/>
        <v>38.291243394113053</v>
      </c>
      <c r="M214" s="220"/>
      <c r="N214" s="221"/>
      <c r="O214" s="263">
        <f t="shared" si="82"/>
        <v>132856.41840677056</v>
      </c>
      <c r="P214" s="264">
        <f t="shared" si="83"/>
        <v>15.912489323900884</v>
      </c>
      <c r="Q214" s="114"/>
      <c r="R214" s="261"/>
      <c r="S214" s="261">
        <f t="shared" si="98"/>
        <v>390126.11499999999</v>
      </c>
      <c r="T214" s="265">
        <f>E214+апр!I207</f>
        <v>362784.57499999995</v>
      </c>
      <c r="U214" s="262">
        <f>F214+апр!J207</f>
        <v>353929.93803999986</v>
      </c>
      <c r="V214" s="261"/>
      <c r="W214" s="261"/>
      <c r="X214" s="261"/>
    </row>
    <row r="215" spans="1:24" ht="17.25" customHeight="1">
      <c r="A215" s="224" t="s">
        <v>196</v>
      </c>
      <c r="B215" s="225" t="s">
        <v>197</v>
      </c>
      <c r="C215" s="218" t="s">
        <v>114</v>
      </c>
      <c r="D215" s="7">
        <v>559.39200000000005</v>
      </c>
      <c r="E215" s="218">
        <v>523.61</v>
      </c>
      <c r="F215" s="218">
        <v>456.68299999999999</v>
      </c>
      <c r="G215" s="10">
        <f t="shared" si="99"/>
        <v>-66.927000000000021</v>
      </c>
      <c r="H215" s="10">
        <f>D215+сентябрь!H215</f>
        <v>5593.9199999999992</v>
      </c>
      <c r="I215" s="8">
        <f>E215+сентябрь!I215</f>
        <v>5236.0999999999995</v>
      </c>
      <c r="J215" s="10">
        <v>6597.15</v>
      </c>
      <c r="K215" s="10">
        <f t="shared" si="100"/>
        <v>1361.0500000000002</v>
      </c>
      <c r="L215" s="16">
        <f t="shared" si="101"/>
        <v>25.993583010255733</v>
      </c>
      <c r="M215" s="220"/>
      <c r="N215" s="221"/>
      <c r="O215" s="263">
        <f t="shared" si="82"/>
        <v>1003.2300000000005</v>
      </c>
      <c r="P215" s="264">
        <f t="shared" si="83"/>
        <v>17.934292946627778</v>
      </c>
      <c r="Q215" s="114"/>
      <c r="R215" s="261"/>
      <c r="S215" s="261">
        <f t="shared" si="98"/>
        <v>2796.96</v>
      </c>
      <c r="T215" s="265">
        <f>E215+апр!I208</f>
        <v>2618.0500000000002</v>
      </c>
      <c r="U215" s="262">
        <f>F215+апр!J208</f>
        <v>2564.0450000000001</v>
      </c>
      <c r="V215" s="261"/>
      <c r="W215" s="261"/>
      <c r="X215" s="261"/>
    </row>
    <row r="216" spans="1:24" ht="17.25" customHeight="1">
      <c r="A216" s="224"/>
      <c r="B216" s="225"/>
      <c r="C216" s="218" t="s">
        <v>4</v>
      </c>
      <c r="D216" s="7">
        <f>D214</f>
        <v>78025.222999999998</v>
      </c>
      <c r="E216" s="21">
        <f>E214</f>
        <v>72556.914999999994</v>
      </c>
      <c r="F216" s="218">
        <v>63282.57</v>
      </c>
      <c r="G216" s="16">
        <f t="shared" si="99"/>
        <v>-9274.3449999999939</v>
      </c>
      <c r="H216" s="10">
        <f>D216+сентябрь!H216</f>
        <v>780252.23</v>
      </c>
      <c r="I216" s="7">
        <f>I214</f>
        <v>699809.71378061757</v>
      </c>
      <c r="J216" s="218">
        <f>J220*J215</f>
        <v>967775.55457999976</v>
      </c>
      <c r="K216" s="10">
        <f t="shared" si="100"/>
        <v>267965.84079938219</v>
      </c>
      <c r="L216" s="16">
        <f t="shared" si="101"/>
        <v>38.291243394113053</v>
      </c>
      <c r="M216" s="220"/>
      <c r="N216" s="221"/>
      <c r="O216" s="263">
        <f t="shared" si="82"/>
        <v>187523.32457999978</v>
      </c>
      <c r="P216" s="264">
        <f t="shared" si="83"/>
        <v>24.033680054973992</v>
      </c>
      <c r="Q216" s="114"/>
      <c r="R216" s="261"/>
      <c r="S216" s="261">
        <f t="shared" si="98"/>
        <v>390126.11499999999</v>
      </c>
      <c r="T216" s="265">
        <f>E216+апр!I209</f>
        <v>362784.57499999995</v>
      </c>
      <c r="U216" s="262">
        <f>F216+апр!J209</f>
        <v>353929.93803999986</v>
      </c>
      <c r="V216" s="261"/>
      <c r="W216" s="261"/>
      <c r="X216" s="261"/>
    </row>
    <row r="217" spans="1:24" ht="17.25" customHeight="1">
      <c r="A217" s="218" t="s">
        <v>198</v>
      </c>
      <c r="B217" s="219" t="s">
        <v>199</v>
      </c>
      <c r="C217" s="218" t="s">
        <v>114</v>
      </c>
      <c r="D217" s="7">
        <v>761.69899999999996</v>
      </c>
      <c r="E217" s="21">
        <v>713</v>
      </c>
      <c r="F217" s="7">
        <v>715.58</v>
      </c>
      <c r="G217" s="10">
        <f t="shared" si="99"/>
        <v>2.5800000000000409</v>
      </c>
      <c r="H217" s="10">
        <f>D217+сентябрь!H217</f>
        <v>7616.989999999998</v>
      </c>
      <c r="I217" s="8">
        <f>E217+сентябрь!I217</f>
        <v>7130</v>
      </c>
      <c r="J217" s="10">
        <v>8798.6869999999999</v>
      </c>
      <c r="K217" s="10">
        <f t="shared" si="100"/>
        <v>1668.6869999999999</v>
      </c>
      <c r="L217" s="16">
        <f t="shared" si="101"/>
        <v>23.403744740532957</v>
      </c>
      <c r="M217" s="220"/>
      <c r="N217" s="221"/>
      <c r="O217" s="263">
        <f t="shared" ref="O217:O220" si="102">J217-H217</f>
        <v>1181.6970000000019</v>
      </c>
      <c r="P217" s="264">
        <f t="shared" ref="P217:P220" si="103">O217/H217*100</f>
        <v>15.51396286459615</v>
      </c>
      <c r="Q217" s="114"/>
      <c r="R217" s="261"/>
      <c r="S217" s="261">
        <f t="shared" si="98"/>
        <v>3808.4949999999999</v>
      </c>
      <c r="T217" s="265">
        <f>E217+апр!I210</f>
        <v>3565</v>
      </c>
      <c r="U217" s="262">
        <f>F217+апр!J210</f>
        <v>3369.2620000000002</v>
      </c>
      <c r="V217" s="261"/>
      <c r="W217" s="261"/>
      <c r="X217" s="261"/>
    </row>
    <row r="218" spans="1:24" ht="17.25" customHeight="1">
      <c r="A218" s="224" t="s">
        <v>200</v>
      </c>
      <c r="B218" s="225" t="s">
        <v>201</v>
      </c>
      <c r="C218" s="218" t="s">
        <v>202</v>
      </c>
      <c r="D218" s="21">
        <f>D219/D217*100</f>
        <v>26.559966600980168</v>
      </c>
      <c r="E218" s="21">
        <f>E219/E217*100</f>
        <v>26.562412342215985</v>
      </c>
      <c r="F218" s="21">
        <f>F219/F217*100</f>
        <v>36.180021800497499</v>
      </c>
      <c r="G218" s="10">
        <f t="shared" si="99"/>
        <v>9.6176094582815139</v>
      </c>
      <c r="H218" s="21">
        <f>H219/H217*100</f>
        <v>26.559966600980168</v>
      </c>
      <c r="I218" s="21">
        <f>I219/I217*100</f>
        <v>26.562412342215996</v>
      </c>
      <c r="J218" s="21">
        <f>J219/J217*100</f>
        <v>25.021199185742148</v>
      </c>
      <c r="K218" s="10">
        <f t="shared" si="100"/>
        <v>-1.541213156473848</v>
      </c>
      <c r="L218" s="16">
        <f t="shared" si="101"/>
        <v>-5.8022333838420899</v>
      </c>
      <c r="M218" s="220"/>
      <c r="N218" s="221"/>
      <c r="O218" s="263">
        <f t="shared" si="102"/>
        <v>-1.53876741523802</v>
      </c>
      <c r="P218" s="264">
        <f t="shared" si="103"/>
        <v>-5.7935593005649082</v>
      </c>
      <c r="Q218" s="114"/>
      <c r="R218" s="261"/>
      <c r="S218" s="261">
        <f t="shared" si="98"/>
        <v>132.79983300490085</v>
      </c>
      <c r="T218" s="265">
        <f>E218+апр!I211</f>
        <v>53.124824684431971</v>
      </c>
      <c r="U218" s="262">
        <f>F218+апр!J211</f>
        <v>56.767266240486919</v>
      </c>
      <c r="V218" s="261"/>
      <c r="W218" s="261"/>
      <c r="X218" s="261"/>
    </row>
    <row r="219" spans="1:24" ht="17.25" customHeight="1">
      <c r="A219" s="224"/>
      <c r="B219" s="225"/>
      <c r="C219" s="218" t="s">
        <v>114</v>
      </c>
      <c r="D219" s="7">
        <f>D217-D215</f>
        <v>202.3069999999999</v>
      </c>
      <c r="E219" s="7">
        <f>E217-E215</f>
        <v>189.39</v>
      </c>
      <c r="F219" s="7">
        <f>F217-F215</f>
        <v>258.89700000000005</v>
      </c>
      <c r="G219" s="10">
        <f t="shared" si="99"/>
        <v>69.507000000000062</v>
      </c>
      <c r="H219" s="7">
        <f>H217-H215</f>
        <v>2023.0699999999988</v>
      </c>
      <c r="I219" s="7">
        <f>I217-I215</f>
        <v>1893.9000000000005</v>
      </c>
      <c r="J219" s="7">
        <f>J217-J215</f>
        <v>2201.5370000000003</v>
      </c>
      <c r="K219" s="10">
        <f t="shared" si="100"/>
        <v>307.63699999999972</v>
      </c>
      <c r="L219" s="16">
        <f t="shared" si="101"/>
        <v>16.243571466286479</v>
      </c>
      <c r="M219" s="220"/>
      <c r="N219" s="221"/>
      <c r="O219" s="263">
        <f t="shared" si="102"/>
        <v>178.46700000000146</v>
      </c>
      <c r="P219" s="264">
        <f t="shared" si="103"/>
        <v>8.8215929256032446</v>
      </c>
      <c r="Q219" s="114"/>
      <c r="R219" s="261"/>
      <c r="S219" s="261">
        <f t="shared" si="98"/>
        <v>1011.5349999999995</v>
      </c>
      <c r="T219" s="265">
        <f>E219+апр!I212</f>
        <v>946.94999999999993</v>
      </c>
      <c r="U219" s="262">
        <f>F219+апр!J212</f>
        <v>805.21700000000021</v>
      </c>
      <c r="V219" s="261"/>
      <c r="W219" s="261"/>
      <c r="X219" s="261"/>
    </row>
    <row r="220" spans="1:24" s="1" customFormat="1" ht="21" customHeight="1">
      <c r="A220" s="218" t="s">
        <v>203</v>
      </c>
      <c r="B220" s="6" t="s">
        <v>204</v>
      </c>
      <c r="C220" s="218" t="s">
        <v>205</v>
      </c>
      <c r="D220" s="21">
        <f>D214/D215</f>
        <v>139.48219316686686</v>
      </c>
      <c r="E220" s="21">
        <f>E216/E215</f>
        <v>138.57052959263572</v>
      </c>
      <c r="F220" s="21">
        <f>F216/F215</f>
        <v>138.5700146491111</v>
      </c>
      <c r="G220" s="10">
        <f t="shared" si="99"/>
        <v>-5.1494352462100323E-4</v>
      </c>
      <c r="H220" s="21">
        <f>H214/H215</f>
        <v>149.25475090334317</v>
      </c>
      <c r="I220" s="21">
        <f>I214/I215</f>
        <v>133.65094512721637</v>
      </c>
      <c r="J220" s="21">
        <f>J214/J215</f>
        <v>146.69600578734753</v>
      </c>
      <c r="K220" s="10">
        <f t="shared" si="100"/>
        <v>13.045060660131156</v>
      </c>
      <c r="L220" s="16">
        <f t="shared" si="101"/>
        <v>9.7605450135157259</v>
      </c>
      <c r="M220" s="220"/>
      <c r="N220" s="221"/>
      <c r="O220" s="263">
        <f t="shared" si="102"/>
        <v>-2.5587451159956345</v>
      </c>
      <c r="P220" s="264">
        <f t="shared" si="103"/>
        <v>-1.7143475169193567</v>
      </c>
      <c r="Q220" s="114"/>
      <c r="R220" s="261"/>
      <c r="S220" s="261">
        <f t="shared" si="98"/>
        <v>697.41096583433432</v>
      </c>
      <c r="T220" s="265">
        <f>E220+апр!I213</f>
        <v>277.14105918527144</v>
      </c>
      <c r="U220" s="262">
        <f>F220+апр!J213</f>
        <v>276.49001512363793</v>
      </c>
      <c r="V220" s="261"/>
      <c r="W220" s="275"/>
      <c r="X220" s="275"/>
    </row>
    <row r="221" spans="1:24" ht="17.25" customHeight="1">
      <c r="A221" s="8"/>
      <c r="B221" s="9" t="s">
        <v>206</v>
      </c>
      <c r="C221" s="8"/>
      <c r="D221" s="21"/>
      <c r="E221" s="8"/>
      <c r="F221" s="8"/>
      <c r="G221" s="8"/>
      <c r="H221" s="10"/>
      <c r="I221" s="8"/>
      <c r="J221" s="10"/>
      <c r="K221" s="8"/>
      <c r="L221" s="16"/>
      <c r="M221" s="220"/>
      <c r="N221" s="221"/>
      <c r="O221" s="263">
        <f t="shared" ref="O221:O227" si="104">J221-H221</f>
        <v>0</v>
      </c>
      <c r="P221" s="264" t="e">
        <f t="shared" ref="P221:P227" si="105">O221/H221*100</f>
        <v>#DIV/0!</v>
      </c>
      <c r="Q221" s="114"/>
      <c r="R221" s="261"/>
      <c r="S221" s="261">
        <f t="shared" si="98"/>
        <v>0</v>
      </c>
      <c r="T221" s="265">
        <f>E221+апр!I214</f>
        <v>0</v>
      </c>
      <c r="U221" s="262">
        <f>F221+апр!J214</f>
        <v>0</v>
      </c>
      <c r="V221" s="261"/>
      <c r="W221" s="261"/>
      <c r="X221" s="261"/>
    </row>
    <row r="222" spans="1:24" ht="35.25" customHeight="1">
      <c r="A222" s="8">
        <v>7</v>
      </c>
      <c r="B222" s="9" t="s">
        <v>207</v>
      </c>
      <c r="C222" s="8" t="s">
        <v>208</v>
      </c>
      <c r="D222" s="14">
        <f>D223+D224</f>
        <v>253</v>
      </c>
      <c r="E222" s="14">
        <f t="shared" ref="E222:G222" si="106">E223+E224</f>
        <v>0</v>
      </c>
      <c r="F222" s="14">
        <f t="shared" si="106"/>
        <v>0</v>
      </c>
      <c r="G222" s="14">
        <f t="shared" si="106"/>
        <v>0</v>
      </c>
      <c r="H222" s="14">
        <f>H223+H224</f>
        <v>253</v>
      </c>
      <c r="I222" s="14">
        <f t="shared" ref="I222:K222" si="107">I223+I224</f>
        <v>0</v>
      </c>
      <c r="J222" s="14">
        <f t="shared" si="107"/>
        <v>200</v>
      </c>
      <c r="K222" s="14">
        <f t="shared" si="107"/>
        <v>0</v>
      </c>
      <c r="L222" s="16"/>
      <c r="M222" s="220"/>
      <c r="N222" s="221"/>
      <c r="O222" s="263">
        <f t="shared" si="104"/>
        <v>-53</v>
      </c>
      <c r="P222" s="264">
        <f t="shared" si="105"/>
        <v>-20.948616600790515</v>
      </c>
      <c r="Q222" s="114"/>
      <c r="R222" s="261"/>
      <c r="S222" s="261">
        <f t="shared" si="98"/>
        <v>1265</v>
      </c>
      <c r="T222" s="265">
        <f>E222+апр!I215</f>
        <v>0</v>
      </c>
      <c r="U222" s="262">
        <f>F222+апр!J215</f>
        <v>172</v>
      </c>
      <c r="V222" s="261"/>
      <c r="W222" s="261"/>
      <c r="X222" s="261"/>
    </row>
    <row r="223" spans="1:24" ht="17.25" customHeight="1">
      <c r="A223" s="18" t="s">
        <v>209</v>
      </c>
      <c r="B223" s="9" t="s">
        <v>210</v>
      </c>
      <c r="C223" s="8" t="s">
        <v>208</v>
      </c>
      <c r="D223" s="14">
        <v>236</v>
      </c>
      <c r="E223" s="8"/>
      <c r="F223" s="8"/>
      <c r="G223" s="8"/>
      <c r="H223" s="14">
        <v>236</v>
      </c>
      <c r="I223" s="8"/>
      <c r="J223" s="8">
        <v>192</v>
      </c>
      <c r="K223" s="8"/>
      <c r="L223" s="16"/>
      <c r="M223" s="220"/>
      <c r="N223" s="221"/>
      <c r="O223" s="263">
        <f t="shared" si="104"/>
        <v>-44</v>
      </c>
      <c r="P223" s="264">
        <f t="shared" si="105"/>
        <v>-18.64406779661017</v>
      </c>
      <c r="Q223" s="114"/>
      <c r="R223" s="261"/>
      <c r="S223" s="261">
        <f t="shared" si="98"/>
        <v>1180</v>
      </c>
      <c r="T223" s="265">
        <f>E223+апр!I216</f>
        <v>0</v>
      </c>
      <c r="U223" s="262">
        <f>F223+апр!J216</f>
        <v>164</v>
      </c>
      <c r="V223" s="261"/>
      <c r="W223" s="261"/>
      <c r="X223" s="261"/>
    </row>
    <row r="224" spans="1:24" ht="17.25" customHeight="1">
      <c r="A224" s="18" t="s">
        <v>211</v>
      </c>
      <c r="B224" s="9" t="s">
        <v>212</v>
      </c>
      <c r="C224" s="8" t="s">
        <v>208</v>
      </c>
      <c r="D224" s="14">
        <v>17</v>
      </c>
      <c r="E224" s="8"/>
      <c r="F224" s="8"/>
      <c r="G224" s="8"/>
      <c r="H224" s="14">
        <v>17</v>
      </c>
      <c r="I224" s="8"/>
      <c r="J224" s="8">
        <v>8</v>
      </c>
      <c r="K224" s="8"/>
      <c r="L224" s="16"/>
      <c r="M224" s="220"/>
      <c r="N224" s="221"/>
      <c r="O224" s="263">
        <f t="shared" si="104"/>
        <v>-9</v>
      </c>
      <c r="P224" s="264">
        <f t="shared" si="105"/>
        <v>-52.941176470588239</v>
      </c>
      <c r="Q224" s="114"/>
      <c r="R224" s="261"/>
      <c r="S224" s="261">
        <f t="shared" si="98"/>
        <v>85</v>
      </c>
      <c r="T224" s="265">
        <f>E224+апр!I217</f>
        <v>0</v>
      </c>
      <c r="U224" s="262">
        <f>F224+апр!J217</f>
        <v>8</v>
      </c>
      <c r="V224" s="261"/>
      <c r="W224" s="261"/>
      <c r="X224" s="261"/>
    </row>
    <row r="225" spans="1:24" ht="36" customHeight="1">
      <c r="A225" s="18" t="s">
        <v>213</v>
      </c>
      <c r="B225" s="9" t="s">
        <v>214</v>
      </c>
      <c r="C225" s="8" t="s">
        <v>16</v>
      </c>
      <c r="D225" s="14">
        <f>(D88+D151)/D222*1000</f>
        <v>86746.573122529648</v>
      </c>
      <c r="E225" s="8"/>
      <c r="F225" s="8"/>
      <c r="G225" s="8"/>
      <c r="H225" s="14">
        <f>(H88+H151)/H222*1000/10</f>
        <v>94664.567193675874</v>
      </c>
      <c r="I225" s="8"/>
      <c r="J225" s="14">
        <f>(J88+J151)/J222*1000/11</f>
        <v>93587.082727272733</v>
      </c>
      <c r="K225" s="8"/>
      <c r="L225" s="16"/>
      <c r="M225" s="220"/>
      <c r="N225" s="221"/>
      <c r="O225" s="263">
        <f t="shared" si="104"/>
        <v>-1077.4844664031407</v>
      </c>
      <c r="P225" s="264">
        <f t="shared" si="105"/>
        <v>-1.1382130593791198</v>
      </c>
      <c r="Q225" s="114"/>
      <c r="R225" s="261"/>
      <c r="S225" s="261">
        <f t="shared" si="98"/>
        <v>433732.86561264825</v>
      </c>
      <c r="T225" s="265">
        <f>E225+апр!I218</f>
        <v>0</v>
      </c>
      <c r="U225" s="262">
        <f>F225+апр!J218</f>
        <v>113361.80523255812</v>
      </c>
      <c r="V225" s="261"/>
      <c r="W225" s="261"/>
      <c r="X225" s="261"/>
    </row>
    <row r="226" spans="1:24" ht="17.25" customHeight="1">
      <c r="A226" s="18" t="s">
        <v>215</v>
      </c>
      <c r="B226" s="9" t="s">
        <v>210</v>
      </c>
      <c r="C226" s="8" t="s">
        <v>16</v>
      </c>
      <c r="D226" s="14">
        <f>D88/D223*1000</f>
        <v>84883.580508474581</v>
      </c>
      <c r="E226" s="8"/>
      <c r="F226" s="8"/>
      <c r="G226" s="8"/>
      <c r="H226" s="14">
        <f>H88/H223*1000/10</f>
        <v>93371.938559322007</v>
      </c>
      <c r="I226" s="8"/>
      <c r="J226" s="14">
        <f>J88/J223*1000/11</f>
        <v>90357.492897727265</v>
      </c>
      <c r="K226" s="8"/>
      <c r="L226" s="16"/>
      <c r="M226" s="220"/>
      <c r="N226" s="221"/>
      <c r="O226" s="263">
        <f t="shared" si="104"/>
        <v>-3014.445661594742</v>
      </c>
      <c r="P226" s="264">
        <f t="shared" si="105"/>
        <v>-3.2284278425681117</v>
      </c>
      <c r="Q226" s="114"/>
      <c r="R226" s="261"/>
      <c r="S226" s="261"/>
      <c r="T226" s="265">
        <f>E226+апр!I219</f>
        <v>0</v>
      </c>
      <c r="U226" s="262">
        <f>F226+апр!J219</f>
        <v>110632.42835365853</v>
      </c>
      <c r="V226" s="261"/>
      <c r="W226" s="261"/>
      <c r="X226" s="261"/>
    </row>
    <row r="227" spans="1:24" ht="17.25" customHeight="1">
      <c r="A227" s="18" t="s">
        <v>216</v>
      </c>
      <c r="B227" s="9" t="s">
        <v>212</v>
      </c>
      <c r="C227" s="8" t="s">
        <v>16</v>
      </c>
      <c r="D227" s="14">
        <f>D151/D224*1000</f>
        <v>112609.29411764705</v>
      </c>
      <c r="E227" s="8"/>
      <c r="F227" s="8"/>
      <c r="G227" s="8"/>
      <c r="H227" s="10"/>
      <c r="I227" s="8"/>
      <c r="J227" s="14">
        <f>J151/J224*1000/11</f>
        <v>171097.23863636365</v>
      </c>
      <c r="K227" s="8"/>
      <c r="L227" s="16"/>
      <c r="M227" s="220"/>
      <c r="N227" s="221"/>
      <c r="O227" s="263">
        <f t="shared" si="104"/>
        <v>171097.23863636365</v>
      </c>
      <c r="P227" s="264" t="e">
        <f t="shared" si="105"/>
        <v>#DIV/0!</v>
      </c>
      <c r="Q227" s="114"/>
      <c r="R227" s="261"/>
      <c r="S227" s="261"/>
      <c r="T227" s="265">
        <f>E227+апр!I220</f>
        <v>0</v>
      </c>
      <c r="U227" s="262">
        <f>F227+апр!J220</f>
        <v>169314.03125</v>
      </c>
      <c r="V227" s="261"/>
      <c r="W227" s="261"/>
      <c r="X227" s="261"/>
    </row>
    <row r="228" spans="1:24" ht="18.75" hidden="1">
      <c r="A228" s="29"/>
      <c r="B228" s="29"/>
      <c r="C228" s="29"/>
      <c r="D228" s="29"/>
      <c r="E228" s="29"/>
      <c r="F228" s="29"/>
      <c r="G228" s="29"/>
      <c r="H228" s="29">
        <f>H227*I224*12/1000</f>
        <v>0</v>
      </c>
      <c r="I228" s="29">
        <f>H225*I223*12/1000</f>
        <v>0</v>
      </c>
      <c r="J228" s="29"/>
      <c r="K228" s="29"/>
      <c r="L228" s="29"/>
      <c r="M228" s="29"/>
      <c r="N228" s="29">
        <f>H228+I228</f>
        <v>0</v>
      </c>
      <c r="O228" s="29"/>
      <c r="P228" s="29"/>
      <c r="Q228" s="29"/>
      <c r="R228" s="261"/>
      <c r="S228" s="261"/>
      <c r="T228" s="261"/>
      <c r="U228" s="261"/>
      <c r="V228" s="261"/>
      <c r="W228" s="261"/>
      <c r="X228" s="261"/>
    </row>
    <row r="229" spans="1:24" ht="18.75" hidden="1">
      <c r="A229" s="29"/>
      <c r="B229" s="29"/>
      <c r="C229" s="29"/>
      <c r="D229" s="29"/>
      <c r="E229" s="29"/>
      <c r="F229" s="29"/>
      <c r="G229" s="29"/>
      <c r="H229" s="29">
        <v>607.40800000000002</v>
      </c>
      <c r="I229" s="29">
        <v>9999.5409999999993</v>
      </c>
      <c r="J229" s="29"/>
      <c r="K229" s="29"/>
      <c r="L229" s="29"/>
      <c r="M229" s="29"/>
      <c r="N229" s="29"/>
      <c r="O229" s="29"/>
      <c r="P229" s="29"/>
      <c r="Q229" s="29"/>
      <c r="R229" s="261"/>
      <c r="S229" s="261"/>
      <c r="T229" s="261"/>
      <c r="U229" s="261"/>
      <c r="V229" s="261"/>
      <c r="W229" s="261"/>
      <c r="X229" s="261"/>
    </row>
    <row r="230" spans="1:24" ht="18.75" hidden="1">
      <c r="A230" s="29"/>
      <c r="B230" s="29"/>
      <c r="C230" s="29"/>
      <c r="D230" s="29"/>
      <c r="E230" s="29"/>
      <c r="F230" s="29"/>
      <c r="G230" s="29"/>
      <c r="H230" s="29">
        <v>953.40200000000004</v>
      </c>
      <c r="I230" s="29">
        <v>10043.467000000001</v>
      </c>
      <c r="J230" s="29"/>
      <c r="K230" s="29"/>
      <c r="L230" s="29"/>
      <c r="M230" s="29"/>
      <c r="N230" s="29"/>
      <c r="O230" s="29"/>
      <c r="P230" s="29"/>
      <c r="Q230" s="29"/>
      <c r="R230" s="261"/>
      <c r="S230" s="261"/>
      <c r="T230" s="261"/>
      <c r="U230" s="261"/>
      <c r="V230" s="261"/>
      <c r="W230" s="261"/>
      <c r="X230" s="261"/>
    </row>
    <row r="231" spans="1:24" ht="18.75" hidden="1">
      <c r="A231" s="29"/>
      <c r="B231" s="29"/>
      <c r="C231" s="29"/>
      <c r="D231" s="29"/>
      <c r="E231" s="29"/>
      <c r="F231" s="29"/>
      <c r="G231" s="29"/>
      <c r="H231" s="29"/>
      <c r="I231" s="29">
        <f>888.772+371.175+148.47</f>
        <v>1408.4170000000001</v>
      </c>
      <c r="J231" s="29"/>
      <c r="K231" s="29"/>
      <c r="L231" s="29"/>
      <c r="M231" s="29"/>
      <c r="N231" s="29"/>
      <c r="O231" s="29"/>
      <c r="P231" s="29"/>
      <c r="Q231" s="29"/>
      <c r="R231" s="261"/>
      <c r="S231" s="261"/>
      <c r="T231" s="261"/>
      <c r="U231" s="261"/>
      <c r="V231" s="261"/>
      <c r="W231" s="261"/>
      <c r="X231" s="261"/>
    </row>
    <row r="232" spans="1:24" ht="18.75" hidden="1">
      <c r="A232" s="29"/>
      <c r="B232" s="29"/>
      <c r="C232" s="29"/>
      <c r="D232" s="29"/>
      <c r="E232" s="29"/>
      <c r="F232" s="29"/>
      <c r="G232" s="29"/>
      <c r="H232" s="29">
        <f>SUM(H228:H230)</f>
        <v>1560.81</v>
      </c>
      <c r="I232" s="29">
        <f>SUM(I228:I231)</f>
        <v>21451.425000000003</v>
      </c>
      <c r="J232" s="29"/>
      <c r="K232" s="29"/>
      <c r="L232" s="29"/>
      <c r="M232" s="29"/>
      <c r="N232" s="29">
        <f>SUM(H232:M232)</f>
        <v>23012.235000000004</v>
      </c>
      <c r="O232" s="29"/>
      <c r="P232" s="29"/>
      <c r="Q232" s="29"/>
      <c r="R232" s="261"/>
      <c r="S232" s="261"/>
      <c r="T232" s="261"/>
      <c r="U232" s="261"/>
      <c r="V232" s="261"/>
      <c r="W232" s="261"/>
      <c r="X232" s="261"/>
    </row>
    <row r="233" spans="1:24" ht="76.5" customHeight="1">
      <c r="A233" s="29"/>
      <c r="B233" s="283" t="s">
        <v>322</v>
      </c>
      <c r="C233" s="284"/>
      <c r="D233" s="285"/>
      <c r="E233" s="285"/>
      <c r="F233" s="286" t="s">
        <v>346</v>
      </c>
      <c r="G233" s="284"/>
      <c r="H233" s="29"/>
      <c r="I233" s="29" t="s">
        <v>346</v>
      </c>
      <c r="J233" s="29"/>
      <c r="K233" s="29"/>
      <c r="L233" s="29"/>
      <c r="M233" s="29"/>
      <c r="N233" s="29"/>
      <c r="O233" s="291" t="s">
        <v>346</v>
      </c>
      <c r="P233" s="284"/>
      <c r="Q233" s="29"/>
      <c r="R233" s="261"/>
      <c r="S233" s="261"/>
      <c r="T233" s="261"/>
      <c r="U233" s="261"/>
      <c r="V233" s="261"/>
      <c r="W233" s="261"/>
      <c r="X233" s="261"/>
    </row>
    <row r="234" spans="1:24" ht="17.25" customHeight="1">
      <c r="A234" s="29"/>
      <c r="B234" s="284"/>
      <c r="C234" s="284"/>
      <c r="D234" s="285"/>
      <c r="E234" s="285"/>
      <c r="F234" s="286"/>
      <c r="G234" s="284"/>
      <c r="H234" s="29"/>
      <c r="I234" s="29"/>
      <c r="J234" s="29"/>
      <c r="K234" s="29"/>
      <c r="L234" s="29"/>
      <c r="M234" s="29"/>
      <c r="N234" s="29"/>
      <c r="O234" s="286"/>
      <c r="P234" s="284"/>
      <c r="Q234" s="29"/>
      <c r="R234" s="261"/>
      <c r="S234" s="261"/>
      <c r="T234" s="261"/>
      <c r="U234" s="261"/>
      <c r="V234" s="261"/>
      <c r="W234" s="261"/>
      <c r="X234" s="261"/>
    </row>
    <row r="235" spans="1:24" ht="16.5" customHeight="1">
      <c r="A235" s="29"/>
      <c r="B235" s="284" t="s">
        <v>354</v>
      </c>
      <c r="C235" s="284"/>
      <c r="D235" s="285"/>
      <c r="E235" s="285"/>
      <c r="F235" s="286" t="s">
        <v>324</v>
      </c>
      <c r="G235" s="284"/>
      <c r="H235" s="29"/>
      <c r="I235" s="29"/>
      <c r="J235" s="29"/>
      <c r="K235" s="29"/>
      <c r="L235" s="29"/>
      <c r="M235" s="29"/>
      <c r="N235" s="29"/>
      <c r="O235" s="286" t="s">
        <v>324</v>
      </c>
      <c r="P235" s="284"/>
      <c r="Q235" s="29"/>
      <c r="R235" s="261"/>
      <c r="S235" s="261"/>
      <c r="T235" s="261"/>
      <c r="U235" s="261"/>
      <c r="V235" s="261"/>
      <c r="W235" s="261"/>
      <c r="X235" s="261"/>
    </row>
    <row r="236" spans="1:24" ht="15.75" customHeight="1">
      <c r="A236" s="29"/>
      <c r="B236" s="287"/>
      <c r="C236" s="287"/>
      <c r="D236" s="288"/>
      <c r="E236" s="288"/>
      <c r="F236" s="287"/>
      <c r="G236" s="287"/>
      <c r="H236" s="29"/>
      <c r="I236" s="29"/>
      <c r="J236" s="29"/>
      <c r="K236" s="29"/>
      <c r="L236" s="29"/>
      <c r="M236" s="29"/>
      <c r="N236" s="29"/>
      <c r="O236" s="287"/>
      <c r="P236" s="287"/>
      <c r="Q236" s="29"/>
      <c r="R236" s="261"/>
      <c r="S236" s="261"/>
      <c r="T236" s="261"/>
      <c r="U236" s="261"/>
      <c r="V236" s="261"/>
      <c r="W236" s="261"/>
      <c r="X236" s="261"/>
    </row>
    <row r="237" spans="1:24" ht="27" customHeight="1">
      <c r="A237" s="29"/>
      <c r="B237" s="289" t="s">
        <v>355</v>
      </c>
      <c r="C237" s="289"/>
      <c r="D237" s="288"/>
      <c r="E237" s="288"/>
      <c r="F237" s="290" t="s">
        <v>356</v>
      </c>
      <c r="G237" s="290"/>
      <c r="H237" s="29"/>
      <c r="I237" s="29"/>
      <c r="J237" s="29"/>
      <c r="K237" s="29"/>
      <c r="L237" s="29"/>
      <c r="M237" s="29"/>
      <c r="N237" s="29"/>
      <c r="O237" s="290" t="s">
        <v>356</v>
      </c>
      <c r="P237" s="290"/>
      <c r="Q237" s="29"/>
      <c r="R237" s="261"/>
      <c r="S237" s="261"/>
      <c r="T237" s="261"/>
      <c r="U237" s="261"/>
      <c r="V237" s="261"/>
      <c r="W237" s="261"/>
      <c r="X237" s="261"/>
    </row>
    <row r="238" spans="1:24" ht="30.75" customHeight="1">
      <c r="A238" s="29"/>
      <c r="B238" s="289"/>
      <c r="C238" s="289"/>
      <c r="D238" s="288"/>
      <c r="E238" s="288"/>
      <c r="F238" s="290"/>
      <c r="G238" s="290"/>
      <c r="H238" s="29"/>
      <c r="I238" s="29" t="s">
        <v>324</v>
      </c>
      <c r="J238" s="29"/>
      <c r="K238" s="29"/>
      <c r="L238" s="29"/>
      <c r="M238" s="29"/>
      <c r="N238" s="29"/>
      <c r="O238" s="290"/>
      <c r="P238" s="290"/>
      <c r="Q238" s="29"/>
      <c r="R238" s="261"/>
      <c r="S238" s="261"/>
      <c r="T238" s="261"/>
      <c r="U238" s="261"/>
      <c r="V238" s="261"/>
      <c r="W238" s="261"/>
      <c r="X238" s="261"/>
    </row>
    <row r="239" spans="1:24" ht="28.5" customHeight="1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</row>
    <row r="240" spans="1:24" ht="4.5" hidden="1" customHeight="1">
      <c r="B240" s="3" t="s">
        <v>233</v>
      </c>
      <c r="C240" s="3"/>
      <c r="D240" s="3"/>
      <c r="E240" s="3"/>
      <c r="F240" s="3"/>
      <c r="G240" s="3"/>
      <c r="H240" t="s">
        <v>234</v>
      </c>
    </row>
    <row r="241" spans="1:7" ht="15.75">
      <c r="A241" s="4" t="s">
        <v>347</v>
      </c>
      <c r="B241" s="2"/>
      <c r="C241" s="2"/>
      <c r="D241" s="2"/>
      <c r="E241" s="2"/>
      <c r="F241" s="2"/>
      <c r="G241" s="2"/>
    </row>
    <row r="242" spans="1:7" ht="15.75">
      <c r="A242" s="2"/>
      <c r="B242" s="2"/>
      <c r="C242" s="2"/>
      <c r="D242" s="2"/>
      <c r="E242" s="2"/>
      <c r="F242" s="2"/>
      <c r="G242" s="2"/>
    </row>
  </sheetData>
  <mergeCells count="227">
    <mergeCell ref="A2:P2"/>
    <mergeCell ref="A1:P1"/>
    <mergeCell ref="F237:G238"/>
    <mergeCell ref="B237:C238"/>
    <mergeCell ref="O237:P238"/>
    <mergeCell ref="A3:C3"/>
    <mergeCell ref="A4:A6"/>
    <mergeCell ref="B4:B6"/>
    <mergeCell ref="C4:C6"/>
    <mergeCell ref="D4:G4"/>
    <mergeCell ref="H4:L4"/>
    <mergeCell ref="M4:N6"/>
    <mergeCell ref="D5:D6"/>
    <mergeCell ref="K5:K6"/>
    <mergeCell ref="L5:L6"/>
    <mergeCell ref="O5:O6"/>
    <mergeCell ref="P5:P6"/>
    <mergeCell ref="M7:N7"/>
    <mergeCell ref="M8:N8"/>
    <mergeCell ref="E5:E6"/>
    <mergeCell ref="F5:F6"/>
    <mergeCell ref="G5:G6"/>
    <mergeCell ref="H5:H6"/>
    <mergeCell ref="I5:I6"/>
    <mergeCell ref="J5:J6"/>
    <mergeCell ref="M15:N15"/>
    <mergeCell ref="M16:N16"/>
    <mergeCell ref="M17:N17"/>
    <mergeCell ref="M18:N18"/>
    <mergeCell ref="M19:N19"/>
    <mergeCell ref="M20:N20"/>
    <mergeCell ref="M9:N9"/>
    <mergeCell ref="M10:N10"/>
    <mergeCell ref="M11:N11"/>
    <mergeCell ref="M12:N12"/>
    <mergeCell ref="M13:N13"/>
    <mergeCell ref="M14:N14"/>
    <mergeCell ref="M27:N27"/>
    <mergeCell ref="M28:N28"/>
    <mergeCell ref="M29:N29"/>
    <mergeCell ref="M30:N30"/>
    <mergeCell ref="M31:N31"/>
    <mergeCell ref="M32:N32"/>
    <mergeCell ref="M21:N21"/>
    <mergeCell ref="M22:N22"/>
    <mergeCell ref="M23:N23"/>
    <mergeCell ref="M24:N24"/>
    <mergeCell ref="M25:N25"/>
    <mergeCell ref="M26:N26"/>
    <mergeCell ref="M39:N39"/>
    <mergeCell ref="M40:N40"/>
    <mergeCell ref="M41:N41"/>
    <mergeCell ref="M42:N43"/>
    <mergeCell ref="M44:N44"/>
    <mergeCell ref="M45:N45"/>
    <mergeCell ref="M33:N33"/>
    <mergeCell ref="M34:N34"/>
    <mergeCell ref="M35:N35"/>
    <mergeCell ref="M36:N36"/>
    <mergeCell ref="M37:N37"/>
    <mergeCell ref="M38:N38"/>
    <mergeCell ref="M52:N52"/>
    <mergeCell ref="M53:N53"/>
    <mergeCell ref="M54:N54"/>
    <mergeCell ref="M55:N55"/>
    <mergeCell ref="M56:N56"/>
    <mergeCell ref="M57:N58"/>
    <mergeCell ref="M46:N46"/>
    <mergeCell ref="M47:N47"/>
    <mergeCell ref="M48:N48"/>
    <mergeCell ref="M49:N49"/>
    <mergeCell ref="M50:N50"/>
    <mergeCell ref="M51:N51"/>
    <mergeCell ref="M66:N66"/>
    <mergeCell ref="M67:N67"/>
    <mergeCell ref="M68:N68"/>
    <mergeCell ref="M69:N70"/>
    <mergeCell ref="M71:N71"/>
    <mergeCell ref="M72:N72"/>
    <mergeCell ref="M59:N59"/>
    <mergeCell ref="M60:N61"/>
    <mergeCell ref="M62:N62"/>
    <mergeCell ref="M63:N63"/>
    <mergeCell ref="M64:N64"/>
    <mergeCell ref="M65:N65"/>
    <mergeCell ref="M79:N79"/>
    <mergeCell ref="M80:N80"/>
    <mergeCell ref="M81:N81"/>
    <mergeCell ref="M82:N82"/>
    <mergeCell ref="M83:N83"/>
    <mergeCell ref="M84:N85"/>
    <mergeCell ref="M73:N73"/>
    <mergeCell ref="M74:N74"/>
    <mergeCell ref="M75:N75"/>
    <mergeCell ref="M76:N76"/>
    <mergeCell ref="M77:N77"/>
    <mergeCell ref="M78:N78"/>
    <mergeCell ref="M95:N95"/>
    <mergeCell ref="M96:N96"/>
    <mergeCell ref="M97:N97"/>
    <mergeCell ref="M98:N98"/>
    <mergeCell ref="M99:N99"/>
    <mergeCell ref="M100:N100"/>
    <mergeCell ref="M86:N86"/>
    <mergeCell ref="M87:N87"/>
    <mergeCell ref="M88:N88"/>
    <mergeCell ref="M89:N89"/>
    <mergeCell ref="M93:N93"/>
    <mergeCell ref="M94:N94"/>
    <mergeCell ref="M107:N107"/>
    <mergeCell ref="M108:N108"/>
    <mergeCell ref="M109:N109"/>
    <mergeCell ref="M110:N110"/>
    <mergeCell ref="M111:N111"/>
    <mergeCell ref="M112:N112"/>
    <mergeCell ref="M101:N101"/>
    <mergeCell ref="M102:N102"/>
    <mergeCell ref="M103:N103"/>
    <mergeCell ref="M104:N104"/>
    <mergeCell ref="M105:N105"/>
    <mergeCell ref="M106:N106"/>
    <mergeCell ref="M119:N119"/>
    <mergeCell ref="M120:N120"/>
    <mergeCell ref="M121:N121"/>
    <mergeCell ref="M122:N122"/>
    <mergeCell ref="M123:N123"/>
    <mergeCell ref="M124:N124"/>
    <mergeCell ref="M113:N113"/>
    <mergeCell ref="M114:N114"/>
    <mergeCell ref="M115:N115"/>
    <mergeCell ref="M116:N116"/>
    <mergeCell ref="M117:N117"/>
    <mergeCell ref="M118:N118"/>
    <mergeCell ref="M131:N131"/>
    <mergeCell ref="M132:N132"/>
    <mergeCell ref="M133:N133"/>
    <mergeCell ref="M134:N134"/>
    <mergeCell ref="M135:N135"/>
    <mergeCell ref="M144:N144"/>
    <mergeCell ref="M125:N125"/>
    <mergeCell ref="M126:N126"/>
    <mergeCell ref="M127:N127"/>
    <mergeCell ref="M128:N128"/>
    <mergeCell ref="M129:N129"/>
    <mergeCell ref="M130:N130"/>
    <mergeCell ref="M151:N151"/>
    <mergeCell ref="M152:N152"/>
    <mergeCell ref="M156:N156"/>
    <mergeCell ref="M157:N157"/>
    <mergeCell ref="M158:N158"/>
    <mergeCell ref="M159:N159"/>
    <mergeCell ref="M145:N145"/>
    <mergeCell ref="M146:N146"/>
    <mergeCell ref="M147:N147"/>
    <mergeCell ref="M148:N148"/>
    <mergeCell ref="M149:N149"/>
    <mergeCell ref="M150:N150"/>
    <mergeCell ref="M166:N166"/>
    <mergeCell ref="M167:N167"/>
    <mergeCell ref="M168:N168"/>
    <mergeCell ref="M169:N169"/>
    <mergeCell ref="M170:N170"/>
    <mergeCell ref="M171:N171"/>
    <mergeCell ref="M160:N160"/>
    <mergeCell ref="M161:N161"/>
    <mergeCell ref="M162:N162"/>
    <mergeCell ref="M163:N163"/>
    <mergeCell ref="M164:N164"/>
    <mergeCell ref="M165:N165"/>
    <mergeCell ref="M178:N178"/>
    <mergeCell ref="M179:N179"/>
    <mergeCell ref="M180:N180"/>
    <mergeCell ref="M181:N181"/>
    <mergeCell ref="M182:N182"/>
    <mergeCell ref="M183:N183"/>
    <mergeCell ref="M172:N172"/>
    <mergeCell ref="M173:N173"/>
    <mergeCell ref="M174:N174"/>
    <mergeCell ref="M175:N175"/>
    <mergeCell ref="M176:N176"/>
    <mergeCell ref="M177:N177"/>
    <mergeCell ref="M191:N191"/>
    <mergeCell ref="M192:N192"/>
    <mergeCell ref="M193:N193"/>
    <mergeCell ref="M194:N194"/>
    <mergeCell ref="M195:N195"/>
    <mergeCell ref="M196:N196"/>
    <mergeCell ref="M185:N185"/>
    <mergeCell ref="M186:N186"/>
    <mergeCell ref="M187:N187"/>
    <mergeCell ref="M188:N188"/>
    <mergeCell ref="M189:N189"/>
    <mergeCell ref="M190:N190"/>
    <mergeCell ref="M203:N203"/>
    <mergeCell ref="M204:N204"/>
    <mergeCell ref="M205:N205"/>
    <mergeCell ref="M206:N206"/>
    <mergeCell ref="M207:N207"/>
    <mergeCell ref="M208:N208"/>
    <mergeCell ref="M197:N197"/>
    <mergeCell ref="M198:N198"/>
    <mergeCell ref="M199:N199"/>
    <mergeCell ref="M200:N200"/>
    <mergeCell ref="M201:N201"/>
    <mergeCell ref="M202:N202"/>
    <mergeCell ref="M209:N209"/>
    <mergeCell ref="M210:N210"/>
    <mergeCell ref="M212:N212"/>
    <mergeCell ref="M213:N213"/>
    <mergeCell ref="M214:N214"/>
    <mergeCell ref="A215:A216"/>
    <mergeCell ref="B215:B216"/>
    <mergeCell ref="M215:N215"/>
    <mergeCell ref="M216:N216"/>
    <mergeCell ref="M227:N227"/>
    <mergeCell ref="M221:N221"/>
    <mergeCell ref="M222:N222"/>
    <mergeCell ref="M223:N223"/>
    <mergeCell ref="M224:N224"/>
    <mergeCell ref="M225:N225"/>
    <mergeCell ref="M226:N226"/>
    <mergeCell ref="M217:N217"/>
    <mergeCell ref="A218:A219"/>
    <mergeCell ref="B218:B219"/>
    <mergeCell ref="M218:N218"/>
    <mergeCell ref="M219:N219"/>
    <mergeCell ref="M220:N220"/>
  </mergeCells>
  <pageMargins left="0.62" right="0" top="0.94488188976377963" bottom="0.39370078740157483" header="0.31496062992125984" footer="0.31496062992125984"/>
  <pageSetup paperSize="9" scale="78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V247"/>
  <sheetViews>
    <sheetView workbookViewId="0">
      <pane xSplit="10" ySplit="15" topLeftCell="K209" activePane="bottomRight" state="frozen"/>
      <selection pane="topRight" activeCell="J1" sqref="J1"/>
      <selection pane="bottomLeft" activeCell="A16" sqref="A16"/>
      <selection pane="bottomRight" activeCell="J224" sqref="J224"/>
    </sheetView>
  </sheetViews>
  <sheetFormatPr defaultRowHeight="15"/>
  <cols>
    <col min="1" max="1" width="8.85546875" customWidth="1"/>
    <col min="2" max="2" width="38.42578125" customWidth="1"/>
    <col min="3" max="3" width="13.140625" customWidth="1"/>
    <col min="4" max="4" width="14.5703125" hidden="1" customWidth="1"/>
    <col min="5" max="5" width="13" hidden="1" customWidth="1"/>
    <col min="6" max="6" width="14.5703125" style="60" hidden="1" customWidth="1"/>
    <col min="7" max="7" width="15" hidden="1" customWidth="1"/>
    <col min="8" max="8" width="15" customWidth="1"/>
    <col min="9" max="9" width="14.7109375" style="60" hidden="1" customWidth="1"/>
    <col min="10" max="10" width="18.140625" customWidth="1"/>
    <col min="11" max="11" width="16.140625" hidden="1" customWidth="1"/>
    <col min="12" max="12" width="13.85546875" hidden="1" customWidth="1"/>
    <col min="13" max="13" width="14.85546875" hidden="1" customWidth="1"/>
    <col min="14" max="14" width="6" hidden="1" customWidth="1"/>
    <col min="15" max="15" width="15" customWidth="1"/>
    <col min="16" max="17" width="11.140625" customWidth="1"/>
    <col min="18" max="18" width="13.42578125" customWidth="1"/>
    <col min="19" max="19" width="12.85546875" customWidth="1"/>
    <col min="20" max="20" width="13.28515625" customWidth="1"/>
    <col min="21" max="21" width="13.7109375" customWidth="1"/>
    <col min="22" max="22" width="11.85546875" customWidth="1"/>
    <col min="23" max="27" width="9.140625" customWidth="1"/>
  </cols>
  <sheetData>
    <row r="1" spans="1:22" ht="54" customHeight="1">
      <c r="A1" s="241" t="s">
        <v>226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180"/>
      <c r="P1" s="180"/>
      <c r="Q1" s="180"/>
    </row>
    <row r="2" spans="1:22" ht="42.75" customHeight="1">
      <c r="A2" s="242" t="s">
        <v>344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181"/>
      <c r="P2" s="181"/>
      <c r="Q2" s="181"/>
      <c r="T2" s="30"/>
    </row>
    <row r="3" spans="1:22" ht="1.5" customHeight="1">
      <c r="A3" s="243"/>
      <c r="B3" s="243"/>
      <c r="C3" s="243"/>
      <c r="D3" s="182"/>
      <c r="E3" s="182"/>
      <c r="F3" s="182"/>
      <c r="G3" s="182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22" ht="18.75">
      <c r="A4" s="244" t="s">
        <v>0</v>
      </c>
      <c r="B4" s="247" t="s">
        <v>1</v>
      </c>
      <c r="C4" s="244" t="s">
        <v>217</v>
      </c>
      <c r="D4" s="250" t="s">
        <v>304</v>
      </c>
      <c r="E4" s="251"/>
      <c r="F4" s="251"/>
      <c r="G4" s="252"/>
      <c r="H4" s="250" t="s">
        <v>227</v>
      </c>
      <c r="I4" s="251"/>
      <c r="J4" s="251"/>
      <c r="K4" s="251"/>
      <c r="L4" s="252"/>
      <c r="M4" s="253" t="s">
        <v>239</v>
      </c>
      <c r="N4" s="254"/>
      <c r="O4" s="121"/>
      <c r="P4" s="121"/>
      <c r="Q4" s="112"/>
    </row>
    <row r="5" spans="1:22" ht="15" customHeight="1">
      <c r="A5" s="245"/>
      <c r="B5" s="248"/>
      <c r="C5" s="245"/>
      <c r="D5" s="237" t="s">
        <v>305</v>
      </c>
      <c r="E5" s="237" t="s">
        <v>306</v>
      </c>
      <c r="F5" s="237" t="s">
        <v>229</v>
      </c>
      <c r="G5" s="237" t="s">
        <v>219</v>
      </c>
      <c r="H5" s="237" t="s">
        <v>305</v>
      </c>
      <c r="I5" s="237" t="s">
        <v>306</v>
      </c>
      <c r="J5" s="237" t="s">
        <v>229</v>
      </c>
      <c r="K5" s="237" t="s">
        <v>341</v>
      </c>
      <c r="L5" s="237" t="s">
        <v>342</v>
      </c>
      <c r="M5" s="255"/>
      <c r="N5" s="256"/>
      <c r="O5" s="237" t="s">
        <v>329</v>
      </c>
      <c r="P5" s="237" t="s">
        <v>330</v>
      </c>
      <c r="Q5" s="112"/>
      <c r="T5" s="30">
        <f>F78+F81+F84</f>
        <v>0</v>
      </c>
    </row>
    <row r="6" spans="1:22" ht="41.25" customHeight="1">
      <c r="A6" s="246"/>
      <c r="B6" s="249"/>
      <c r="C6" s="246"/>
      <c r="D6" s="238"/>
      <c r="E6" s="238"/>
      <c r="F6" s="238"/>
      <c r="G6" s="238"/>
      <c r="H6" s="238"/>
      <c r="I6" s="238"/>
      <c r="J6" s="238"/>
      <c r="K6" s="238"/>
      <c r="L6" s="238"/>
      <c r="M6" s="257"/>
      <c r="N6" s="258"/>
      <c r="O6" s="238"/>
      <c r="P6" s="238"/>
      <c r="Q6" s="112"/>
    </row>
    <row r="7" spans="1:22" ht="15.75" customHeight="1">
      <c r="A7" s="35">
        <v>1</v>
      </c>
      <c r="B7" s="35">
        <v>2</v>
      </c>
      <c r="C7" s="35">
        <v>3</v>
      </c>
      <c r="D7" s="35"/>
      <c r="E7" s="35"/>
      <c r="F7" s="35"/>
      <c r="G7" s="35"/>
      <c r="H7" s="35">
        <v>4</v>
      </c>
      <c r="I7" s="35">
        <v>5</v>
      </c>
      <c r="J7" s="35">
        <v>6</v>
      </c>
      <c r="K7" s="35"/>
      <c r="L7" s="35">
        <v>7</v>
      </c>
      <c r="M7" s="239">
        <v>8</v>
      </c>
      <c r="N7" s="240"/>
      <c r="O7" s="119"/>
      <c r="P7" s="120"/>
      <c r="Q7" s="113"/>
      <c r="R7" s="30">
        <f>J8-R8</f>
        <v>404506.27249999996</v>
      </c>
      <c r="S7">
        <v>272681.63099999999</v>
      </c>
      <c r="T7" s="30">
        <f>J8-S7</f>
        <v>405146.72749999998</v>
      </c>
    </row>
    <row r="8" spans="1:22" ht="39" customHeight="1">
      <c r="A8" s="175" t="s">
        <v>2</v>
      </c>
      <c r="B8" s="6" t="s">
        <v>3</v>
      </c>
      <c r="C8" s="175" t="s">
        <v>4</v>
      </c>
      <c r="D8" s="7">
        <f>D9+D87+D93+D95+D97</f>
        <v>73170.115000000005</v>
      </c>
      <c r="E8" s="21">
        <f>E9+E87+E93+E95+E97</f>
        <v>68097.582999999999</v>
      </c>
      <c r="F8" s="7">
        <f>F9+F87+F93+F95+F97</f>
        <v>85758.410999999993</v>
      </c>
      <c r="G8" s="7">
        <f>F8-E8</f>
        <v>17660.827999999994</v>
      </c>
      <c r="H8" s="7">
        <f>H9+H87+H93+H95+H97</f>
        <v>647016.13500000001</v>
      </c>
      <c r="I8" s="21">
        <f>I9+I87+I93+I95+I97</f>
        <v>612876.91399999999</v>
      </c>
      <c r="J8" s="7">
        <f>J9+J87+J93+J95+J97</f>
        <v>677828.35849999997</v>
      </c>
      <c r="K8" s="71">
        <f>J8-I8</f>
        <v>64951.444499999983</v>
      </c>
      <c r="L8" s="21">
        <f>K8/I8*100</f>
        <v>10.597795905883963</v>
      </c>
      <c r="M8" s="220"/>
      <c r="N8" s="221"/>
      <c r="O8" s="122">
        <f>J8-H8</f>
        <v>30812.223499999964</v>
      </c>
      <c r="P8" s="123">
        <f>O8/H8*100</f>
        <v>4.7622032640654259</v>
      </c>
      <c r="Q8" s="118"/>
      <c r="R8">
        <f>640.455+272681.631</f>
        <v>273322.08600000001</v>
      </c>
      <c r="S8">
        <f>D8*5</f>
        <v>365850.57500000001</v>
      </c>
      <c r="T8" s="44">
        <f>E8+апр!I8</f>
        <v>340487.91499999998</v>
      </c>
      <c r="U8" s="30">
        <f>F8+апр!J8</f>
        <v>359569.86349999986</v>
      </c>
      <c r="V8" s="30">
        <f>J8-U8</f>
        <v>318258.49500000011</v>
      </c>
    </row>
    <row r="9" spans="1:22" ht="17.25" customHeight="1">
      <c r="A9" s="175" t="s">
        <v>5</v>
      </c>
      <c r="B9" s="6" t="s">
        <v>6</v>
      </c>
      <c r="C9" s="175" t="s">
        <v>4</v>
      </c>
      <c r="D9" s="7">
        <f>D10+D37+D72</f>
        <v>35732.106</v>
      </c>
      <c r="E9" s="21">
        <f>E10+E37+E72</f>
        <v>32135.084000000003</v>
      </c>
      <c r="F9" s="7">
        <f>F10+F37+F72</f>
        <v>34671.61</v>
      </c>
      <c r="G9" s="7">
        <f>F9-E9</f>
        <v>2536.525999999998</v>
      </c>
      <c r="H9" s="7">
        <f>H10+H37+H72</f>
        <v>310925.054</v>
      </c>
      <c r="I9" s="21">
        <f>I10+I37+I72</f>
        <v>289215.75600000005</v>
      </c>
      <c r="J9" s="7">
        <f>J10+J37+J72</f>
        <v>332658.03100000002</v>
      </c>
      <c r="K9" s="21">
        <f>J9-I9</f>
        <v>43442.274999999965</v>
      </c>
      <c r="L9" s="21">
        <f>K9/I9*100</f>
        <v>15.020715192294004</v>
      </c>
      <c r="M9" s="220"/>
      <c r="N9" s="221"/>
      <c r="O9" s="122">
        <f t="shared" ref="O9:O72" si="0">J9-H9</f>
        <v>21732.977000000014</v>
      </c>
      <c r="P9" s="123">
        <f t="shared" ref="P9:P72" si="1">O9/H9*100</f>
        <v>6.9897799229778412</v>
      </c>
      <c r="Q9" s="114"/>
      <c r="S9">
        <f t="shared" ref="S9:S72" si="2">D9*5</f>
        <v>178660.53</v>
      </c>
      <c r="T9" s="44">
        <f>E9+апр!I9</f>
        <v>160675.42000000001</v>
      </c>
      <c r="U9" s="30">
        <f>F9+апр!J9</f>
        <v>173638.63199999998</v>
      </c>
    </row>
    <row r="10" spans="1:22" ht="17.25" customHeight="1">
      <c r="A10" s="8" t="s">
        <v>7</v>
      </c>
      <c r="B10" s="9" t="s">
        <v>8</v>
      </c>
      <c r="C10" s="8" t="s">
        <v>4</v>
      </c>
      <c r="D10" s="10">
        <f>D11+D30+D35</f>
        <v>7601.0440000000008</v>
      </c>
      <c r="E10" s="10">
        <f>E11+E30+E35</f>
        <v>5895.3339999999998</v>
      </c>
      <c r="F10" s="10">
        <f>F11+F30+F35</f>
        <v>7574.9780000000001</v>
      </c>
      <c r="G10" s="10">
        <f>F10-E10</f>
        <v>1679.6440000000002</v>
      </c>
      <c r="H10" s="10">
        <f>H11+H30+H35</f>
        <v>57745.495999999999</v>
      </c>
      <c r="I10" s="10">
        <f>I11+I30+I35</f>
        <v>53058.005999999994</v>
      </c>
      <c r="J10" s="10">
        <f>J11+J30+J35</f>
        <v>63866.967999999993</v>
      </c>
      <c r="K10" s="10">
        <f>J10-I10</f>
        <v>10808.962</v>
      </c>
      <c r="L10" s="16">
        <f>K10/I10*100</f>
        <v>20.371971762376447</v>
      </c>
      <c r="M10" s="220"/>
      <c r="N10" s="221"/>
      <c r="O10" s="122">
        <f t="shared" si="0"/>
        <v>6121.4719999999943</v>
      </c>
      <c r="P10" s="123">
        <f t="shared" si="1"/>
        <v>10.600778284076034</v>
      </c>
      <c r="Q10" s="114"/>
      <c r="S10">
        <f t="shared" si="2"/>
        <v>38005.22</v>
      </c>
      <c r="T10" s="44">
        <f>E10+апр!I10</f>
        <v>29476.67</v>
      </c>
      <c r="U10" s="30">
        <f>F10+апр!J10</f>
        <v>30277.69</v>
      </c>
    </row>
    <row r="11" spans="1:22" ht="17.25" customHeight="1">
      <c r="A11" s="8" t="s">
        <v>9</v>
      </c>
      <c r="B11" s="9" t="s">
        <v>10</v>
      </c>
      <c r="C11" s="8" t="s">
        <v>4</v>
      </c>
      <c r="D11" s="10">
        <f>D12+D15+D18+D21+D24+D27</f>
        <v>5032.2450000000008</v>
      </c>
      <c r="E11" s="8">
        <v>4970.0829999999996</v>
      </c>
      <c r="F11" s="10">
        <f>F12+F15+F18+F21+F24+F27</f>
        <v>5915.1</v>
      </c>
      <c r="G11" s="10">
        <f t="shared" ref="G11:G74" si="3">F11-E11</f>
        <v>945.01700000000073</v>
      </c>
      <c r="H11" s="10">
        <f>H12+H15+H18+H21+H24+H27</f>
        <v>45290.205000000002</v>
      </c>
      <c r="I11" s="8">
        <f>E11+август!I11</f>
        <v>44730.746999999996</v>
      </c>
      <c r="J11" s="10">
        <f>J12+J15+J18+J21+J24+J27</f>
        <v>42152.667999999998</v>
      </c>
      <c r="K11" s="10">
        <f t="shared" ref="K11:K74" si="4">J11-I11</f>
        <v>-2578.0789999999979</v>
      </c>
      <c r="L11" s="16">
        <f t="shared" ref="L11:L72" si="5">K11/I11*100</f>
        <v>-5.7635500699328768</v>
      </c>
      <c r="M11" s="220"/>
      <c r="N11" s="221"/>
      <c r="O11" s="122">
        <f t="shared" si="0"/>
        <v>-3137.5370000000039</v>
      </c>
      <c r="P11" s="123">
        <f t="shared" si="1"/>
        <v>-6.9276281703737137</v>
      </c>
      <c r="Q11" s="114"/>
      <c r="S11">
        <f t="shared" si="2"/>
        <v>25161.225000000006</v>
      </c>
      <c r="T11" s="44">
        <f>E11+апр!I11</f>
        <v>24850.414999999997</v>
      </c>
      <c r="U11" s="30">
        <f>F11+апр!J11</f>
        <v>17661.514999999999</v>
      </c>
    </row>
    <row r="12" spans="1:22" ht="18.75" customHeight="1">
      <c r="A12" s="8" t="s">
        <v>11</v>
      </c>
      <c r="B12" s="9" t="s">
        <v>12</v>
      </c>
      <c r="C12" s="8" t="s">
        <v>4</v>
      </c>
      <c r="D12" s="10">
        <v>852.13199999999995</v>
      </c>
      <c r="E12" s="8"/>
      <c r="F12" s="54">
        <v>2173</v>
      </c>
      <c r="G12" s="10">
        <f t="shared" si="3"/>
        <v>2173</v>
      </c>
      <c r="H12" s="10">
        <f>D12+август!H12</f>
        <v>7669.1879999999983</v>
      </c>
      <c r="I12" s="8"/>
      <c r="J12" s="10">
        <f>F12+август!J12</f>
        <v>11625.136</v>
      </c>
      <c r="K12" s="10">
        <f t="shared" si="4"/>
        <v>11625.136</v>
      </c>
      <c r="L12" s="16"/>
      <c r="M12" s="222" t="s">
        <v>297</v>
      </c>
      <c r="N12" s="223"/>
      <c r="O12" s="122">
        <f t="shared" si="0"/>
        <v>3955.9480000000021</v>
      </c>
      <c r="P12" s="123">
        <f t="shared" si="1"/>
        <v>51.582357871524373</v>
      </c>
      <c r="Q12" s="115"/>
      <c r="S12">
        <f t="shared" si="2"/>
        <v>4260.66</v>
      </c>
      <c r="T12" s="44">
        <f>E12+апр!I12</f>
        <v>0</v>
      </c>
      <c r="U12" s="30">
        <f>F12+апр!J12</f>
        <v>4492.59</v>
      </c>
    </row>
    <row r="13" spans="1:22" ht="17.25" customHeight="1">
      <c r="A13" s="8"/>
      <c r="B13" s="12" t="s">
        <v>13</v>
      </c>
      <c r="C13" s="13" t="s">
        <v>14</v>
      </c>
      <c r="D13" s="14">
        <v>3667</v>
      </c>
      <c r="E13" s="13"/>
      <c r="F13" s="8"/>
      <c r="G13" s="10">
        <f t="shared" si="3"/>
        <v>0</v>
      </c>
      <c r="H13" s="10">
        <f>D13+август!H13</f>
        <v>33003</v>
      </c>
      <c r="I13" s="8"/>
      <c r="J13" s="10">
        <v>31736</v>
      </c>
      <c r="K13" s="10">
        <f t="shared" si="4"/>
        <v>31736</v>
      </c>
      <c r="L13" s="16"/>
      <c r="M13" s="220"/>
      <c r="N13" s="221"/>
      <c r="O13" s="122">
        <f t="shared" si="0"/>
        <v>-1267</v>
      </c>
      <c r="P13" s="123">
        <f t="shared" si="1"/>
        <v>-3.8390449353089116</v>
      </c>
      <c r="Q13" s="114"/>
      <c r="S13">
        <f t="shared" si="2"/>
        <v>18335</v>
      </c>
      <c r="T13" s="44">
        <f>E13+апр!I13</f>
        <v>0</v>
      </c>
      <c r="U13" s="30">
        <f>F13+апр!J13</f>
        <v>7641</v>
      </c>
    </row>
    <row r="14" spans="1:22" ht="17.25" customHeight="1">
      <c r="A14" s="15"/>
      <c r="B14" s="12" t="s">
        <v>15</v>
      </c>
      <c r="C14" s="13" t="s">
        <v>16</v>
      </c>
      <c r="D14" s="16">
        <f>D12/D13*1000</f>
        <v>232.37851104445048</v>
      </c>
      <c r="E14" s="16"/>
      <c r="F14" s="16" t="e">
        <f t="shared" ref="F14" si="6">F12/F13*1000</f>
        <v>#DIV/0!</v>
      </c>
      <c r="G14" s="10" t="e">
        <f t="shared" si="3"/>
        <v>#DIV/0!</v>
      </c>
      <c r="H14" s="16">
        <f>H12/H13*1000</f>
        <v>232.37851104445045</v>
      </c>
      <c r="I14" s="16"/>
      <c r="J14" s="16">
        <f t="shared" ref="J14" si="7">J12/J13*1000</f>
        <v>366.30753718174947</v>
      </c>
      <c r="K14" s="10">
        <f t="shared" si="4"/>
        <v>366.30753718174947</v>
      </c>
      <c r="L14" s="16"/>
      <c r="M14" s="220"/>
      <c r="N14" s="221"/>
      <c r="O14" s="122">
        <f t="shared" si="0"/>
        <v>133.92902613729902</v>
      </c>
      <c r="P14" s="123">
        <f t="shared" si="1"/>
        <v>57.633997883599676</v>
      </c>
      <c r="Q14" s="114"/>
      <c r="S14">
        <f t="shared" si="2"/>
        <v>1161.8925552222524</v>
      </c>
      <c r="T14" s="44">
        <f>E14+апр!I14</f>
        <v>0</v>
      </c>
      <c r="U14" s="30" t="e">
        <f>F14+апр!J14</f>
        <v>#DIV/0!</v>
      </c>
    </row>
    <row r="15" spans="1:22" ht="17.25" customHeight="1">
      <c r="A15" s="8" t="s">
        <v>17</v>
      </c>
      <c r="B15" s="9" t="s">
        <v>18</v>
      </c>
      <c r="C15" s="8" t="s">
        <v>4</v>
      </c>
      <c r="D15" s="10">
        <v>2808.576</v>
      </c>
      <c r="E15" s="8"/>
      <c r="F15" s="54">
        <v>2526.8000000000002</v>
      </c>
      <c r="G15" s="10">
        <f t="shared" si="3"/>
        <v>2526.8000000000002</v>
      </c>
      <c r="H15" s="10">
        <f>D15+август!H15</f>
        <v>25277.184000000005</v>
      </c>
      <c r="I15" s="8"/>
      <c r="J15" s="10">
        <f>F15+август!J15</f>
        <v>19266.538</v>
      </c>
      <c r="K15" s="10">
        <f t="shared" si="4"/>
        <v>19266.538</v>
      </c>
      <c r="L15" s="16"/>
      <c r="M15" s="220"/>
      <c r="N15" s="221"/>
      <c r="O15" s="122">
        <f t="shared" si="0"/>
        <v>-6010.6460000000043</v>
      </c>
      <c r="P15" s="123">
        <f t="shared" si="1"/>
        <v>-23.778938350094705</v>
      </c>
      <c r="Q15" s="114"/>
      <c r="S15">
        <f t="shared" si="2"/>
        <v>14042.880000000001</v>
      </c>
      <c r="T15" s="44">
        <f>E15+апр!I15</f>
        <v>0</v>
      </c>
      <c r="U15" s="30">
        <f>F15+апр!J15</f>
        <v>7497.6050000000005</v>
      </c>
    </row>
    <row r="16" spans="1:22" ht="17.25" customHeight="1">
      <c r="A16" s="8"/>
      <c r="B16" s="12" t="s">
        <v>13</v>
      </c>
      <c r="C16" s="13" t="s">
        <v>14</v>
      </c>
      <c r="D16" s="14">
        <v>15000</v>
      </c>
      <c r="E16" s="13"/>
      <c r="F16" s="8"/>
      <c r="G16" s="10">
        <f t="shared" si="3"/>
        <v>0</v>
      </c>
      <c r="H16" s="10">
        <f>D16+август!H16</f>
        <v>135000</v>
      </c>
      <c r="I16" s="8"/>
      <c r="J16" s="10">
        <v>148209</v>
      </c>
      <c r="K16" s="10">
        <f t="shared" si="4"/>
        <v>148209</v>
      </c>
      <c r="L16" s="16"/>
      <c r="M16" s="220"/>
      <c r="N16" s="221"/>
      <c r="O16" s="122">
        <f t="shared" si="0"/>
        <v>13209</v>
      </c>
      <c r="P16" s="123">
        <f t="shared" si="1"/>
        <v>9.7844444444444445</v>
      </c>
      <c r="Q16" s="114"/>
      <c r="S16">
        <f t="shared" si="2"/>
        <v>75000</v>
      </c>
      <c r="T16" s="44">
        <f>E16+апр!I16</f>
        <v>0</v>
      </c>
      <c r="U16" s="30">
        <f>F16+апр!J16</f>
        <v>39326</v>
      </c>
    </row>
    <row r="17" spans="1:21" ht="17.25" customHeight="1">
      <c r="A17" s="8"/>
      <c r="B17" s="12" t="s">
        <v>15</v>
      </c>
      <c r="C17" s="13" t="s">
        <v>16</v>
      </c>
      <c r="D17" s="16">
        <f>D15/D16*1000</f>
        <v>187.23840000000001</v>
      </c>
      <c r="E17" s="16"/>
      <c r="F17" s="16" t="e">
        <f t="shared" ref="F17" si="8">F15/F16*1000</f>
        <v>#DIV/0!</v>
      </c>
      <c r="G17" s="10" t="e">
        <f t="shared" si="3"/>
        <v>#DIV/0!</v>
      </c>
      <c r="H17" s="16">
        <f>H15/H16*1000</f>
        <v>187.23840000000001</v>
      </c>
      <c r="I17" s="8"/>
      <c r="J17" s="16">
        <f t="shared" ref="J17" si="9">J15/J16*1000</f>
        <v>129.99573575154005</v>
      </c>
      <c r="K17" s="10">
        <f t="shared" si="4"/>
        <v>129.99573575154005</v>
      </c>
      <c r="L17" s="16"/>
      <c r="M17" s="220"/>
      <c r="N17" s="221"/>
      <c r="O17" s="122">
        <f t="shared" si="0"/>
        <v>-57.24266424845996</v>
      </c>
      <c r="P17" s="123">
        <f t="shared" si="1"/>
        <v>-30.572075091679888</v>
      </c>
      <c r="Q17" s="114"/>
      <c r="S17">
        <f t="shared" si="2"/>
        <v>936.19200000000001</v>
      </c>
      <c r="T17" s="44">
        <f>E17+апр!I17</f>
        <v>0</v>
      </c>
      <c r="U17" s="30" t="e">
        <f>F17+апр!J17</f>
        <v>#DIV/0!</v>
      </c>
    </row>
    <row r="18" spans="1:21" ht="17.25" customHeight="1">
      <c r="A18" s="8" t="s">
        <v>19</v>
      </c>
      <c r="B18" s="9" t="s">
        <v>20</v>
      </c>
      <c r="C18" s="8" t="s">
        <v>4</v>
      </c>
      <c r="D18" s="10">
        <v>241.64599999999999</v>
      </c>
      <c r="E18" s="8"/>
      <c r="F18" s="54">
        <v>157.5</v>
      </c>
      <c r="G18" s="10">
        <f t="shared" si="3"/>
        <v>157.5</v>
      </c>
      <c r="H18" s="10">
        <f>D18+август!H18</f>
        <v>2174.8139999999999</v>
      </c>
      <c r="I18" s="8"/>
      <c r="J18" s="10">
        <f>F18+август!J18</f>
        <v>684.96</v>
      </c>
      <c r="K18" s="10">
        <f t="shared" si="4"/>
        <v>684.96</v>
      </c>
      <c r="L18" s="16"/>
      <c r="M18" s="220"/>
      <c r="N18" s="221"/>
      <c r="O18" s="122">
        <f t="shared" si="0"/>
        <v>-1489.8539999999998</v>
      </c>
      <c r="P18" s="123">
        <f t="shared" si="1"/>
        <v>-68.504892832214608</v>
      </c>
      <c r="Q18" s="114"/>
      <c r="S18">
        <f t="shared" si="2"/>
        <v>1208.23</v>
      </c>
      <c r="T18" s="44">
        <f>E18+апр!I18</f>
        <v>0</v>
      </c>
      <c r="U18" s="30">
        <f>F18+апр!J18</f>
        <v>303.46000000000004</v>
      </c>
    </row>
    <row r="19" spans="1:21" ht="17.25" customHeight="1">
      <c r="A19" s="8"/>
      <c r="B19" s="12" t="s">
        <v>13</v>
      </c>
      <c r="C19" s="13" t="s">
        <v>14</v>
      </c>
      <c r="D19" s="14">
        <v>1025</v>
      </c>
      <c r="E19" s="13"/>
      <c r="F19" s="8"/>
      <c r="G19" s="10">
        <f t="shared" si="3"/>
        <v>0</v>
      </c>
      <c r="H19" s="10">
        <f>D19+август!H19</f>
        <v>9225</v>
      </c>
      <c r="I19" s="8"/>
      <c r="J19" s="10">
        <v>1830</v>
      </c>
      <c r="K19" s="10">
        <f t="shared" si="4"/>
        <v>1830</v>
      </c>
      <c r="L19" s="16"/>
      <c r="M19" s="220"/>
      <c r="N19" s="221"/>
      <c r="O19" s="122">
        <f t="shared" si="0"/>
        <v>-7395</v>
      </c>
      <c r="P19" s="123">
        <f t="shared" si="1"/>
        <v>-80.162601626016254</v>
      </c>
      <c r="Q19" s="114"/>
      <c r="S19">
        <f t="shared" si="2"/>
        <v>5125</v>
      </c>
      <c r="T19" s="44">
        <f>E19+апр!I19</f>
        <v>0</v>
      </c>
      <c r="U19" s="30">
        <f>F19+апр!J19</f>
        <v>290</v>
      </c>
    </row>
    <row r="20" spans="1:21" ht="17.25" customHeight="1">
      <c r="A20" s="8"/>
      <c r="B20" s="12" t="s">
        <v>15</v>
      </c>
      <c r="C20" s="13" t="s">
        <v>16</v>
      </c>
      <c r="D20" s="16">
        <f>D18/D19*1000</f>
        <v>235.75219512195119</v>
      </c>
      <c r="E20" s="16"/>
      <c r="F20" s="16" t="e">
        <f>F18/F19*1000</f>
        <v>#DIV/0!</v>
      </c>
      <c r="G20" s="10" t="e">
        <f t="shared" si="3"/>
        <v>#DIV/0!</v>
      </c>
      <c r="H20" s="16">
        <f>H18/H19*1000</f>
        <v>235.75219512195119</v>
      </c>
      <c r="I20" s="8"/>
      <c r="J20" s="16">
        <f t="shared" ref="J20" si="10">J18/J19*1000</f>
        <v>374.29508196721309</v>
      </c>
      <c r="K20" s="10">
        <f t="shared" si="4"/>
        <v>374.29508196721309</v>
      </c>
      <c r="L20" s="16"/>
      <c r="M20" s="220"/>
      <c r="N20" s="221"/>
      <c r="O20" s="122">
        <f t="shared" si="0"/>
        <v>138.5428868452619</v>
      </c>
      <c r="P20" s="123">
        <f t="shared" si="1"/>
        <v>58.76631891957387</v>
      </c>
      <c r="Q20" s="114"/>
      <c r="S20">
        <f t="shared" si="2"/>
        <v>1178.7609756097559</v>
      </c>
      <c r="T20" s="44">
        <f>E20+апр!I20</f>
        <v>0</v>
      </c>
      <c r="U20" s="30" t="e">
        <f>F20+апр!J20</f>
        <v>#DIV/0!</v>
      </c>
    </row>
    <row r="21" spans="1:21" ht="17.25" customHeight="1">
      <c r="A21" s="8" t="s">
        <v>21</v>
      </c>
      <c r="B21" s="9" t="s">
        <v>22</v>
      </c>
      <c r="C21" s="8" t="s">
        <v>4</v>
      </c>
      <c r="D21" s="10">
        <v>750.73</v>
      </c>
      <c r="E21" s="8"/>
      <c r="F21" s="54">
        <v>1057.8</v>
      </c>
      <c r="G21" s="10">
        <f t="shared" si="3"/>
        <v>1057.8</v>
      </c>
      <c r="H21" s="10">
        <f>D21+август!H21</f>
        <v>6756.57</v>
      </c>
      <c r="I21" s="8"/>
      <c r="J21" s="10">
        <f>F21+август!J21</f>
        <v>8724.619999999999</v>
      </c>
      <c r="K21" s="10">
        <f t="shared" si="4"/>
        <v>8724.619999999999</v>
      </c>
      <c r="L21" s="16"/>
      <c r="M21" s="220"/>
      <c r="N21" s="221"/>
      <c r="O21" s="122">
        <f t="shared" si="0"/>
        <v>1968.0499999999993</v>
      </c>
      <c r="P21" s="123">
        <f t="shared" si="1"/>
        <v>29.127945096402456</v>
      </c>
      <c r="Q21" s="114"/>
      <c r="S21">
        <f t="shared" si="2"/>
        <v>3753.65</v>
      </c>
      <c r="T21" s="44">
        <f>E21+апр!I21</f>
        <v>0</v>
      </c>
      <c r="U21" s="30">
        <f>F21+апр!J21</f>
        <v>4952.0199999999995</v>
      </c>
    </row>
    <row r="22" spans="1:21" ht="17.25" customHeight="1">
      <c r="A22" s="8"/>
      <c r="B22" s="12" t="s">
        <v>13</v>
      </c>
      <c r="C22" s="13" t="s">
        <v>14</v>
      </c>
      <c r="D22" s="14">
        <v>5883</v>
      </c>
      <c r="E22" s="13"/>
      <c r="F22" s="8"/>
      <c r="G22" s="10">
        <f t="shared" si="3"/>
        <v>0</v>
      </c>
      <c r="H22" s="10">
        <f>D22+август!H22</f>
        <v>52947</v>
      </c>
      <c r="I22" s="8"/>
      <c r="J22" s="10">
        <v>52540</v>
      </c>
      <c r="K22" s="10">
        <f t="shared" si="4"/>
        <v>52540</v>
      </c>
      <c r="L22" s="16"/>
      <c r="M22" s="220"/>
      <c r="N22" s="221"/>
      <c r="O22" s="122">
        <f t="shared" si="0"/>
        <v>-407</v>
      </c>
      <c r="P22" s="123">
        <f t="shared" si="1"/>
        <v>-0.76869322152341013</v>
      </c>
      <c r="Q22" s="114"/>
      <c r="S22">
        <f t="shared" si="2"/>
        <v>29415</v>
      </c>
      <c r="T22" s="44">
        <f>E22+апр!I22</f>
        <v>0</v>
      </c>
      <c r="U22" s="30">
        <f>F22+апр!J22</f>
        <v>22790</v>
      </c>
    </row>
    <row r="23" spans="1:21" ht="17.25" customHeight="1">
      <c r="A23" s="8"/>
      <c r="B23" s="12" t="s">
        <v>15</v>
      </c>
      <c r="C23" s="13" t="s">
        <v>16</v>
      </c>
      <c r="D23" s="16">
        <f>D21/D22*1000</f>
        <v>127.61006289308177</v>
      </c>
      <c r="E23" s="16" t="e">
        <f t="shared" ref="E23:F23" si="11">E21/E22*1000</f>
        <v>#DIV/0!</v>
      </c>
      <c r="F23" s="16" t="e">
        <f t="shared" si="11"/>
        <v>#DIV/0!</v>
      </c>
      <c r="G23" s="10" t="e">
        <f t="shared" si="3"/>
        <v>#DIV/0!</v>
      </c>
      <c r="H23" s="16">
        <f>H21/H22*1000</f>
        <v>127.61006289308175</v>
      </c>
      <c r="I23" s="8"/>
      <c r="J23" s="16">
        <f t="shared" ref="J23" si="12">J21/J22*1000</f>
        <v>166.05671869052151</v>
      </c>
      <c r="K23" s="10">
        <f t="shared" si="4"/>
        <v>166.05671869052151</v>
      </c>
      <c r="L23" s="16"/>
      <c r="M23" s="220"/>
      <c r="N23" s="221"/>
      <c r="O23" s="122">
        <f t="shared" si="0"/>
        <v>38.44665579743976</v>
      </c>
      <c r="P23" s="123">
        <f t="shared" si="1"/>
        <v>30.128231995036579</v>
      </c>
      <c r="Q23" s="114"/>
      <c r="S23">
        <f t="shared" si="2"/>
        <v>638.05031446540886</v>
      </c>
      <c r="T23" s="44" t="e">
        <f>E23+апр!I23</f>
        <v>#DIV/0!</v>
      </c>
      <c r="U23" s="30" t="e">
        <f>F23+апр!J23</f>
        <v>#DIV/0!</v>
      </c>
    </row>
    <row r="24" spans="1:21" ht="17.25" customHeight="1">
      <c r="A24" s="8" t="s">
        <v>23</v>
      </c>
      <c r="B24" s="9" t="s">
        <v>24</v>
      </c>
      <c r="C24" s="8" t="s">
        <v>4</v>
      </c>
      <c r="D24" s="10">
        <v>165.005</v>
      </c>
      <c r="E24" s="8"/>
      <c r="F24" s="54"/>
      <c r="G24" s="10">
        <f t="shared" si="3"/>
        <v>0</v>
      </c>
      <c r="H24" s="10">
        <f>D24+август!H24</f>
        <v>1485.0450000000001</v>
      </c>
      <c r="I24" s="8"/>
      <c r="J24" s="10">
        <f>F24+август!J24</f>
        <v>483.41399999999999</v>
      </c>
      <c r="K24" s="10">
        <f t="shared" si="4"/>
        <v>483.41399999999999</v>
      </c>
      <c r="L24" s="16"/>
      <c r="M24" s="220"/>
      <c r="N24" s="221"/>
      <c r="O24" s="122">
        <f t="shared" si="0"/>
        <v>-1001.6310000000001</v>
      </c>
      <c r="P24" s="123">
        <f t="shared" si="1"/>
        <v>-67.447855115501554</v>
      </c>
      <c r="Q24" s="114"/>
      <c r="S24">
        <f t="shared" si="2"/>
        <v>825.02499999999998</v>
      </c>
      <c r="T24" s="44">
        <f>E24+апр!I24</f>
        <v>0</v>
      </c>
      <c r="U24" s="30">
        <f>F24+апр!J24</f>
        <v>415.84</v>
      </c>
    </row>
    <row r="25" spans="1:21" ht="17.25" customHeight="1">
      <c r="A25" s="8"/>
      <c r="B25" s="12" t="s">
        <v>13</v>
      </c>
      <c r="C25" s="13" t="s">
        <v>14</v>
      </c>
      <c r="D25" s="14">
        <v>251</v>
      </c>
      <c r="E25" s="13"/>
      <c r="F25" s="8"/>
      <c r="G25" s="10">
        <f t="shared" si="3"/>
        <v>0</v>
      </c>
      <c r="H25" s="10">
        <f>D25+август!H25</f>
        <v>2259</v>
      </c>
      <c r="I25" s="8"/>
      <c r="J25" s="10">
        <f>F25+август!J25</f>
        <v>930</v>
      </c>
      <c r="K25" s="10">
        <f t="shared" si="4"/>
        <v>930</v>
      </c>
      <c r="L25" s="16"/>
      <c r="M25" s="220"/>
      <c r="N25" s="221"/>
      <c r="O25" s="122">
        <f t="shared" si="0"/>
        <v>-1329</v>
      </c>
      <c r="P25" s="123">
        <f t="shared" si="1"/>
        <v>-58.831341301460824</v>
      </c>
      <c r="Q25" s="114"/>
      <c r="S25">
        <f t="shared" si="2"/>
        <v>1255</v>
      </c>
      <c r="T25" s="44">
        <f>E25+апр!I25</f>
        <v>0</v>
      </c>
      <c r="U25" s="30">
        <f>F25+апр!J25</f>
        <v>800</v>
      </c>
    </row>
    <row r="26" spans="1:21" ht="17.25" customHeight="1">
      <c r="A26" s="8"/>
      <c r="B26" s="12" t="s">
        <v>15</v>
      </c>
      <c r="C26" s="13" t="s">
        <v>16</v>
      </c>
      <c r="D26" s="16">
        <f>D24/D25*1000</f>
        <v>657.39043824701196</v>
      </c>
      <c r="E26" s="16" t="e">
        <f t="shared" ref="E26:F26" si="13">E24/E25*1000</f>
        <v>#DIV/0!</v>
      </c>
      <c r="F26" s="16" t="e">
        <f t="shared" si="13"/>
        <v>#DIV/0!</v>
      </c>
      <c r="G26" s="10" t="e">
        <f t="shared" si="3"/>
        <v>#DIV/0!</v>
      </c>
      <c r="H26" s="16">
        <f>H24/H25*1000</f>
        <v>657.39043824701196</v>
      </c>
      <c r="I26" s="16"/>
      <c r="J26" s="16">
        <f t="shared" ref="J26" si="14">J24/J25*1000</f>
        <v>519.80000000000007</v>
      </c>
      <c r="K26" s="16"/>
      <c r="L26" s="16"/>
      <c r="M26" s="220"/>
      <c r="N26" s="221"/>
      <c r="O26" s="122">
        <f t="shared" si="0"/>
        <v>-137.59043824701189</v>
      </c>
      <c r="P26" s="123">
        <f t="shared" si="1"/>
        <v>-20.929790006363433</v>
      </c>
      <c r="Q26" s="114"/>
      <c r="S26">
        <f t="shared" si="2"/>
        <v>3286.9521912350597</v>
      </c>
      <c r="T26" s="44" t="e">
        <f>E26+апр!I26</f>
        <v>#DIV/0!</v>
      </c>
      <c r="U26" s="30" t="e">
        <f>F26+апр!J26</f>
        <v>#DIV/0!</v>
      </c>
    </row>
    <row r="27" spans="1:21" ht="17.25" customHeight="1">
      <c r="A27" s="8" t="s">
        <v>23</v>
      </c>
      <c r="B27" s="9" t="s">
        <v>25</v>
      </c>
      <c r="C27" s="8" t="s">
        <v>4</v>
      </c>
      <c r="D27" s="10">
        <v>214.15600000000001</v>
      </c>
      <c r="E27" s="8"/>
      <c r="F27" s="54"/>
      <c r="G27" s="10">
        <f t="shared" si="3"/>
        <v>0</v>
      </c>
      <c r="H27" s="10">
        <f>D27+август!H27</f>
        <v>1927.4039999999998</v>
      </c>
      <c r="I27" s="8"/>
      <c r="J27" s="10">
        <f>F27+август!J27</f>
        <v>1368</v>
      </c>
      <c r="K27" s="10">
        <f t="shared" si="4"/>
        <v>1368</v>
      </c>
      <c r="L27" s="16"/>
      <c r="M27" s="220"/>
      <c r="N27" s="221"/>
      <c r="O27" s="122">
        <f t="shared" si="0"/>
        <v>-559.40399999999977</v>
      </c>
      <c r="P27" s="123">
        <f t="shared" si="1"/>
        <v>-29.023702347821207</v>
      </c>
      <c r="Q27" s="114"/>
      <c r="S27">
        <f t="shared" si="2"/>
        <v>1070.78</v>
      </c>
      <c r="T27" s="44">
        <f>E27+апр!I27</f>
        <v>0</v>
      </c>
      <c r="U27" s="30">
        <f>F27+апр!J27</f>
        <v>0</v>
      </c>
    </row>
    <row r="28" spans="1:21" ht="17.25" customHeight="1">
      <c r="A28" s="8"/>
      <c r="B28" s="12" t="s">
        <v>13</v>
      </c>
      <c r="C28" s="13" t="s">
        <v>14</v>
      </c>
      <c r="D28" s="14">
        <v>238</v>
      </c>
      <c r="E28" s="13"/>
      <c r="F28" s="8"/>
      <c r="G28" s="10">
        <f t="shared" si="3"/>
        <v>0</v>
      </c>
      <c r="H28" s="10">
        <f>D28+август!H28</f>
        <v>2142</v>
      </c>
      <c r="I28" s="8"/>
      <c r="J28" s="10">
        <f>F28+август!J28</f>
        <v>1710</v>
      </c>
      <c r="K28" s="10">
        <f t="shared" si="4"/>
        <v>1710</v>
      </c>
      <c r="L28" s="16"/>
      <c r="M28" s="220"/>
      <c r="N28" s="221"/>
      <c r="O28" s="122">
        <f t="shared" si="0"/>
        <v>-432</v>
      </c>
      <c r="P28" s="123">
        <f t="shared" si="1"/>
        <v>-20.168067226890756</v>
      </c>
      <c r="Q28" s="114"/>
      <c r="S28">
        <f t="shared" si="2"/>
        <v>1190</v>
      </c>
      <c r="T28" s="44">
        <f>E28+апр!I28</f>
        <v>0</v>
      </c>
      <c r="U28" s="30">
        <f>F28+апр!J28</f>
        <v>0</v>
      </c>
    </row>
    <row r="29" spans="1:21" ht="17.25" customHeight="1">
      <c r="A29" s="8"/>
      <c r="B29" s="12" t="s">
        <v>15</v>
      </c>
      <c r="C29" s="13" t="s">
        <v>16</v>
      </c>
      <c r="D29" s="16">
        <f>D27/D28*1000</f>
        <v>899.81512605042019</v>
      </c>
      <c r="E29" s="13"/>
      <c r="F29" s="16" t="e">
        <f t="shared" ref="F29" si="15">F27/F28*1000</f>
        <v>#DIV/0!</v>
      </c>
      <c r="G29" s="10" t="e">
        <f t="shared" si="3"/>
        <v>#DIV/0!</v>
      </c>
      <c r="H29" s="16">
        <f>H27/H28*1000</f>
        <v>899.81512605042008</v>
      </c>
      <c r="I29" s="16"/>
      <c r="J29" s="16">
        <f t="shared" ref="J29" si="16">J27/J28*1000</f>
        <v>800</v>
      </c>
      <c r="K29" s="10">
        <f t="shared" si="4"/>
        <v>800</v>
      </c>
      <c r="L29" s="16"/>
      <c r="M29" s="220"/>
      <c r="N29" s="221"/>
      <c r="O29" s="122">
        <f t="shared" si="0"/>
        <v>-99.815126050420076</v>
      </c>
      <c r="P29" s="123">
        <f t="shared" si="1"/>
        <v>-11.09284820411288</v>
      </c>
      <c r="Q29" s="114"/>
      <c r="S29">
        <f t="shared" si="2"/>
        <v>4499.0756302521013</v>
      </c>
      <c r="T29" s="44">
        <f>E29+апр!I29</f>
        <v>0</v>
      </c>
      <c r="U29" s="30" t="e">
        <f>F29+апр!J29</f>
        <v>#DIV/0!</v>
      </c>
    </row>
    <row r="30" spans="1:21" ht="17.25" customHeight="1">
      <c r="A30" s="18" t="s">
        <v>26</v>
      </c>
      <c r="B30" s="9" t="s">
        <v>27</v>
      </c>
      <c r="C30" s="8" t="s">
        <v>4</v>
      </c>
      <c r="D30" s="10">
        <f t="shared" ref="D30" si="17">D31+D32+D33+D34</f>
        <v>2406.0839999999998</v>
      </c>
      <c r="E30" s="8">
        <v>762.50099999999998</v>
      </c>
      <c r="F30" s="10">
        <f>F31+F32+F33+F34</f>
        <v>1213.748</v>
      </c>
      <c r="G30" s="10">
        <f t="shared" si="3"/>
        <v>451.24700000000007</v>
      </c>
      <c r="H30" s="10">
        <f t="shared" ref="H30" si="18">H31+H32+H33+H34</f>
        <v>10990.856000000003</v>
      </c>
      <c r="I30" s="8">
        <f>E30+август!I30</f>
        <v>6862.5090000000009</v>
      </c>
      <c r="J30" s="10">
        <f>J31+J32+J33+J34</f>
        <v>18700.817999999999</v>
      </c>
      <c r="K30" s="10">
        <f t="shared" si="4"/>
        <v>11838.308999999997</v>
      </c>
      <c r="L30" s="16">
        <f t="shared" si="5"/>
        <v>172.50700873397756</v>
      </c>
      <c r="M30" s="220"/>
      <c r="N30" s="221"/>
      <c r="O30" s="122">
        <f t="shared" si="0"/>
        <v>7709.9619999999959</v>
      </c>
      <c r="P30" s="123">
        <f t="shared" si="1"/>
        <v>70.148876484233753</v>
      </c>
      <c r="Q30" s="114"/>
      <c r="S30">
        <f t="shared" si="2"/>
        <v>12030.419999999998</v>
      </c>
      <c r="T30" s="44">
        <f>E30+апр!I30</f>
        <v>3812.5050000000001</v>
      </c>
      <c r="U30" s="30">
        <f>F30+апр!J30</f>
        <v>10386.496999999999</v>
      </c>
    </row>
    <row r="31" spans="1:21" ht="35.25" customHeight="1">
      <c r="A31" s="18" t="s">
        <v>28</v>
      </c>
      <c r="B31" s="9" t="s">
        <v>29</v>
      </c>
      <c r="C31" s="8" t="s">
        <v>4</v>
      </c>
      <c r="D31" s="10">
        <v>2288.5219999999999</v>
      </c>
      <c r="E31" s="8"/>
      <c r="F31" s="55">
        <v>1186.1849999999999</v>
      </c>
      <c r="G31" s="10">
        <f t="shared" si="3"/>
        <v>1186.1849999999999</v>
      </c>
      <c r="H31" s="10">
        <f>D31+август!H31-10663.9</f>
        <v>9932.7980000000043</v>
      </c>
      <c r="I31" s="8"/>
      <c r="J31" s="10">
        <v>17602.273000000001</v>
      </c>
      <c r="K31" s="10">
        <f t="shared" si="4"/>
        <v>17602.273000000001</v>
      </c>
      <c r="L31" s="16"/>
      <c r="M31" s="220"/>
      <c r="N31" s="221"/>
      <c r="O31" s="122">
        <f t="shared" si="0"/>
        <v>7669.4749999999967</v>
      </c>
      <c r="P31" s="123">
        <f t="shared" si="1"/>
        <v>77.213641110994033</v>
      </c>
      <c r="Q31" s="114">
        <f>17634.675</f>
        <v>17634.674999999999</v>
      </c>
      <c r="S31">
        <f t="shared" si="2"/>
        <v>11442.61</v>
      </c>
      <c r="T31" s="44">
        <f>E31+апр!I31</f>
        <v>0</v>
      </c>
      <c r="U31" s="30">
        <f>F31+апр!J31</f>
        <v>9959.619999999999</v>
      </c>
    </row>
    <row r="32" spans="1:21" ht="51.75" customHeight="1">
      <c r="A32" s="18" t="s">
        <v>30</v>
      </c>
      <c r="B32" s="9" t="s">
        <v>31</v>
      </c>
      <c r="C32" s="8" t="s">
        <v>4</v>
      </c>
      <c r="D32" s="10">
        <v>60.337000000000003</v>
      </c>
      <c r="E32" s="8"/>
      <c r="F32" s="54">
        <v>6.9320000000000004</v>
      </c>
      <c r="G32" s="10">
        <f t="shared" si="3"/>
        <v>6.9320000000000004</v>
      </c>
      <c r="H32" s="10">
        <f>D32+август!H32</f>
        <v>543.03300000000002</v>
      </c>
      <c r="I32" s="8"/>
      <c r="J32" s="10">
        <v>798.33500000000004</v>
      </c>
      <c r="K32" s="10">
        <f t="shared" si="4"/>
        <v>798.33500000000004</v>
      </c>
      <c r="L32" s="16"/>
      <c r="M32" s="222" t="s">
        <v>285</v>
      </c>
      <c r="N32" s="223"/>
      <c r="O32" s="122">
        <f t="shared" si="0"/>
        <v>255.30200000000002</v>
      </c>
      <c r="P32" s="123">
        <f t="shared" si="1"/>
        <v>47.014085700132405</v>
      </c>
      <c r="Q32" s="115">
        <f>785.996</f>
        <v>785.99599999999998</v>
      </c>
      <c r="S32">
        <f t="shared" si="2"/>
        <v>301.685</v>
      </c>
      <c r="T32" s="44">
        <f>E32+апр!I32</f>
        <v>0</v>
      </c>
      <c r="U32" s="30">
        <f>F32+апр!J32</f>
        <v>274.96199999999999</v>
      </c>
    </row>
    <row r="33" spans="1:21" ht="17.25" customHeight="1">
      <c r="A33" s="18" t="s">
        <v>32</v>
      </c>
      <c r="B33" s="9" t="s">
        <v>33</v>
      </c>
      <c r="C33" s="8" t="s">
        <v>4</v>
      </c>
      <c r="D33" s="10">
        <v>19.736999999999998</v>
      </c>
      <c r="E33" s="8"/>
      <c r="F33" s="55">
        <v>10.972</v>
      </c>
      <c r="G33" s="10">
        <f t="shared" si="3"/>
        <v>10.972</v>
      </c>
      <c r="H33" s="10">
        <f>D33+август!H33</f>
        <v>177.63299999999998</v>
      </c>
      <c r="I33" s="8"/>
      <c r="J33" s="10">
        <v>199.08600000000001</v>
      </c>
      <c r="K33" s="10">
        <f t="shared" si="4"/>
        <v>199.08600000000001</v>
      </c>
      <c r="L33" s="16"/>
      <c r="M33" s="220"/>
      <c r="N33" s="221"/>
      <c r="O33" s="122">
        <f t="shared" si="0"/>
        <v>21.453000000000031</v>
      </c>
      <c r="P33" s="123">
        <f t="shared" si="1"/>
        <v>12.077147827261845</v>
      </c>
      <c r="Q33" s="114"/>
      <c r="S33">
        <f t="shared" si="2"/>
        <v>98.684999999999988</v>
      </c>
      <c r="T33" s="44">
        <f>E33+апр!I33</f>
        <v>0</v>
      </c>
      <c r="U33" s="30">
        <f>F33+апр!J33</f>
        <v>60.497999999999998</v>
      </c>
    </row>
    <row r="34" spans="1:21" ht="33" customHeight="1">
      <c r="A34" s="18" t="s">
        <v>34</v>
      </c>
      <c r="B34" s="9" t="s">
        <v>35</v>
      </c>
      <c r="C34" s="8" t="s">
        <v>4</v>
      </c>
      <c r="D34" s="10">
        <v>37.488</v>
      </c>
      <c r="E34" s="8"/>
      <c r="F34" s="55">
        <v>9.6590000000000007</v>
      </c>
      <c r="G34" s="10">
        <f t="shared" si="3"/>
        <v>9.6590000000000007</v>
      </c>
      <c r="H34" s="10">
        <f>D34+август!H34</f>
        <v>337.392</v>
      </c>
      <c r="I34" s="8"/>
      <c r="J34" s="10">
        <f>F34+август!J34</f>
        <v>101.12400000000002</v>
      </c>
      <c r="K34" s="10">
        <f t="shared" si="4"/>
        <v>101.12400000000002</v>
      </c>
      <c r="L34" s="16"/>
      <c r="M34" s="220"/>
      <c r="N34" s="221"/>
      <c r="O34" s="122">
        <f t="shared" si="0"/>
        <v>-236.26799999999997</v>
      </c>
      <c r="P34" s="123">
        <f t="shared" si="1"/>
        <v>-70.027742210840799</v>
      </c>
      <c r="Q34" s="114"/>
      <c r="S34">
        <f t="shared" si="2"/>
        <v>187.44</v>
      </c>
      <c r="T34" s="44">
        <f>E34+апр!I34</f>
        <v>0</v>
      </c>
      <c r="U34" s="30">
        <f>F34+апр!J34</f>
        <v>91.417000000000016</v>
      </c>
    </row>
    <row r="35" spans="1:21" ht="17.25" customHeight="1">
      <c r="A35" s="18" t="s">
        <v>36</v>
      </c>
      <c r="B35" s="9" t="s">
        <v>37</v>
      </c>
      <c r="C35" s="8" t="s">
        <v>4</v>
      </c>
      <c r="D35" s="10">
        <f t="shared" ref="D35:J35" si="19">D36</f>
        <v>162.715</v>
      </c>
      <c r="E35" s="10">
        <f t="shared" si="19"/>
        <v>162.75</v>
      </c>
      <c r="F35" s="10">
        <f t="shared" si="19"/>
        <v>446.13</v>
      </c>
      <c r="G35" s="10">
        <f t="shared" si="3"/>
        <v>283.38</v>
      </c>
      <c r="H35" s="10">
        <f t="shared" si="19"/>
        <v>1464.4349999999999</v>
      </c>
      <c r="I35" s="10">
        <f t="shared" si="19"/>
        <v>1464.75</v>
      </c>
      <c r="J35" s="10">
        <f t="shared" si="19"/>
        <v>3013.482</v>
      </c>
      <c r="K35" s="10">
        <f t="shared" si="4"/>
        <v>1548.732</v>
      </c>
      <c r="L35" s="16">
        <f t="shared" si="5"/>
        <v>105.73353814644138</v>
      </c>
      <c r="M35" s="220"/>
      <c r="N35" s="221"/>
      <c r="O35" s="122">
        <f t="shared" si="0"/>
        <v>1549.047</v>
      </c>
      <c r="P35" s="123">
        <f t="shared" si="1"/>
        <v>105.77779143492201</v>
      </c>
      <c r="Q35" s="114"/>
      <c r="S35">
        <f t="shared" si="2"/>
        <v>813.57500000000005</v>
      </c>
      <c r="T35" s="44">
        <f>E35+апр!I35</f>
        <v>813.75</v>
      </c>
      <c r="U35" s="30">
        <f>F35+апр!J35</f>
        <v>2229.6779999999999</v>
      </c>
    </row>
    <row r="36" spans="1:21" ht="17.25" customHeight="1">
      <c r="A36" s="8" t="s">
        <v>38</v>
      </c>
      <c r="B36" s="9" t="s">
        <v>39</v>
      </c>
      <c r="C36" s="8" t="s">
        <v>4</v>
      </c>
      <c r="D36" s="10">
        <v>162.715</v>
      </c>
      <c r="E36" s="8">
        <v>162.75</v>
      </c>
      <c r="F36" s="54">
        <v>446.13</v>
      </c>
      <c r="G36" s="10">
        <f t="shared" si="3"/>
        <v>283.38</v>
      </c>
      <c r="H36" s="10">
        <f>D36+август!H36</f>
        <v>1464.4349999999999</v>
      </c>
      <c r="I36" s="8">
        <f>E36+август!I36</f>
        <v>1464.75</v>
      </c>
      <c r="J36" s="10">
        <v>3013.482</v>
      </c>
      <c r="K36" s="10">
        <f t="shared" si="4"/>
        <v>1548.732</v>
      </c>
      <c r="L36" s="16">
        <f t="shared" si="5"/>
        <v>105.73353814644138</v>
      </c>
      <c r="M36" s="220"/>
      <c r="N36" s="221"/>
      <c r="O36" s="122">
        <f t="shared" si="0"/>
        <v>1549.047</v>
      </c>
      <c r="P36" s="123">
        <f t="shared" si="1"/>
        <v>105.77779143492201</v>
      </c>
      <c r="Q36" s="114"/>
      <c r="S36">
        <f t="shared" si="2"/>
        <v>813.57500000000005</v>
      </c>
      <c r="T36" s="44">
        <f>E36+апр!I36</f>
        <v>813.75</v>
      </c>
      <c r="U36" s="30">
        <f>F36+апр!J36</f>
        <v>2229.6779999999999</v>
      </c>
    </row>
    <row r="37" spans="1:21" ht="17.25" customHeight="1">
      <c r="A37" s="18" t="s">
        <v>40</v>
      </c>
      <c r="B37" s="9" t="s">
        <v>41</v>
      </c>
      <c r="C37" s="8" t="s">
        <v>4</v>
      </c>
      <c r="D37" s="10">
        <f>D38+D41+D48+D51</f>
        <v>1613.3909999999998</v>
      </c>
      <c r="E37" s="8">
        <v>1933.0830000000001</v>
      </c>
      <c r="F37" s="10">
        <f>F38+F41+F48+F51</f>
        <v>1324.2190000000001</v>
      </c>
      <c r="G37" s="10">
        <f t="shared" si="3"/>
        <v>-608.86400000000003</v>
      </c>
      <c r="H37" s="10">
        <f>H38+H41+H48+H51</f>
        <v>14520.519</v>
      </c>
      <c r="I37" s="8">
        <f>E37+август!I37</f>
        <v>17397.747000000003</v>
      </c>
      <c r="J37" s="10">
        <f>J38+J41+J48+J51</f>
        <v>16681.293000000001</v>
      </c>
      <c r="K37" s="10">
        <f t="shared" si="4"/>
        <v>-716.45400000000154</v>
      </c>
      <c r="L37" s="16">
        <f t="shared" si="5"/>
        <v>-4.1180849451368697</v>
      </c>
      <c r="M37" s="220"/>
      <c r="N37" s="221"/>
      <c r="O37" s="122">
        <f t="shared" si="0"/>
        <v>2160.7740000000013</v>
      </c>
      <c r="P37" s="123">
        <f t="shared" si="1"/>
        <v>14.880831738865542</v>
      </c>
      <c r="Q37" s="114"/>
      <c r="S37">
        <f t="shared" si="2"/>
        <v>8066.954999999999</v>
      </c>
      <c r="T37" s="44">
        <f>E37+апр!I37</f>
        <v>9665.4150000000009</v>
      </c>
      <c r="U37" s="30">
        <f>F37+апр!J37</f>
        <v>11375.951000000001</v>
      </c>
    </row>
    <row r="38" spans="1:21" ht="17.25" customHeight="1">
      <c r="A38" s="18" t="s">
        <v>42</v>
      </c>
      <c r="B38" s="9" t="s">
        <v>43</v>
      </c>
      <c r="C38" s="8" t="s">
        <v>4</v>
      </c>
      <c r="D38" s="10">
        <v>707.32500000000005</v>
      </c>
      <c r="E38" s="8">
        <v>707.33299999999997</v>
      </c>
      <c r="F38" s="8"/>
      <c r="G38" s="10">
        <f t="shared" si="3"/>
        <v>-707.33299999999997</v>
      </c>
      <c r="H38" s="10">
        <f>D38+август!H38</f>
        <v>6365.9249999999993</v>
      </c>
      <c r="I38" s="8">
        <f>E38+август!I38</f>
        <v>6365.9969999999985</v>
      </c>
      <c r="J38" s="10">
        <f>F38+август!J38</f>
        <v>5653.2079999999996</v>
      </c>
      <c r="K38" s="10">
        <f t="shared" si="4"/>
        <v>-712.78899999999885</v>
      </c>
      <c r="L38" s="16">
        <f t="shared" si="5"/>
        <v>-11.196816460956532</v>
      </c>
      <c r="M38" s="220"/>
      <c r="N38" s="221"/>
      <c r="O38" s="122">
        <f t="shared" si="0"/>
        <v>-712.71699999999964</v>
      </c>
      <c r="P38" s="123">
        <f t="shared" si="1"/>
        <v>-11.19581207758495</v>
      </c>
      <c r="Q38" s="114"/>
      <c r="S38">
        <f t="shared" si="2"/>
        <v>3536.625</v>
      </c>
      <c r="T38" s="44">
        <f>E38+апр!I38</f>
        <v>3536.665</v>
      </c>
      <c r="U38" s="30">
        <f>F38+апр!J38</f>
        <v>5547.366</v>
      </c>
    </row>
    <row r="39" spans="1:21" ht="17.25" customHeight="1">
      <c r="A39" s="8"/>
      <c r="B39" s="12" t="s">
        <v>13</v>
      </c>
      <c r="C39" s="13" t="s">
        <v>44</v>
      </c>
      <c r="D39" s="14">
        <v>87</v>
      </c>
      <c r="E39" s="13"/>
      <c r="F39" s="8"/>
      <c r="G39" s="10">
        <f t="shared" si="3"/>
        <v>0</v>
      </c>
      <c r="H39" s="10">
        <f>D39+август!H39</f>
        <v>783</v>
      </c>
      <c r="I39" s="8"/>
      <c r="J39" s="10">
        <f>F39+август!J39</f>
        <v>908</v>
      </c>
      <c r="K39" s="10">
        <f t="shared" si="4"/>
        <v>908</v>
      </c>
      <c r="L39" s="16"/>
      <c r="M39" s="220"/>
      <c r="N39" s="221"/>
      <c r="O39" s="122">
        <f t="shared" si="0"/>
        <v>125</v>
      </c>
      <c r="P39" s="123">
        <f t="shared" si="1"/>
        <v>15.964240102171138</v>
      </c>
      <c r="Q39" s="114"/>
      <c r="S39">
        <f t="shared" si="2"/>
        <v>435</v>
      </c>
      <c r="T39" s="44">
        <f>E39+апр!I39</f>
        <v>0</v>
      </c>
      <c r="U39" s="30">
        <f>F39+апр!J39</f>
        <v>891</v>
      </c>
    </row>
    <row r="40" spans="1:21" ht="17.25" customHeight="1">
      <c r="A40" s="8"/>
      <c r="B40" s="12" t="s">
        <v>15</v>
      </c>
      <c r="C40" s="13" t="s">
        <v>16</v>
      </c>
      <c r="D40" s="16">
        <f>D38/D39*1000</f>
        <v>8130.1724137931051</v>
      </c>
      <c r="E40" s="16"/>
      <c r="F40" s="16" t="e">
        <f t="shared" ref="F40" si="20">F38/F39*1000</f>
        <v>#DIV/0!</v>
      </c>
      <c r="G40" s="10" t="e">
        <f t="shared" si="3"/>
        <v>#DIV/0!</v>
      </c>
      <c r="H40" s="16">
        <f>H38/H39*1000</f>
        <v>8130.1724137931033</v>
      </c>
      <c r="I40" s="16"/>
      <c r="J40" s="16">
        <f t="shared" ref="J40" si="21">J38/J39*1000</f>
        <v>6226</v>
      </c>
      <c r="K40" s="10">
        <f t="shared" si="4"/>
        <v>6226</v>
      </c>
      <c r="L40" s="16"/>
      <c r="M40" s="220"/>
      <c r="N40" s="221"/>
      <c r="O40" s="122">
        <f t="shared" si="0"/>
        <v>-1904.1724137931033</v>
      </c>
      <c r="P40" s="123">
        <f t="shared" si="1"/>
        <v>-23.421058212278652</v>
      </c>
      <c r="Q40" s="114"/>
      <c r="S40">
        <f t="shared" si="2"/>
        <v>40650.862068965522</v>
      </c>
      <c r="T40" s="44">
        <f>E40+апр!I40</f>
        <v>0</v>
      </c>
      <c r="U40" s="30" t="e">
        <f>F40+апр!J40</f>
        <v>#DIV/0!</v>
      </c>
    </row>
    <row r="41" spans="1:21" ht="17.25" customHeight="1">
      <c r="A41" s="18" t="s">
        <v>45</v>
      </c>
      <c r="B41" s="9" t="s">
        <v>46</v>
      </c>
      <c r="C41" s="8" t="s">
        <v>4</v>
      </c>
      <c r="D41" s="10">
        <f t="shared" ref="D41:E41" si="22">D42+D45</f>
        <v>315.00200000000001</v>
      </c>
      <c r="E41" s="10">
        <f t="shared" si="22"/>
        <v>0</v>
      </c>
      <c r="F41" s="54">
        <f>F42+F45</f>
        <v>426.72</v>
      </c>
      <c r="G41" s="10">
        <f t="shared" si="3"/>
        <v>426.72</v>
      </c>
      <c r="H41" s="10">
        <f t="shared" ref="H41:I41" si="23">H42+H45</f>
        <v>2835.018</v>
      </c>
      <c r="I41" s="10">
        <f t="shared" si="23"/>
        <v>0</v>
      </c>
      <c r="J41" s="10">
        <f>J42+J45</f>
        <v>3161.0050000000001</v>
      </c>
      <c r="K41" s="10">
        <f t="shared" si="4"/>
        <v>3161.0050000000001</v>
      </c>
      <c r="L41" s="16"/>
      <c r="M41" s="220"/>
      <c r="N41" s="221"/>
      <c r="O41" s="122">
        <f t="shared" si="0"/>
        <v>325.98700000000008</v>
      </c>
      <c r="P41" s="123">
        <f t="shared" si="1"/>
        <v>11.498586605093868</v>
      </c>
      <c r="Q41" s="114"/>
      <c r="S41">
        <f t="shared" si="2"/>
        <v>1575.01</v>
      </c>
      <c r="T41" s="44">
        <f>E41+апр!I41</f>
        <v>0</v>
      </c>
      <c r="U41" s="30">
        <f>F41+апр!J41</f>
        <v>1863.778</v>
      </c>
    </row>
    <row r="42" spans="1:21" ht="16.5" customHeight="1">
      <c r="A42" s="8"/>
      <c r="B42" s="9" t="s">
        <v>47</v>
      </c>
      <c r="C42" s="8" t="s">
        <v>4</v>
      </c>
      <c r="D42" s="10">
        <v>152.298</v>
      </c>
      <c r="E42" s="8"/>
      <c r="F42" s="8"/>
      <c r="G42" s="10">
        <f t="shared" si="3"/>
        <v>0</v>
      </c>
      <c r="H42" s="10">
        <f>D42+август!H42</f>
        <v>1370.682</v>
      </c>
      <c r="I42" s="8"/>
      <c r="J42" s="10">
        <f>F42+август!J42</f>
        <v>0</v>
      </c>
      <c r="K42" s="10">
        <f t="shared" si="4"/>
        <v>0</v>
      </c>
      <c r="L42" s="16"/>
      <c r="M42" s="233" t="s">
        <v>286</v>
      </c>
      <c r="N42" s="234"/>
      <c r="O42" s="122">
        <f t="shared" si="0"/>
        <v>-1370.682</v>
      </c>
      <c r="P42" s="123">
        <f t="shared" si="1"/>
        <v>-100</v>
      </c>
      <c r="Q42" s="115"/>
      <c r="S42">
        <f t="shared" si="2"/>
        <v>761.49</v>
      </c>
      <c r="T42" s="44">
        <f>E42+апр!I42</f>
        <v>0</v>
      </c>
      <c r="U42" s="30">
        <f>F42+апр!J42</f>
        <v>0</v>
      </c>
    </row>
    <row r="43" spans="1:21" ht="17.25" customHeight="1">
      <c r="A43" s="8"/>
      <c r="B43" s="12" t="s">
        <v>48</v>
      </c>
      <c r="C43" s="13" t="s">
        <v>49</v>
      </c>
      <c r="D43" s="14">
        <v>1917</v>
      </c>
      <c r="E43" s="13"/>
      <c r="F43" s="8"/>
      <c r="G43" s="10">
        <f t="shared" si="3"/>
        <v>0</v>
      </c>
      <c r="H43" s="10">
        <f>D43+август!H43</f>
        <v>17253</v>
      </c>
      <c r="I43" s="8"/>
      <c r="J43" s="10">
        <f>F43+август!J43</f>
        <v>0</v>
      </c>
      <c r="K43" s="10">
        <f t="shared" si="4"/>
        <v>0</v>
      </c>
      <c r="L43" s="16"/>
      <c r="M43" s="235"/>
      <c r="N43" s="236"/>
      <c r="O43" s="122">
        <f t="shared" si="0"/>
        <v>-17253</v>
      </c>
      <c r="P43" s="123">
        <f t="shared" si="1"/>
        <v>-100</v>
      </c>
      <c r="Q43" s="115"/>
      <c r="S43">
        <f t="shared" si="2"/>
        <v>9585</v>
      </c>
      <c r="T43" s="44">
        <f>E43+апр!I43</f>
        <v>0</v>
      </c>
      <c r="U43" s="30">
        <f>F43+апр!J43</f>
        <v>0</v>
      </c>
    </row>
    <row r="44" spans="1:21" ht="17.25" customHeight="1">
      <c r="A44" s="8"/>
      <c r="B44" s="12" t="s">
        <v>15</v>
      </c>
      <c r="C44" s="13" t="s">
        <v>16</v>
      </c>
      <c r="D44" s="16">
        <f>D42/D43*1000</f>
        <v>79.44600938967136</v>
      </c>
      <c r="E44" s="13"/>
      <c r="F44" s="8"/>
      <c r="G44" s="10">
        <f t="shared" si="3"/>
        <v>0</v>
      </c>
      <c r="H44" s="16">
        <f>H42/H43*1000</f>
        <v>79.44600938967136</v>
      </c>
      <c r="I44" s="16"/>
      <c r="J44" s="16" t="e">
        <f t="shared" ref="J44" si="24">J42/J43*1000</f>
        <v>#DIV/0!</v>
      </c>
      <c r="K44" s="10" t="e">
        <f t="shared" si="4"/>
        <v>#DIV/0!</v>
      </c>
      <c r="L44" s="16"/>
      <c r="M44" s="220"/>
      <c r="N44" s="221"/>
      <c r="O44" s="122" t="e">
        <f t="shared" si="0"/>
        <v>#DIV/0!</v>
      </c>
      <c r="P44" s="123" t="e">
        <f t="shared" si="1"/>
        <v>#DIV/0!</v>
      </c>
      <c r="Q44" s="114"/>
      <c r="S44">
        <f t="shared" si="2"/>
        <v>397.2300469483568</v>
      </c>
      <c r="T44" s="44">
        <f>E44+апр!I44</f>
        <v>0</v>
      </c>
      <c r="U44" s="30" t="e">
        <f>F44+апр!J44</f>
        <v>#DIV/0!</v>
      </c>
    </row>
    <row r="45" spans="1:21" ht="17.25" customHeight="1">
      <c r="A45" s="8"/>
      <c r="B45" s="19" t="s">
        <v>50</v>
      </c>
      <c r="C45" s="8" t="s">
        <v>4</v>
      </c>
      <c r="D45" s="10">
        <v>162.70400000000001</v>
      </c>
      <c r="E45" s="8"/>
      <c r="F45" s="54">
        <v>426.72</v>
      </c>
      <c r="G45" s="10">
        <f t="shared" si="3"/>
        <v>426.72</v>
      </c>
      <c r="H45" s="10">
        <f>D45+август!H45</f>
        <v>1464.3359999999998</v>
      </c>
      <c r="I45" s="8">
        <f>E45+август!I45</f>
        <v>0</v>
      </c>
      <c r="J45" s="10">
        <v>3161.0050000000001</v>
      </c>
      <c r="K45" s="10">
        <f t="shared" si="4"/>
        <v>3161.0050000000001</v>
      </c>
      <c r="L45" s="16"/>
      <c r="M45" s="220"/>
      <c r="N45" s="221"/>
      <c r="O45" s="122">
        <f t="shared" si="0"/>
        <v>1696.6690000000003</v>
      </c>
      <c r="P45" s="123">
        <f t="shared" si="1"/>
        <v>115.86609903737943</v>
      </c>
      <c r="Q45" s="114"/>
      <c r="S45">
        <f t="shared" si="2"/>
        <v>813.52</v>
      </c>
      <c r="T45" s="44">
        <f>E45+апр!I45</f>
        <v>0</v>
      </c>
      <c r="U45" s="30">
        <f>F45+апр!J45</f>
        <v>1863.778</v>
      </c>
    </row>
    <row r="46" spans="1:21" ht="17.25" customHeight="1">
      <c r="A46" s="8"/>
      <c r="B46" s="12" t="s">
        <v>51</v>
      </c>
      <c r="C46" s="13" t="s">
        <v>49</v>
      </c>
      <c r="D46" s="14">
        <v>1417</v>
      </c>
      <c r="E46" s="13"/>
      <c r="F46" s="8"/>
      <c r="G46" s="10">
        <f t="shared" si="3"/>
        <v>0</v>
      </c>
      <c r="H46" s="10">
        <f>D46+август!H46</f>
        <v>12753</v>
      </c>
      <c r="I46" s="8"/>
      <c r="J46" s="10">
        <v>22236</v>
      </c>
      <c r="K46" s="10">
        <f t="shared" si="4"/>
        <v>22236</v>
      </c>
      <c r="L46" s="16"/>
      <c r="M46" s="220"/>
      <c r="N46" s="221"/>
      <c r="O46" s="122">
        <f t="shared" si="0"/>
        <v>9483</v>
      </c>
      <c r="P46" s="123">
        <f t="shared" si="1"/>
        <v>74.358974358974365</v>
      </c>
      <c r="Q46" s="114"/>
      <c r="S46">
        <f t="shared" si="2"/>
        <v>7085</v>
      </c>
      <c r="T46" s="44">
        <f>E46+апр!I46</f>
        <v>0</v>
      </c>
      <c r="U46" s="30">
        <f>F46+апр!J46</f>
        <v>10122</v>
      </c>
    </row>
    <row r="47" spans="1:21" ht="17.25" customHeight="1">
      <c r="A47" s="8"/>
      <c r="B47" s="12" t="s">
        <v>15</v>
      </c>
      <c r="C47" s="13" t="s">
        <v>16</v>
      </c>
      <c r="D47" s="16">
        <f>D45/D46*1000</f>
        <v>114.82286520818631</v>
      </c>
      <c r="E47" s="16"/>
      <c r="F47" s="16" t="e">
        <f t="shared" ref="F47" si="25">F45/F46*1000</f>
        <v>#DIV/0!</v>
      </c>
      <c r="G47" s="10" t="e">
        <f t="shared" si="3"/>
        <v>#DIV/0!</v>
      </c>
      <c r="H47" s="16">
        <f>H45/H46*1000</f>
        <v>114.8228652081863</v>
      </c>
      <c r="I47" s="16"/>
      <c r="J47" s="16">
        <f t="shared" ref="J47" si="26">J45/J46*1000</f>
        <v>142.1570876056845</v>
      </c>
      <c r="K47" s="10">
        <f t="shared" si="4"/>
        <v>142.1570876056845</v>
      </c>
      <c r="L47" s="16"/>
      <c r="M47" s="220"/>
      <c r="N47" s="221"/>
      <c r="O47" s="122">
        <f t="shared" si="0"/>
        <v>27.334222397498195</v>
      </c>
      <c r="P47" s="123">
        <f t="shared" si="1"/>
        <v>23.805556800849974</v>
      </c>
      <c r="Q47" s="114"/>
      <c r="S47">
        <f t="shared" si="2"/>
        <v>574.11432604093159</v>
      </c>
      <c r="T47" s="44">
        <f>E47+апр!I47</f>
        <v>0</v>
      </c>
      <c r="U47" s="30" t="e">
        <f>F47+апр!J47</f>
        <v>#DIV/0!</v>
      </c>
    </row>
    <row r="48" spans="1:21" ht="17.25" customHeight="1">
      <c r="A48" s="18" t="s">
        <v>52</v>
      </c>
      <c r="B48" s="9" t="s">
        <v>53</v>
      </c>
      <c r="C48" s="8" t="s">
        <v>4</v>
      </c>
      <c r="D48" s="10">
        <v>515.60799999999995</v>
      </c>
      <c r="E48" s="8"/>
      <c r="F48" s="55">
        <v>841.87400000000002</v>
      </c>
      <c r="G48" s="10">
        <f t="shared" si="3"/>
        <v>841.87400000000002</v>
      </c>
      <c r="H48" s="10">
        <f>D48+август!H48</f>
        <v>4640.4720000000007</v>
      </c>
      <c r="I48" s="8"/>
      <c r="J48" s="10">
        <f>1398.424+5884.443</f>
        <v>7282.8670000000002</v>
      </c>
      <c r="K48" s="10">
        <f t="shared" si="4"/>
        <v>7282.8670000000002</v>
      </c>
      <c r="L48" s="16"/>
      <c r="M48" s="220"/>
      <c r="N48" s="221"/>
      <c r="O48" s="122">
        <f t="shared" si="0"/>
        <v>2642.3949999999995</v>
      </c>
      <c r="P48" s="123">
        <f t="shared" si="1"/>
        <v>56.942375689369506</v>
      </c>
      <c r="Q48" s="114"/>
      <c r="S48">
        <f t="shared" si="2"/>
        <v>2578.04</v>
      </c>
      <c r="T48" s="44">
        <f>E48+апр!I48</f>
        <v>0</v>
      </c>
      <c r="U48" s="30">
        <f>F48+апр!J48</f>
        <v>3788.0330000000004</v>
      </c>
    </row>
    <row r="49" spans="1:21" ht="17.25" customHeight="1">
      <c r="A49" s="8"/>
      <c r="B49" s="12" t="s">
        <v>13</v>
      </c>
      <c r="C49" s="13" t="s">
        <v>49</v>
      </c>
      <c r="D49" s="14">
        <v>5833</v>
      </c>
      <c r="E49" s="13"/>
      <c r="F49" s="8"/>
      <c r="G49" s="10">
        <f t="shared" si="3"/>
        <v>0</v>
      </c>
      <c r="H49" s="10">
        <f>D49+август!H49</f>
        <v>52497</v>
      </c>
      <c r="I49" s="8"/>
      <c r="J49" s="10">
        <v>45577.8</v>
      </c>
      <c r="K49" s="10">
        <f t="shared" si="4"/>
        <v>45577.8</v>
      </c>
      <c r="L49" s="16"/>
      <c r="M49" s="220"/>
      <c r="N49" s="221"/>
      <c r="O49" s="122">
        <f t="shared" si="0"/>
        <v>-6919.1999999999971</v>
      </c>
      <c r="P49" s="123">
        <f t="shared" si="1"/>
        <v>-13.180181724669977</v>
      </c>
      <c r="Q49" s="114"/>
      <c r="S49">
        <f t="shared" si="2"/>
        <v>29165</v>
      </c>
      <c r="T49" s="44">
        <f>E49+апр!I49</f>
        <v>0</v>
      </c>
      <c r="U49" s="30">
        <f>F49+апр!J49</f>
        <v>18323</v>
      </c>
    </row>
    <row r="50" spans="1:21" ht="17.25" customHeight="1">
      <c r="A50" s="8"/>
      <c r="B50" s="12" t="s">
        <v>15</v>
      </c>
      <c r="C50" s="13" t="s">
        <v>16</v>
      </c>
      <c r="D50" s="16">
        <f>D48/D49*1000</f>
        <v>88.394993999657117</v>
      </c>
      <c r="E50" s="16"/>
      <c r="F50" s="16" t="e">
        <f t="shared" ref="F50" si="27">F48/F49*1000</f>
        <v>#DIV/0!</v>
      </c>
      <c r="G50" s="10" t="e">
        <f t="shared" si="3"/>
        <v>#DIV/0!</v>
      </c>
      <c r="H50" s="16">
        <f>H48/H49*1000</f>
        <v>88.394993999657146</v>
      </c>
      <c r="I50" s="16"/>
      <c r="J50" s="16">
        <f t="shared" ref="J50" si="28">J48/J49*1000</f>
        <v>159.78978801082982</v>
      </c>
      <c r="K50" s="10">
        <f t="shared" si="4"/>
        <v>159.78978801082982</v>
      </c>
      <c r="L50" s="16"/>
      <c r="M50" s="220"/>
      <c r="N50" s="221"/>
      <c r="O50" s="122">
        <f t="shared" si="0"/>
        <v>71.394794011172678</v>
      </c>
      <c r="P50" s="123">
        <f t="shared" si="1"/>
        <v>80.767915444905853</v>
      </c>
      <c r="Q50" s="114"/>
      <c r="S50">
        <f t="shared" si="2"/>
        <v>441.97496999828559</v>
      </c>
      <c r="T50" s="44">
        <f>E50+апр!I50</f>
        <v>0</v>
      </c>
      <c r="U50" s="30" t="e">
        <f>F50+апр!J50</f>
        <v>#DIV/0!</v>
      </c>
    </row>
    <row r="51" spans="1:21" ht="17.25" customHeight="1">
      <c r="A51" s="18" t="s">
        <v>54</v>
      </c>
      <c r="B51" s="20" t="s">
        <v>55</v>
      </c>
      <c r="C51" s="8" t="s">
        <v>4</v>
      </c>
      <c r="D51" s="10">
        <f t="shared" ref="D51:F52" si="29">D54+D57+D60+D63+D66+D69</f>
        <v>75.456000000000003</v>
      </c>
      <c r="E51" s="10"/>
      <c r="F51" s="10">
        <f t="shared" si="29"/>
        <v>55.625</v>
      </c>
      <c r="G51" s="10">
        <f t="shared" si="3"/>
        <v>55.625</v>
      </c>
      <c r="H51" s="10">
        <f t="shared" ref="H51:H52" si="30">H54+H57+H60+H63+H66+H69</f>
        <v>679.10400000000004</v>
      </c>
      <c r="I51" s="10"/>
      <c r="J51" s="10">
        <f t="shared" ref="J51:J52" si="31">J54+J57+J60+J63+J66+J69</f>
        <v>584.21299999999997</v>
      </c>
      <c r="K51" s="10">
        <f t="shared" si="4"/>
        <v>584.21299999999997</v>
      </c>
      <c r="L51" s="16"/>
      <c r="M51" s="220"/>
      <c r="N51" s="221"/>
      <c r="O51" s="122">
        <f t="shared" si="0"/>
        <v>-94.891000000000076</v>
      </c>
      <c r="P51" s="123">
        <f t="shared" si="1"/>
        <v>-13.972970266704374</v>
      </c>
      <c r="Q51" s="114"/>
      <c r="S51">
        <f t="shared" si="2"/>
        <v>377.28000000000003</v>
      </c>
      <c r="T51" s="44">
        <f>E51+апр!I51</f>
        <v>0</v>
      </c>
      <c r="U51" s="30">
        <f>F51+апр!J51</f>
        <v>176.774</v>
      </c>
    </row>
    <row r="52" spans="1:21" ht="17.25" customHeight="1">
      <c r="A52" s="8"/>
      <c r="B52" s="19" t="s">
        <v>13</v>
      </c>
      <c r="C52" s="13" t="s">
        <v>49</v>
      </c>
      <c r="D52" s="14">
        <f t="shared" si="29"/>
        <v>177</v>
      </c>
      <c r="E52" s="13"/>
      <c r="F52" s="14">
        <f t="shared" si="29"/>
        <v>0</v>
      </c>
      <c r="G52" s="10">
        <f t="shared" si="3"/>
        <v>0</v>
      </c>
      <c r="H52" s="14">
        <f t="shared" si="30"/>
        <v>1593</v>
      </c>
      <c r="I52" s="8"/>
      <c r="J52" s="14">
        <f t="shared" si="31"/>
        <v>1074.675</v>
      </c>
      <c r="K52" s="10">
        <f t="shared" si="4"/>
        <v>1074.675</v>
      </c>
      <c r="L52" s="16"/>
      <c r="M52" s="220"/>
      <c r="N52" s="221"/>
      <c r="O52" s="122">
        <f t="shared" si="0"/>
        <v>-518.32500000000005</v>
      </c>
      <c r="P52" s="123">
        <f t="shared" si="1"/>
        <v>-32.537664783427502</v>
      </c>
      <c r="Q52" s="114"/>
      <c r="S52">
        <f t="shared" si="2"/>
        <v>885</v>
      </c>
      <c r="T52" s="44">
        <f>E52+апр!I52</f>
        <v>0</v>
      </c>
      <c r="U52" s="30">
        <f>F52+апр!J52</f>
        <v>219.07499999999999</v>
      </c>
    </row>
    <row r="53" spans="1:21" ht="17.25" customHeight="1">
      <c r="A53" s="8"/>
      <c r="B53" s="19" t="s">
        <v>15</v>
      </c>
      <c r="C53" s="13" t="s">
        <v>16</v>
      </c>
      <c r="D53" s="16">
        <f>D51/D52*1000</f>
        <v>426.30508474576271</v>
      </c>
      <c r="E53" s="16"/>
      <c r="F53" s="16" t="e">
        <f t="shared" ref="F53" si="32">F51/F52*1000</f>
        <v>#DIV/0!</v>
      </c>
      <c r="G53" s="10" t="e">
        <f t="shared" si="3"/>
        <v>#DIV/0!</v>
      </c>
      <c r="H53" s="16">
        <f>H51/H52*1000</f>
        <v>426.30508474576271</v>
      </c>
      <c r="I53" s="16"/>
      <c r="J53" s="16">
        <f t="shared" ref="J53" si="33">J51/J52*1000</f>
        <v>543.61830320794661</v>
      </c>
      <c r="K53" s="10">
        <f t="shared" si="4"/>
        <v>543.61830320794661</v>
      </c>
      <c r="L53" s="16"/>
      <c r="M53" s="220"/>
      <c r="N53" s="221"/>
      <c r="O53" s="122">
        <f t="shared" si="0"/>
        <v>117.3132184621839</v>
      </c>
      <c r="P53" s="123">
        <f t="shared" si="1"/>
        <v>27.518606429981112</v>
      </c>
      <c r="Q53" s="114"/>
      <c r="S53">
        <f t="shared" si="2"/>
        <v>2131.5254237288136</v>
      </c>
      <c r="T53" s="44">
        <f>E53+апр!I53</f>
        <v>0</v>
      </c>
      <c r="U53" s="30" t="e">
        <f>F53+апр!J53</f>
        <v>#DIV/0!</v>
      </c>
    </row>
    <row r="54" spans="1:21" ht="17.25" customHeight="1">
      <c r="A54" s="8"/>
      <c r="B54" s="20" t="s">
        <v>56</v>
      </c>
      <c r="C54" s="8" t="s">
        <v>4</v>
      </c>
      <c r="D54" s="10">
        <v>7.8079999999999998</v>
      </c>
      <c r="E54" s="8"/>
      <c r="F54" s="55">
        <v>5.625</v>
      </c>
      <c r="G54" s="10">
        <f t="shared" si="3"/>
        <v>5.625</v>
      </c>
      <c r="H54" s="10">
        <f>D54+август!H54</f>
        <v>70.271999999999991</v>
      </c>
      <c r="I54" s="8"/>
      <c r="J54" s="10">
        <f>F54+август!J54</f>
        <v>38.658999999999999</v>
      </c>
      <c r="K54" s="10">
        <f t="shared" si="4"/>
        <v>38.658999999999999</v>
      </c>
      <c r="L54" s="16"/>
      <c r="M54" s="220"/>
      <c r="N54" s="221"/>
      <c r="O54" s="122">
        <f t="shared" si="0"/>
        <v>-31.612999999999992</v>
      </c>
      <c r="P54" s="123">
        <f t="shared" si="1"/>
        <v>-44.986623406193068</v>
      </c>
      <c r="Q54" s="114"/>
      <c r="S54">
        <f t="shared" si="2"/>
        <v>39.04</v>
      </c>
      <c r="T54" s="44">
        <f>E54+апр!I54</f>
        <v>0</v>
      </c>
      <c r="U54" s="30">
        <f>F54+апр!J54</f>
        <v>19.228999999999999</v>
      </c>
    </row>
    <row r="55" spans="1:21" ht="17.25" customHeight="1">
      <c r="A55" s="8"/>
      <c r="B55" s="12" t="s">
        <v>13</v>
      </c>
      <c r="C55" s="13" t="s">
        <v>49</v>
      </c>
      <c r="D55" s="14">
        <v>31</v>
      </c>
      <c r="E55" s="13"/>
      <c r="F55" s="8"/>
      <c r="G55" s="10">
        <f t="shared" si="3"/>
        <v>0</v>
      </c>
      <c r="H55" s="10">
        <f>D55+август!H55</f>
        <v>279</v>
      </c>
      <c r="I55" s="8"/>
      <c r="J55" s="10">
        <v>79</v>
      </c>
      <c r="K55" s="10">
        <f t="shared" si="4"/>
        <v>79</v>
      </c>
      <c r="L55" s="16"/>
      <c r="M55" s="220"/>
      <c r="N55" s="221"/>
      <c r="O55" s="122">
        <f t="shared" si="0"/>
        <v>-200</v>
      </c>
      <c r="P55" s="123">
        <f t="shared" si="1"/>
        <v>-71.68458781362007</v>
      </c>
      <c r="Q55" s="114"/>
      <c r="S55">
        <f t="shared" si="2"/>
        <v>155</v>
      </c>
      <c r="T55" s="44">
        <f>E55+апр!I55</f>
        <v>0</v>
      </c>
      <c r="U55" s="30">
        <f>F55+апр!J55</f>
        <v>25</v>
      </c>
    </row>
    <row r="56" spans="1:21" ht="17.25" customHeight="1">
      <c r="A56" s="8"/>
      <c r="B56" s="12" t="s">
        <v>15</v>
      </c>
      <c r="C56" s="13" t="s">
        <v>16</v>
      </c>
      <c r="D56" s="16">
        <f>D54/D55*1000</f>
        <v>251.87096774193546</v>
      </c>
      <c r="E56" s="16"/>
      <c r="F56" s="16" t="e">
        <f t="shared" ref="F56" si="34">F54/F55*1000</f>
        <v>#DIV/0!</v>
      </c>
      <c r="G56" s="10" t="e">
        <f t="shared" si="3"/>
        <v>#DIV/0!</v>
      </c>
      <c r="H56" s="16">
        <f>H54/H55*1000</f>
        <v>251.87096774193546</v>
      </c>
      <c r="I56" s="16"/>
      <c r="J56" s="16">
        <f t="shared" ref="J56" si="35">J54/J55*1000</f>
        <v>489.35443037974682</v>
      </c>
      <c r="K56" s="10">
        <f t="shared" si="4"/>
        <v>489.35443037974682</v>
      </c>
      <c r="L56" s="16"/>
      <c r="M56" s="220"/>
      <c r="N56" s="221"/>
      <c r="O56" s="122">
        <f t="shared" si="0"/>
        <v>237.48346263781136</v>
      </c>
      <c r="P56" s="123">
        <f t="shared" si="1"/>
        <v>94.287747717368759</v>
      </c>
      <c r="Q56" s="114"/>
      <c r="S56">
        <f t="shared" si="2"/>
        <v>1259.3548387096773</v>
      </c>
      <c r="T56" s="44">
        <f>E56+апр!I56</f>
        <v>0</v>
      </c>
      <c r="U56" s="30" t="e">
        <f>F56+апр!J56</f>
        <v>#DIV/0!</v>
      </c>
    </row>
    <row r="57" spans="1:21" ht="17.25" customHeight="1">
      <c r="A57" s="8"/>
      <c r="B57" s="20" t="s">
        <v>57</v>
      </c>
      <c r="C57" s="8" t="s">
        <v>4</v>
      </c>
      <c r="D57" s="10">
        <v>13.96</v>
      </c>
      <c r="E57" s="8"/>
      <c r="F57" s="55"/>
      <c r="G57" s="10">
        <f t="shared" si="3"/>
        <v>0</v>
      </c>
      <c r="H57" s="10">
        <f>D57+август!H57</f>
        <v>125.64000000000004</v>
      </c>
      <c r="I57" s="8"/>
      <c r="J57" s="10">
        <f>F57+август!J57</f>
        <v>116.25</v>
      </c>
      <c r="K57" s="10">
        <f t="shared" si="4"/>
        <v>116.25</v>
      </c>
      <c r="L57" s="16"/>
      <c r="M57" s="233" t="s">
        <v>291</v>
      </c>
      <c r="N57" s="234"/>
      <c r="O57" s="122">
        <f t="shared" si="0"/>
        <v>-9.3900000000000432</v>
      </c>
      <c r="P57" s="123">
        <f t="shared" si="1"/>
        <v>-7.4737344794651701</v>
      </c>
      <c r="Q57" s="115"/>
      <c r="S57">
        <f t="shared" si="2"/>
        <v>69.800000000000011</v>
      </c>
      <c r="T57" s="44">
        <f>E57+апр!I57</f>
        <v>0</v>
      </c>
      <c r="U57" s="30">
        <f>F57+апр!J57</f>
        <v>0</v>
      </c>
    </row>
    <row r="58" spans="1:21" ht="17.25" customHeight="1">
      <c r="A58" s="8"/>
      <c r="B58" s="12" t="s">
        <v>13</v>
      </c>
      <c r="C58" s="13" t="s">
        <v>49</v>
      </c>
      <c r="D58" s="14">
        <v>33</v>
      </c>
      <c r="E58" s="13"/>
      <c r="F58" s="8"/>
      <c r="G58" s="10">
        <f t="shared" si="3"/>
        <v>0</v>
      </c>
      <c r="H58" s="10">
        <f>D58+август!H58</f>
        <v>297</v>
      </c>
      <c r="I58" s="8"/>
      <c r="J58" s="10">
        <v>300</v>
      </c>
      <c r="K58" s="10">
        <f t="shared" si="4"/>
        <v>300</v>
      </c>
      <c r="L58" s="16"/>
      <c r="M58" s="235"/>
      <c r="N58" s="236"/>
      <c r="O58" s="122">
        <f t="shared" si="0"/>
        <v>3</v>
      </c>
      <c r="P58" s="123">
        <f t="shared" si="1"/>
        <v>1.0101010101010102</v>
      </c>
      <c r="Q58" s="115"/>
      <c r="S58">
        <f t="shared" si="2"/>
        <v>165</v>
      </c>
      <c r="T58" s="44">
        <f>E58+апр!I58</f>
        <v>0</v>
      </c>
      <c r="U58" s="30">
        <f>F58+апр!J58</f>
        <v>0</v>
      </c>
    </row>
    <row r="59" spans="1:21" ht="17.25" customHeight="1">
      <c r="A59" s="8"/>
      <c r="B59" s="12" t="s">
        <v>15</v>
      </c>
      <c r="C59" s="13" t="s">
        <v>16</v>
      </c>
      <c r="D59" s="16">
        <f>D57/D58*1000</f>
        <v>423.03030303030306</v>
      </c>
      <c r="E59" s="13"/>
      <c r="F59" s="16" t="e">
        <f t="shared" ref="F59" si="36">F57/F58*1000</f>
        <v>#DIV/0!</v>
      </c>
      <c r="G59" s="10" t="e">
        <f t="shared" si="3"/>
        <v>#DIV/0!</v>
      </c>
      <c r="H59" s="16">
        <f>H57/H58*1000</f>
        <v>423.03030303030317</v>
      </c>
      <c r="I59" s="8"/>
      <c r="J59" s="16">
        <f t="shared" ref="J59" si="37">J57/J58*1000</f>
        <v>387.5</v>
      </c>
      <c r="K59" s="10">
        <f t="shared" si="4"/>
        <v>387.5</v>
      </c>
      <c r="L59" s="16"/>
      <c r="M59" s="220"/>
      <c r="N59" s="221"/>
      <c r="O59" s="122">
        <f t="shared" si="0"/>
        <v>-35.530303030303173</v>
      </c>
      <c r="P59" s="123">
        <f t="shared" si="1"/>
        <v>-8.3989971346705179</v>
      </c>
      <c r="Q59" s="114"/>
      <c r="S59">
        <f t="shared" si="2"/>
        <v>2115.1515151515155</v>
      </c>
      <c r="T59" s="44">
        <f>E59+апр!I59</f>
        <v>0</v>
      </c>
      <c r="U59" s="30" t="e">
        <f>F59+апр!J59</f>
        <v>#DIV/0!</v>
      </c>
    </row>
    <row r="60" spans="1:21" ht="17.25" customHeight="1">
      <c r="A60" s="8"/>
      <c r="B60" s="20" t="s">
        <v>58</v>
      </c>
      <c r="C60" s="8" t="s">
        <v>4</v>
      </c>
      <c r="D60" s="10">
        <v>28.585000000000001</v>
      </c>
      <c r="E60" s="8"/>
      <c r="F60" s="55"/>
      <c r="G60" s="10">
        <f t="shared" si="3"/>
        <v>0</v>
      </c>
      <c r="H60" s="10">
        <f>D60+август!H60</f>
        <v>257.26500000000004</v>
      </c>
      <c r="I60" s="8"/>
      <c r="J60" s="10">
        <f>F60+август!J60</f>
        <v>268.59399999999999</v>
      </c>
      <c r="K60" s="10">
        <f t="shared" si="4"/>
        <v>268.59399999999999</v>
      </c>
      <c r="L60" s="16"/>
      <c r="M60" s="233" t="s">
        <v>291</v>
      </c>
      <c r="N60" s="234"/>
      <c r="O60" s="122">
        <f t="shared" si="0"/>
        <v>11.328999999999951</v>
      </c>
      <c r="P60" s="123">
        <f t="shared" si="1"/>
        <v>4.4036304977357776</v>
      </c>
      <c r="Q60" s="115"/>
      <c r="S60">
        <f t="shared" si="2"/>
        <v>142.92500000000001</v>
      </c>
      <c r="T60" s="44">
        <f>E60+апр!I60</f>
        <v>0</v>
      </c>
      <c r="U60" s="30">
        <f>F60+апр!J60</f>
        <v>57.375</v>
      </c>
    </row>
    <row r="61" spans="1:21" ht="17.25" customHeight="1">
      <c r="A61" s="8"/>
      <c r="B61" s="12" t="s">
        <v>13</v>
      </c>
      <c r="C61" s="13" t="s">
        <v>49</v>
      </c>
      <c r="D61" s="14">
        <v>70</v>
      </c>
      <c r="E61" s="13"/>
      <c r="F61" s="8"/>
      <c r="G61" s="10">
        <f t="shared" si="3"/>
        <v>0</v>
      </c>
      <c r="H61" s="10">
        <f>D61+август!H61</f>
        <v>630</v>
      </c>
      <c r="I61" s="8"/>
      <c r="J61" s="10">
        <v>460</v>
      </c>
      <c r="K61" s="10">
        <f t="shared" si="4"/>
        <v>460</v>
      </c>
      <c r="L61" s="16"/>
      <c r="M61" s="235"/>
      <c r="N61" s="236"/>
      <c r="O61" s="122">
        <f t="shared" si="0"/>
        <v>-170</v>
      </c>
      <c r="P61" s="123">
        <f t="shared" si="1"/>
        <v>-26.984126984126984</v>
      </c>
      <c r="Q61" s="115"/>
      <c r="S61">
        <f t="shared" si="2"/>
        <v>350</v>
      </c>
      <c r="T61" s="44">
        <f>E61+апр!I61</f>
        <v>0</v>
      </c>
      <c r="U61" s="30">
        <f>F61+апр!J61</f>
        <v>108</v>
      </c>
    </row>
    <row r="62" spans="1:21" ht="17.25" customHeight="1">
      <c r="A62" s="8"/>
      <c r="B62" s="12" t="s">
        <v>15</v>
      </c>
      <c r="C62" s="13" t="s">
        <v>16</v>
      </c>
      <c r="D62" s="16">
        <f>D60/D61*1000</f>
        <v>408.35714285714289</v>
      </c>
      <c r="E62" s="16"/>
      <c r="F62" s="16" t="e">
        <f t="shared" ref="F62" si="38">F60/F61*1000</f>
        <v>#DIV/0!</v>
      </c>
      <c r="G62" s="10" t="e">
        <f t="shared" si="3"/>
        <v>#DIV/0!</v>
      </c>
      <c r="H62" s="16">
        <f>H60/H61*1000</f>
        <v>408.35714285714295</v>
      </c>
      <c r="I62" s="16"/>
      <c r="J62" s="16">
        <f t="shared" ref="J62" si="39">J60/J61*1000</f>
        <v>583.9</v>
      </c>
      <c r="K62" s="10">
        <f t="shared" si="4"/>
        <v>583.9</v>
      </c>
      <c r="L62" s="16"/>
      <c r="M62" s="220"/>
      <c r="N62" s="221"/>
      <c r="O62" s="122">
        <f t="shared" si="0"/>
        <v>175.54285714285703</v>
      </c>
      <c r="P62" s="123">
        <f t="shared" si="1"/>
        <v>42.987580899072903</v>
      </c>
      <c r="Q62" s="114"/>
      <c r="S62">
        <f t="shared" si="2"/>
        <v>2041.7857142857144</v>
      </c>
      <c r="T62" s="44">
        <f>E62+апр!I62</f>
        <v>0</v>
      </c>
      <c r="U62" s="30" t="e">
        <f>F62+апр!J62</f>
        <v>#DIV/0!</v>
      </c>
    </row>
    <row r="63" spans="1:21" ht="17.25" customHeight="1">
      <c r="A63" s="8"/>
      <c r="B63" s="20" t="s">
        <v>220</v>
      </c>
      <c r="C63" s="8" t="s">
        <v>4</v>
      </c>
      <c r="D63" s="10">
        <v>12.234</v>
      </c>
      <c r="E63" s="8"/>
      <c r="F63" s="54"/>
      <c r="G63" s="10">
        <f t="shared" si="3"/>
        <v>0</v>
      </c>
      <c r="H63" s="10">
        <f>D63+август!H63</f>
        <v>110.10599999999998</v>
      </c>
      <c r="I63" s="8"/>
      <c r="J63" s="10">
        <f>F63+август!J63</f>
        <v>52.059999999999995</v>
      </c>
      <c r="K63" s="10">
        <f t="shared" si="4"/>
        <v>52.059999999999995</v>
      </c>
      <c r="L63" s="16"/>
      <c r="M63" s="220"/>
      <c r="N63" s="221"/>
      <c r="O63" s="122">
        <f t="shared" si="0"/>
        <v>-58.045999999999985</v>
      </c>
      <c r="P63" s="123">
        <f t="shared" si="1"/>
        <v>-52.718289648157224</v>
      </c>
      <c r="Q63" s="114"/>
      <c r="S63">
        <f t="shared" si="2"/>
        <v>61.17</v>
      </c>
      <c r="T63" s="44">
        <f>E63+апр!I63</f>
        <v>0</v>
      </c>
      <c r="U63" s="30">
        <f>F63+апр!J63</f>
        <v>8.66</v>
      </c>
    </row>
    <row r="64" spans="1:21" ht="17.25" customHeight="1">
      <c r="A64" s="8"/>
      <c r="B64" s="12" t="s">
        <v>13</v>
      </c>
      <c r="C64" s="13" t="s">
        <v>49</v>
      </c>
      <c r="D64" s="14">
        <v>23</v>
      </c>
      <c r="E64" s="13"/>
      <c r="F64" s="8"/>
      <c r="G64" s="10">
        <f t="shared" si="3"/>
        <v>0</v>
      </c>
      <c r="H64" s="10">
        <f>D64+август!H64</f>
        <v>207</v>
      </c>
      <c r="I64" s="8"/>
      <c r="J64" s="10">
        <f>F64+август!J64</f>
        <v>120</v>
      </c>
      <c r="K64" s="10">
        <f t="shared" si="4"/>
        <v>120</v>
      </c>
      <c r="L64" s="16"/>
      <c r="M64" s="220"/>
      <c r="N64" s="221"/>
      <c r="O64" s="122">
        <f t="shared" si="0"/>
        <v>-87</v>
      </c>
      <c r="P64" s="123">
        <f t="shared" si="1"/>
        <v>-42.028985507246375</v>
      </c>
      <c r="Q64" s="114"/>
      <c r="S64">
        <f t="shared" si="2"/>
        <v>115</v>
      </c>
      <c r="T64" s="44">
        <f>E64+апр!I64</f>
        <v>0</v>
      </c>
      <c r="U64" s="30">
        <f>F64+апр!J64</f>
        <v>20</v>
      </c>
    </row>
    <row r="65" spans="1:21" ht="17.25" customHeight="1">
      <c r="A65" s="8"/>
      <c r="B65" s="12" t="s">
        <v>15</v>
      </c>
      <c r="C65" s="13" t="s">
        <v>16</v>
      </c>
      <c r="D65" s="16">
        <f>D63/D64*1000</f>
        <v>531.91304347826087</v>
      </c>
      <c r="E65" s="16"/>
      <c r="F65" s="16" t="e">
        <f t="shared" ref="F65" si="40">F63/F64*1000</f>
        <v>#DIV/0!</v>
      </c>
      <c r="G65" s="10" t="e">
        <f t="shared" si="3"/>
        <v>#DIV/0!</v>
      </c>
      <c r="H65" s="16">
        <f>H63/H64*1000</f>
        <v>531.91304347826076</v>
      </c>
      <c r="I65" s="16"/>
      <c r="J65" s="16">
        <f t="shared" ref="J65" si="41">J63/J64*1000</f>
        <v>433.83333333333331</v>
      </c>
      <c r="K65" s="10">
        <f t="shared" si="4"/>
        <v>433.83333333333331</v>
      </c>
      <c r="L65" s="16"/>
      <c r="M65" s="220"/>
      <c r="N65" s="221"/>
      <c r="O65" s="122">
        <f t="shared" si="0"/>
        <v>-98.079710144927446</v>
      </c>
      <c r="P65" s="123">
        <f t="shared" si="1"/>
        <v>-18.439049643071208</v>
      </c>
      <c r="Q65" s="114"/>
      <c r="S65">
        <f t="shared" si="2"/>
        <v>2659.5652173913045</v>
      </c>
      <c r="T65" s="44">
        <f>E65+апр!I65</f>
        <v>0</v>
      </c>
      <c r="U65" s="30" t="e">
        <f>F65+апр!J65</f>
        <v>#DIV/0!</v>
      </c>
    </row>
    <row r="66" spans="1:21" ht="17.25" customHeight="1">
      <c r="A66" s="8"/>
      <c r="B66" s="9" t="s">
        <v>59</v>
      </c>
      <c r="C66" s="8" t="s">
        <v>4</v>
      </c>
      <c r="D66" s="10">
        <v>2.8610000000000002</v>
      </c>
      <c r="E66" s="8"/>
      <c r="F66" s="8"/>
      <c r="G66" s="10">
        <f t="shared" si="3"/>
        <v>0</v>
      </c>
      <c r="H66" s="10">
        <f>D66+август!H66</f>
        <v>25.749000000000002</v>
      </c>
      <c r="I66" s="8"/>
      <c r="J66" s="10">
        <f>F66+август!J66</f>
        <v>0</v>
      </c>
      <c r="K66" s="10">
        <f t="shared" si="4"/>
        <v>0</v>
      </c>
      <c r="L66" s="16"/>
      <c r="M66" s="220"/>
      <c r="N66" s="221"/>
      <c r="O66" s="122">
        <f t="shared" si="0"/>
        <v>-25.749000000000002</v>
      </c>
      <c r="P66" s="123">
        <f t="shared" si="1"/>
        <v>-100</v>
      </c>
      <c r="Q66" s="114"/>
      <c r="S66">
        <f t="shared" si="2"/>
        <v>14.305000000000001</v>
      </c>
      <c r="T66" s="44">
        <f>E66+апр!I66</f>
        <v>0</v>
      </c>
      <c r="U66" s="30">
        <f>F66+апр!J66</f>
        <v>0</v>
      </c>
    </row>
    <row r="67" spans="1:21" ht="17.25" customHeight="1">
      <c r="A67" s="8"/>
      <c r="B67" s="12" t="s">
        <v>13</v>
      </c>
      <c r="C67" s="13" t="s">
        <v>49</v>
      </c>
      <c r="D67" s="14">
        <v>2</v>
      </c>
      <c r="E67" s="13"/>
      <c r="F67" s="8"/>
      <c r="G67" s="10">
        <f t="shared" si="3"/>
        <v>0</v>
      </c>
      <c r="H67" s="10">
        <f>D67+август!H67</f>
        <v>18</v>
      </c>
      <c r="I67" s="8"/>
      <c r="J67" s="10">
        <f>F67+август!J67</f>
        <v>0</v>
      </c>
      <c r="K67" s="10">
        <f t="shared" si="4"/>
        <v>0</v>
      </c>
      <c r="L67" s="16"/>
      <c r="M67" s="220"/>
      <c r="N67" s="221"/>
      <c r="O67" s="122">
        <f t="shared" si="0"/>
        <v>-18</v>
      </c>
      <c r="P67" s="123">
        <f t="shared" si="1"/>
        <v>-100</v>
      </c>
      <c r="Q67" s="114"/>
      <c r="S67">
        <f t="shared" si="2"/>
        <v>10</v>
      </c>
      <c r="T67" s="44">
        <f>E67+апр!I67</f>
        <v>0</v>
      </c>
      <c r="U67" s="30">
        <f>F67+апр!J67</f>
        <v>0</v>
      </c>
    </row>
    <row r="68" spans="1:21" ht="17.25" customHeight="1">
      <c r="A68" s="8"/>
      <c r="B68" s="12" t="s">
        <v>15</v>
      </c>
      <c r="C68" s="13" t="s">
        <v>16</v>
      </c>
      <c r="D68" s="16">
        <f>D66/D67*1000</f>
        <v>1430.5</v>
      </c>
      <c r="E68" s="13"/>
      <c r="F68" s="8"/>
      <c r="G68" s="10">
        <f t="shared" si="3"/>
        <v>0</v>
      </c>
      <c r="H68" s="16">
        <f>H66/H67*1000</f>
        <v>1430.5</v>
      </c>
      <c r="I68" s="16"/>
      <c r="J68" s="16" t="e">
        <f t="shared" ref="J68" si="42">J66/J67*1000</f>
        <v>#DIV/0!</v>
      </c>
      <c r="K68" s="10" t="e">
        <f t="shared" si="4"/>
        <v>#DIV/0!</v>
      </c>
      <c r="L68" s="16"/>
      <c r="M68" s="220"/>
      <c r="N68" s="221"/>
      <c r="O68" s="122" t="e">
        <f t="shared" si="0"/>
        <v>#DIV/0!</v>
      </c>
      <c r="P68" s="123" t="e">
        <f t="shared" si="1"/>
        <v>#DIV/0!</v>
      </c>
      <c r="Q68" s="114"/>
      <c r="S68">
        <f t="shared" si="2"/>
        <v>7152.5</v>
      </c>
      <c r="T68" s="44">
        <f>E68+апр!I68</f>
        <v>0</v>
      </c>
      <c r="U68" s="30" t="e">
        <f>F68+апр!J68</f>
        <v>#DIV/0!</v>
      </c>
    </row>
    <row r="69" spans="1:21" ht="17.25" customHeight="1">
      <c r="A69" s="8"/>
      <c r="B69" s="20" t="s">
        <v>60</v>
      </c>
      <c r="C69" s="8" t="s">
        <v>4</v>
      </c>
      <c r="D69" s="10">
        <v>10.007999999999999</v>
      </c>
      <c r="E69" s="8"/>
      <c r="F69" s="54">
        <v>50</v>
      </c>
      <c r="G69" s="10">
        <f t="shared" si="3"/>
        <v>50</v>
      </c>
      <c r="H69" s="10">
        <f>D69+август!H69</f>
        <v>90.071999999999974</v>
      </c>
      <c r="I69" s="8"/>
      <c r="J69" s="10">
        <v>108.65</v>
      </c>
      <c r="K69" s="10">
        <f t="shared" si="4"/>
        <v>108.65</v>
      </c>
      <c r="L69" s="16"/>
      <c r="M69" s="233" t="s">
        <v>292</v>
      </c>
      <c r="N69" s="234"/>
      <c r="O69" s="122">
        <f t="shared" si="0"/>
        <v>18.578000000000031</v>
      </c>
      <c r="P69" s="123">
        <f t="shared" si="1"/>
        <v>20.625721644906339</v>
      </c>
      <c r="Q69" s="115"/>
      <c r="S69">
        <f t="shared" si="2"/>
        <v>50.039999999999992</v>
      </c>
      <c r="T69" s="44">
        <f>E69+апр!I69</f>
        <v>0</v>
      </c>
      <c r="U69" s="30">
        <f>F69+апр!J69</f>
        <v>91.51</v>
      </c>
    </row>
    <row r="70" spans="1:21" ht="17.25" customHeight="1">
      <c r="A70" s="8"/>
      <c r="B70" s="12" t="s">
        <v>13</v>
      </c>
      <c r="C70" s="13" t="s">
        <v>61</v>
      </c>
      <c r="D70" s="14">
        <v>18</v>
      </c>
      <c r="E70" s="13"/>
      <c r="F70" s="8"/>
      <c r="G70" s="10">
        <f t="shared" si="3"/>
        <v>0</v>
      </c>
      <c r="H70" s="10">
        <f>D70+август!H70</f>
        <v>162</v>
      </c>
      <c r="I70" s="8"/>
      <c r="J70" s="10">
        <v>115.675</v>
      </c>
      <c r="K70" s="10">
        <f t="shared" si="4"/>
        <v>115.675</v>
      </c>
      <c r="L70" s="16"/>
      <c r="M70" s="235"/>
      <c r="N70" s="236"/>
      <c r="O70" s="122">
        <f t="shared" si="0"/>
        <v>-46.325000000000003</v>
      </c>
      <c r="P70" s="123">
        <f t="shared" si="1"/>
        <v>-28.595679012345681</v>
      </c>
      <c r="Q70" s="115"/>
      <c r="S70">
        <f t="shared" si="2"/>
        <v>90</v>
      </c>
      <c r="T70" s="44">
        <f>E70+апр!I70</f>
        <v>0</v>
      </c>
      <c r="U70" s="30">
        <f>F70+апр!J70</f>
        <v>66.075000000000003</v>
      </c>
    </row>
    <row r="71" spans="1:21" ht="17.25" customHeight="1">
      <c r="A71" s="8"/>
      <c r="B71" s="12" t="s">
        <v>15</v>
      </c>
      <c r="C71" s="13" t="s">
        <v>16</v>
      </c>
      <c r="D71" s="16">
        <f>D69/D70*1000</f>
        <v>555.99999999999989</v>
      </c>
      <c r="E71" s="16"/>
      <c r="F71" s="16" t="e">
        <f t="shared" ref="F71" si="43">F69/F70*1000</f>
        <v>#DIV/0!</v>
      </c>
      <c r="G71" s="10" t="e">
        <f t="shared" si="3"/>
        <v>#DIV/0!</v>
      </c>
      <c r="H71" s="16">
        <f>H69/H70*1000</f>
        <v>555.99999999999977</v>
      </c>
      <c r="I71" s="16"/>
      <c r="J71" s="16">
        <f t="shared" ref="J71" si="44">J69/J70*1000</f>
        <v>939.26950507888489</v>
      </c>
      <c r="K71" s="10">
        <f t="shared" si="4"/>
        <v>939.26950507888489</v>
      </c>
      <c r="L71" s="16"/>
      <c r="M71" s="220"/>
      <c r="N71" s="221"/>
      <c r="O71" s="122">
        <f t="shared" si="0"/>
        <v>383.26950507888512</v>
      </c>
      <c r="P71" s="123">
        <f t="shared" si="1"/>
        <v>68.933364222821098</v>
      </c>
      <c r="Q71" s="114"/>
      <c r="S71">
        <f t="shared" si="2"/>
        <v>2779.9999999999995</v>
      </c>
      <c r="T71" s="44">
        <f>E71+апр!I71</f>
        <v>0</v>
      </c>
      <c r="U71" s="30" t="e">
        <f>F71+апр!J71</f>
        <v>#DIV/0!</v>
      </c>
    </row>
    <row r="72" spans="1:21" ht="17.25" customHeight="1">
      <c r="A72" s="18" t="s">
        <v>62</v>
      </c>
      <c r="B72" s="20" t="s">
        <v>63</v>
      </c>
      <c r="C72" s="8" t="s">
        <v>4</v>
      </c>
      <c r="D72" s="10">
        <f>D73</f>
        <v>26517.671000000002</v>
      </c>
      <c r="E72" s="8">
        <v>24306.667000000001</v>
      </c>
      <c r="F72" s="10">
        <f>F73</f>
        <v>25772.413</v>
      </c>
      <c r="G72" s="10">
        <f t="shared" si="3"/>
        <v>1465.7459999999992</v>
      </c>
      <c r="H72" s="10">
        <f>H73</f>
        <v>238659.03899999999</v>
      </c>
      <c r="I72" s="8">
        <f>E72+август!I72</f>
        <v>218760.00300000003</v>
      </c>
      <c r="J72" s="10">
        <f>J73</f>
        <v>252109.77000000002</v>
      </c>
      <c r="K72" s="10">
        <f t="shared" si="4"/>
        <v>33349.766999999993</v>
      </c>
      <c r="L72" s="16">
        <f t="shared" si="5"/>
        <v>15.244910652154264</v>
      </c>
      <c r="M72" s="220"/>
      <c r="N72" s="221"/>
      <c r="O72" s="122">
        <f t="shared" si="0"/>
        <v>13450.731000000029</v>
      </c>
      <c r="P72" s="123">
        <f t="shared" si="1"/>
        <v>5.6359612677398019</v>
      </c>
      <c r="Q72" s="114"/>
      <c r="S72">
        <f t="shared" si="2"/>
        <v>132588.35500000001</v>
      </c>
      <c r="T72" s="44">
        <f>E72+апр!I72</f>
        <v>121533.33500000001</v>
      </c>
      <c r="U72" s="30">
        <f>F72+апр!J72</f>
        <v>131984.99100000001</v>
      </c>
    </row>
    <row r="73" spans="1:21" ht="17.25" customHeight="1">
      <c r="A73" s="8"/>
      <c r="B73" s="28" t="s">
        <v>64</v>
      </c>
      <c r="C73" s="8" t="s">
        <v>4</v>
      </c>
      <c r="D73" s="10">
        <f>D75+D78+D81+D84</f>
        <v>26517.671000000002</v>
      </c>
      <c r="E73" s="10">
        <f t="shared" ref="E73:F73" si="45">E75+E78+E81+E84</f>
        <v>0</v>
      </c>
      <c r="F73" s="54">
        <f t="shared" si="45"/>
        <v>25772.413</v>
      </c>
      <c r="G73" s="10">
        <f t="shared" si="3"/>
        <v>25772.413</v>
      </c>
      <c r="H73" s="10">
        <f>H75+H78+H81+H84</f>
        <v>238659.03899999999</v>
      </c>
      <c r="I73" s="10">
        <f t="shared" ref="I73:J74" si="46">I75+I78+I81+I84</f>
        <v>0</v>
      </c>
      <c r="J73" s="10">
        <f t="shared" si="46"/>
        <v>252109.77000000002</v>
      </c>
      <c r="K73" s="10">
        <f t="shared" si="4"/>
        <v>252109.77000000002</v>
      </c>
      <c r="L73" s="16"/>
      <c r="M73" s="220"/>
      <c r="N73" s="221"/>
      <c r="O73" s="122">
        <f t="shared" ref="O73:O87" si="47">J73-H73</f>
        <v>13450.731000000029</v>
      </c>
      <c r="P73" s="123">
        <f t="shared" ref="P73:P87" si="48">O73/H73*100</f>
        <v>5.6359612677398019</v>
      </c>
      <c r="Q73" s="114"/>
      <c r="S73">
        <f t="shared" ref="S73:S136" si="49">D73*5</f>
        <v>132588.35500000001</v>
      </c>
      <c r="T73" s="44">
        <f>E73+апр!I73</f>
        <v>0</v>
      </c>
      <c r="U73" s="30">
        <f>F73+апр!J73</f>
        <v>104752.898</v>
      </c>
    </row>
    <row r="74" spans="1:21" ht="17.25" customHeight="1">
      <c r="A74" s="8"/>
      <c r="B74" s="28" t="s">
        <v>65</v>
      </c>
      <c r="C74" s="22" t="s">
        <v>66</v>
      </c>
      <c r="D74" s="14">
        <f t="shared" ref="D74:F74" si="50">D76+D79+D82+D85</f>
        <v>1280770</v>
      </c>
      <c r="E74" s="14">
        <f t="shared" si="50"/>
        <v>0</v>
      </c>
      <c r="F74" s="14">
        <f t="shared" si="50"/>
        <v>0</v>
      </c>
      <c r="G74" s="14">
        <f t="shared" si="3"/>
        <v>0</v>
      </c>
      <c r="H74" s="14">
        <f t="shared" ref="H74" si="51">H76+H79+H82+H85</f>
        <v>11526930</v>
      </c>
      <c r="I74" s="59"/>
      <c r="J74" s="14">
        <f t="shared" si="46"/>
        <v>12237468</v>
      </c>
      <c r="K74" s="10">
        <f t="shared" si="4"/>
        <v>12237468</v>
      </c>
      <c r="L74" s="16"/>
      <c r="M74" s="220"/>
      <c r="N74" s="221"/>
      <c r="O74" s="122">
        <f t="shared" si="47"/>
        <v>710538</v>
      </c>
      <c r="P74" s="123">
        <f t="shared" si="48"/>
        <v>6.1641564579640891</v>
      </c>
      <c r="Q74" s="114"/>
      <c r="S74">
        <f t="shared" si="49"/>
        <v>6403850</v>
      </c>
      <c r="T74" s="44">
        <f>E74+апр!I74</f>
        <v>0</v>
      </c>
      <c r="U74" s="30">
        <f>F74+апр!J74</f>
        <v>3853106.19</v>
      </c>
    </row>
    <row r="75" spans="1:21" ht="36" customHeight="1">
      <c r="A75" s="8"/>
      <c r="B75" s="12" t="s">
        <v>67</v>
      </c>
      <c r="C75" s="8" t="s">
        <v>4</v>
      </c>
      <c r="D75" s="10">
        <v>1338.4829999999999</v>
      </c>
      <c r="E75" s="8"/>
      <c r="F75" s="55">
        <v>25772.413</v>
      </c>
      <c r="G75" s="10">
        <f t="shared" ref="G75:G145" si="52">F75-E75</f>
        <v>25772.413</v>
      </c>
      <c r="H75" s="10">
        <f>D75+август!H75</f>
        <v>12046.347</v>
      </c>
      <c r="I75" s="8"/>
      <c r="J75" s="10">
        <v>18835.87</v>
      </c>
      <c r="K75" s="10">
        <f t="shared" ref="K75:K146" si="53">J75-I75</f>
        <v>18835.87</v>
      </c>
      <c r="L75" s="16"/>
      <c r="M75" s="220"/>
      <c r="N75" s="221"/>
      <c r="O75" s="122">
        <f t="shared" si="47"/>
        <v>6789.5229999999992</v>
      </c>
      <c r="P75" s="123">
        <f t="shared" si="48"/>
        <v>56.36167545231762</v>
      </c>
      <c r="Q75" s="114"/>
      <c r="S75">
        <f t="shared" si="49"/>
        <v>6692.415</v>
      </c>
      <c r="T75" s="44">
        <f>E75+апр!I75</f>
        <v>0</v>
      </c>
      <c r="U75" s="30">
        <f>F75+апр!J75</f>
        <v>32399.587</v>
      </c>
    </row>
    <row r="76" spans="1:21" ht="17.25" customHeight="1">
      <c r="A76" s="8"/>
      <c r="B76" s="12" t="s">
        <v>68</v>
      </c>
      <c r="C76" s="22" t="s">
        <v>66</v>
      </c>
      <c r="D76" s="14">
        <v>68465</v>
      </c>
      <c r="E76" s="22"/>
      <c r="F76" s="59"/>
      <c r="G76" s="14">
        <f t="shared" si="52"/>
        <v>0</v>
      </c>
      <c r="H76" s="10">
        <f>D76+август!H76</f>
        <v>616185</v>
      </c>
      <c r="I76" s="59"/>
      <c r="J76" s="10">
        <v>957265</v>
      </c>
      <c r="K76" s="10">
        <f t="shared" si="53"/>
        <v>957265</v>
      </c>
      <c r="L76" s="16"/>
      <c r="M76" s="220"/>
      <c r="N76" s="221"/>
      <c r="O76" s="122">
        <f t="shared" si="47"/>
        <v>341080</v>
      </c>
      <c r="P76" s="123">
        <f t="shared" si="48"/>
        <v>55.353505846458454</v>
      </c>
      <c r="Q76" s="114"/>
      <c r="S76">
        <f t="shared" si="49"/>
        <v>342325</v>
      </c>
      <c r="T76" s="44">
        <f>E76+апр!I76</f>
        <v>0</v>
      </c>
      <c r="U76" s="30">
        <f>F76+апр!J76</f>
        <v>345435.19</v>
      </c>
    </row>
    <row r="77" spans="1:21" ht="17.25" customHeight="1">
      <c r="A77" s="8"/>
      <c r="B77" s="12" t="s">
        <v>15</v>
      </c>
      <c r="C77" s="13" t="s">
        <v>16</v>
      </c>
      <c r="D77" s="16">
        <f>D75/D76*1000</f>
        <v>19.54988680347623</v>
      </c>
      <c r="E77" s="16"/>
      <c r="F77" s="16" t="e">
        <f t="shared" ref="F77" si="54">F75/F76*1000</f>
        <v>#DIV/0!</v>
      </c>
      <c r="G77" s="10" t="e">
        <f t="shared" si="52"/>
        <v>#DIV/0!</v>
      </c>
      <c r="H77" s="16">
        <f>H75/H76*1000</f>
        <v>19.54988680347623</v>
      </c>
      <c r="I77" s="8"/>
      <c r="J77" s="16">
        <f>J75/J76*1000</f>
        <v>19.676756175144813</v>
      </c>
      <c r="K77" s="10">
        <f t="shared" si="53"/>
        <v>19.676756175144813</v>
      </c>
      <c r="L77" s="16"/>
      <c r="M77" s="220"/>
      <c r="N77" s="221"/>
      <c r="O77" s="122">
        <f t="shared" si="47"/>
        <v>0.12686937166858314</v>
      </c>
      <c r="P77" s="123">
        <f t="shared" si="48"/>
        <v>0.64895195017714413</v>
      </c>
      <c r="Q77" s="114"/>
      <c r="S77">
        <f t="shared" si="49"/>
        <v>97.749434017381148</v>
      </c>
      <c r="T77" s="44">
        <f>E77+апр!I77</f>
        <v>0</v>
      </c>
      <c r="U77" s="30" t="e">
        <f>F77+апр!J77</f>
        <v>#DIV/0!</v>
      </c>
    </row>
    <row r="78" spans="1:21" ht="55.5" customHeight="1">
      <c r="A78" s="8"/>
      <c r="B78" s="12" t="s">
        <v>69</v>
      </c>
      <c r="C78" s="8" t="s">
        <v>4</v>
      </c>
      <c r="D78" s="10">
        <v>1253.6469999999999</v>
      </c>
      <c r="E78" s="8"/>
      <c r="F78" s="54"/>
      <c r="G78" s="10">
        <f t="shared" si="52"/>
        <v>0</v>
      </c>
      <c r="H78" s="10">
        <f>D78+август!H78</f>
        <v>11282.823</v>
      </c>
      <c r="I78" s="8"/>
      <c r="J78" s="10">
        <v>12411.624</v>
      </c>
      <c r="K78" s="10">
        <f t="shared" si="53"/>
        <v>12411.624</v>
      </c>
      <c r="L78" s="16"/>
      <c r="M78" s="220"/>
      <c r="N78" s="221"/>
      <c r="O78" s="122">
        <f t="shared" si="47"/>
        <v>1128.8009999999995</v>
      </c>
      <c r="P78" s="123">
        <f t="shared" si="48"/>
        <v>10.004597253719211</v>
      </c>
      <c r="Q78" s="114"/>
      <c r="S78">
        <f t="shared" si="49"/>
        <v>6268.2349999999997</v>
      </c>
      <c r="T78" s="44">
        <f>E78+апр!I78</f>
        <v>0</v>
      </c>
      <c r="U78" s="30">
        <f>F78+апр!J78</f>
        <v>5054.1839999999993</v>
      </c>
    </row>
    <row r="79" spans="1:21" ht="17.25" customHeight="1">
      <c r="A79" s="8"/>
      <c r="B79" s="12" t="s">
        <v>68</v>
      </c>
      <c r="C79" s="22" t="s">
        <v>66</v>
      </c>
      <c r="D79" s="14">
        <v>63799</v>
      </c>
      <c r="E79" s="22"/>
      <c r="F79" s="59"/>
      <c r="G79" s="14">
        <f t="shared" si="52"/>
        <v>0</v>
      </c>
      <c r="H79" s="10">
        <f>D79+август!H79</f>
        <v>574191</v>
      </c>
      <c r="I79" s="59"/>
      <c r="J79" s="10">
        <v>628525</v>
      </c>
      <c r="K79" s="10">
        <f t="shared" si="53"/>
        <v>628525</v>
      </c>
      <c r="L79" s="16"/>
      <c r="M79" s="220"/>
      <c r="N79" s="221"/>
      <c r="O79" s="122">
        <f t="shared" si="47"/>
        <v>54334</v>
      </c>
      <c r="P79" s="123">
        <f t="shared" si="48"/>
        <v>9.4627049187465495</v>
      </c>
      <c r="Q79" s="114"/>
      <c r="S79">
        <f t="shared" si="49"/>
        <v>318995</v>
      </c>
      <c r="T79" s="44">
        <f>E79+апр!I79</f>
        <v>0</v>
      </c>
      <c r="U79" s="30">
        <f>F79+апр!J79</f>
        <v>255996</v>
      </c>
    </row>
    <row r="80" spans="1:21" ht="17.25" customHeight="1">
      <c r="A80" s="8"/>
      <c r="B80" s="12" t="s">
        <v>15</v>
      </c>
      <c r="C80" s="13" t="s">
        <v>16</v>
      </c>
      <c r="D80" s="16">
        <f>D78/D79*1000</f>
        <v>19.649947491339987</v>
      </c>
      <c r="E80" s="16"/>
      <c r="F80" s="16" t="e">
        <f t="shared" ref="F80" si="55">F78/F79*1000</f>
        <v>#DIV/0!</v>
      </c>
      <c r="G80" s="10" t="e">
        <f t="shared" si="52"/>
        <v>#DIV/0!</v>
      </c>
      <c r="H80" s="16">
        <f>H78/H79*1000</f>
        <v>19.64994749133999</v>
      </c>
      <c r="I80" s="8"/>
      <c r="J80" s="16">
        <f>J78/J79*1000</f>
        <v>19.747224056322345</v>
      </c>
      <c r="K80" s="10">
        <f t="shared" si="53"/>
        <v>19.747224056322345</v>
      </c>
      <c r="L80" s="16"/>
      <c r="M80" s="220"/>
      <c r="N80" s="221"/>
      <c r="O80" s="122">
        <f t="shared" si="47"/>
        <v>9.727656498235504E-2</v>
      </c>
      <c r="P80" s="123">
        <f t="shared" si="48"/>
        <v>0.4950474550897716</v>
      </c>
      <c r="Q80" s="114"/>
      <c r="S80">
        <f t="shared" si="49"/>
        <v>98.249737456699933</v>
      </c>
      <c r="T80" s="44">
        <f>E80+апр!I80</f>
        <v>0</v>
      </c>
      <c r="U80" s="30" t="e">
        <f>F80+апр!J80</f>
        <v>#DIV/0!</v>
      </c>
    </row>
    <row r="81" spans="1:21" ht="36" customHeight="1">
      <c r="A81" s="8"/>
      <c r="B81" s="12" t="s">
        <v>70</v>
      </c>
      <c r="C81" s="8" t="s">
        <v>4</v>
      </c>
      <c r="D81" s="10">
        <v>3651.203</v>
      </c>
      <c r="E81" s="8"/>
      <c r="F81" s="55"/>
      <c r="G81" s="10">
        <f t="shared" si="52"/>
        <v>0</v>
      </c>
      <c r="H81" s="10">
        <f>D81+август!H81</f>
        <v>32860.827000000005</v>
      </c>
      <c r="I81" s="8"/>
      <c r="J81" s="10">
        <v>34769.230000000003</v>
      </c>
      <c r="K81" s="10">
        <f t="shared" si="53"/>
        <v>34769.230000000003</v>
      </c>
      <c r="L81" s="16"/>
      <c r="M81" s="220"/>
      <c r="N81" s="221"/>
      <c r="O81" s="122">
        <f t="shared" si="47"/>
        <v>1908.4029999999984</v>
      </c>
      <c r="P81" s="123">
        <f t="shared" si="48"/>
        <v>5.8075318676550598</v>
      </c>
      <c r="Q81" s="114"/>
      <c r="S81">
        <f t="shared" si="49"/>
        <v>18256.014999999999</v>
      </c>
      <c r="T81" s="44">
        <f>E81+апр!I81</f>
        <v>0</v>
      </c>
      <c r="U81" s="30">
        <f>F81+апр!J81</f>
        <v>12694.096</v>
      </c>
    </row>
    <row r="82" spans="1:21" ht="17.25" customHeight="1">
      <c r="A82" s="8"/>
      <c r="B82" s="12" t="s">
        <v>68</v>
      </c>
      <c r="C82" s="22" t="s">
        <v>66</v>
      </c>
      <c r="D82" s="14">
        <v>185812</v>
      </c>
      <c r="E82" s="22"/>
      <c r="F82" s="59"/>
      <c r="G82" s="14">
        <v>5230.0569999999998</v>
      </c>
      <c r="H82" s="10">
        <f>D82+август!H82</f>
        <v>1672308</v>
      </c>
      <c r="I82" s="59"/>
      <c r="J82" s="10">
        <v>1760467</v>
      </c>
      <c r="K82" s="10">
        <f t="shared" si="53"/>
        <v>1760467</v>
      </c>
      <c r="L82" s="16"/>
      <c r="M82" s="220"/>
      <c r="N82" s="221"/>
      <c r="O82" s="122">
        <f t="shared" si="47"/>
        <v>88159</v>
      </c>
      <c r="P82" s="123">
        <f t="shared" si="48"/>
        <v>5.2716963621533832</v>
      </c>
      <c r="Q82" s="114"/>
      <c r="S82">
        <f t="shared" si="49"/>
        <v>929060</v>
      </c>
      <c r="T82" s="44">
        <f>E82+апр!I82</f>
        <v>0</v>
      </c>
      <c r="U82" s="30">
        <f>F82+апр!J82</f>
        <v>642739</v>
      </c>
    </row>
    <row r="83" spans="1:21" ht="17.25" customHeight="1">
      <c r="A83" s="8"/>
      <c r="B83" s="12" t="s">
        <v>15</v>
      </c>
      <c r="C83" s="13" t="s">
        <v>16</v>
      </c>
      <c r="D83" s="16">
        <f>D81/D82*1000</f>
        <v>19.64998493100553</v>
      </c>
      <c r="E83" s="16"/>
      <c r="F83" s="16" t="e">
        <f t="shared" ref="F83" si="56">F81/F82*1000</f>
        <v>#DIV/0!</v>
      </c>
      <c r="G83" s="10" t="e">
        <f t="shared" si="52"/>
        <v>#DIV/0!</v>
      </c>
      <c r="H83" s="16">
        <f>H81/H82*1000</f>
        <v>19.649984931005534</v>
      </c>
      <c r="I83" s="8"/>
      <c r="J83" s="16">
        <f>J81/J82*1000</f>
        <v>19.750003834209902</v>
      </c>
      <c r="K83" s="10">
        <f t="shared" si="53"/>
        <v>19.750003834209902</v>
      </c>
      <c r="L83" s="16"/>
      <c r="M83" s="220"/>
      <c r="N83" s="221"/>
      <c r="O83" s="122">
        <f t="shared" si="47"/>
        <v>0.10001890320436857</v>
      </c>
      <c r="P83" s="123">
        <f t="shared" si="48"/>
        <v>0.50900244226930502</v>
      </c>
      <c r="Q83" s="114"/>
      <c r="S83">
        <f t="shared" si="49"/>
        <v>98.249924655027655</v>
      </c>
      <c r="T83" s="44">
        <f>E83+апр!I83</f>
        <v>0</v>
      </c>
      <c r="U83" s="30" t="e">
        <f>F83+апр!J83</f>
        <v>#DIV/0!</v>
      </c>
    </row>
    <row r="84" spans="1:21" ht="17.25" customHeight="1">
      <c r="A84" s="8"/>
      <c r="B84" s="12" t="s">
        <v>71</v>
      </c>
      <c r="C84" s="8" t="s">
        <v>4</v>
      </c>
      <c r="D84" s="10">
        <v>20274.338</v>
      </c>
      <c r="E84" s="8"/>
      <c r="F84" s="55"/>
      <c r="G84" s="10">
        <f t="shared" si="52"/>
        <v>0</v>
      </c>
      <c r="H84" s="10">
        <f>D84+август!H84</f>
        <v>182469.04199999999</v>
      </c>
      <c r="I84" s="8"/>
      <c r="J84" s="10">
        <v>186093.046</v>
      </c>
      <c r="K84" s="10">
        <f t="shared" si="53"/>
        <v>186093.046</v>
      </c>
      <c r="L84" s="16"/>
      <c r="M84" s="233" t="s">
        <v>297</v>
      </c>
      <c r="N84" s="234"/>
      <c r="O84" s="122">
        <f t="shared" si="47"/>
        <v>3624.0040000000154</v>
      </c>
      <c r="P84" s="123">
        <f t="shared" si="48"/>
        <v>1.9860925230264626</v>
      </c>
      <c r="Q84" s="115"/>
      <c r="S84">
        <f t="shared" si="49"/>
        <v>101371.69</v>
      </c>
      <c r="T84" s="44">
        <f>E84+апр!I84</f>
        <v>0</v>
      </c>
      <c r="U84" s="30">
        <f>F84+апр!J84</f>
        <v>54605.031000000003</v>
      </c>
    </row>
    <row r="85" spans="1:21" ht="26.25" customHeight="1">
      <c r="A85" s="8"/>
      <c r="B85" s="12" t="s">
        <v>68</v>
      </c>
      <c r="C85" s="22" t="s">
        <v>66</v>
      </c>
      <c r="D85" s="14">
        <v>962694</v>
      </c>
      <c r="E85" s="22"/>
      <c r="F85" s="59"/>
      <c r="G85" s="14">
        <f t="shared" si="52"/>
        <v>0</v>
      </c>
      <c r="H85" s="10">
        <f>D85+август!H85</f>
        <v>8664246</v>
      </c>
      <c r="I85" s="59"/>
      <c r="J85" s="10">
        <v>8891211</v>
      </c>
      <c r="K85" s="10">
        <f t="shared" si="53"/>
        <v>8891211</v>
      </c>
      <c r="L85" s="16"/>
      <c r="M85" s="235"/>
      <c r="N85" s="236"/>
      <c r="O85" s="122">
        <f t="shared" si="47"/>
        <v>226965</v>
      </c>
      <c r="P85" s="123">
        <f t="shared" si="48"/>
        <v>2.6195585859404269</v>
      </c>
      <c r="Q85" s="115"/>
      <c r="S85">
        <f t="shared" si="49"/>
        <v>4813470</v>
      </c>
      <c r="T85" s="44">
        <f>E85+апр!I85</f>
        <v>0</v>
      </c>
      <c r="U85" s="30">
        <f>F85+апр!J85</f>
        <v>2608936</v>
      </c>
    </row>
    <row r="86" spans="1:21" ht="17.25" customHeight="1">
      <c r="A86" s="8"/>
      <c r="B86" s="12" t="s">
        <v>15</v>
      </c>
      <c r="C86" s="13" t="s">
        <v>16</v>
      </c>
      <c r="D86" s="16">
        <f>D84/D85*1000</f>
        <v>21.06000245145394</v>
      </c>
      <c r="E86" s="16"/>
      <c r="F86" s="16" t="e">
        <f t="shared" ref="F86" si="57">F84/F85*1000</f>
        <v>#DIV/0!</v>
      </c>
      <c r="G86" s="10" t="e">
        <f t="shared" si="52"/>
        <v>#DIV/0!</v>
      </c>
      <c r="H86" s="16">
        <f>H84/H85*1000</f>
        <v>21.060002451453936</v>
      </c>
      <c r="I86" s="8"/>
      <c r="J86" s="16">
        <f>J84/J85*1000</f>
        <v>20.929999974131761</v>
      </c>
      <c r="K86" s="10">
        <f t="shared" si="53"/>
        <v>20.929999974131761</v>
      </c>
      <c r="L86" s="16"/>
      <c r="M86" s="220"/>
      <c r="N86" s="221"/>
      <c r="O86" s="122">
        <f t="shared" si="47"/>
        <v>-0.13000247732217574</v>
      </c>
      <c r="P86" s="123">
        <f t="shared" si="48"/>
        <v>-0.61729564192524888</v>
      </c>
      <c r="Q86" s="114"/>
      <c r="S86">
        <f t="shared" si="49"/>
        <v>105.3000122572697</v>
      </c>
      <c r="T86" s="44">
        <f>E86+апр!I86</f>
        <v>0</v>
      </c>
      <c r="U86" s="30" t="e">
        <f>F86+апр!J86</f>
        <v>#DIV/0!</v>
      </c>
    </row>
    <row r="87" spans="1:21" ht="17.25" customHeight="1">
      <c r="A87" s="175" t="s">
        <v>72</v>
      </c>
      <c r="B87" s="6" t="s">
        <v>73</v>
      </c>
      <c r="C87" s="175" t="s">
        <v>4</v>
      </c>
      <c r="D87" s="7">
        <f>D88+D89+D90</f>
        <v>22015.745000000003</v>
      </c>
      <c r="E87" s="21">
        <f>E88+E89+E90+E91</f>
        <v>20888.748999999996</v>
      </c>
      <c r="F87" s="7">
        <f>F88+F89+F90+F91+F92</f>
        <v>31881.407999999999</v>
      </c>
      <c r="G87" s="16">
        <f t="shared" si="52"/>
        <v>10992.659000000003</v>
      </c>
      <c r="H87" s="7">
        <f>H88+H89+H90</f>
        <v>198141.70499999999</v>
      </c>
      <c r="I87" s="7">
        <f>I88+I89+I90+I91</f>
        <v>187998.74099999998</v>
      </c>
      <c r="J87" s="7">
        <f>J88+J89+J90+J91+J92</f>
        <v>185405.022</v>
      </c>
      <c r="K87" s="10">
        <f t="shared" si="53"/>
        <v>-2593.7189999999828</v>
      </c>
      <c r="L87" s="16">
        <f t="shared" ref="L87:L158" si="58">K87/I87*100</f>
        <v>-1.3796470051892438</v>
      </c>
      <c r="M87" s="220"/>
      <c r="N87" s="221"/>
      <c r="O87" s="122">
        <f t="shared" si="47"/>
        <v>-12736.68299999999</v>
      </c>
      <c r="P87" s="123">
        <f t="shared" si="48"/>
        <v>-6.4280677306173333</v>
      </c>
      <c r="Q87" s="114"/>
      <c r="R87" s="30">
        <f>F88+март!J88+F92+F98+март!J92+март!J98</f>
        <v>87155.042000000001</v>
      </c>
      <c r="S87">
        <f t="shared" si="49"/>
        <v>110078.72500000001</v>
      </c>
      <c r="T87" s="44">
        <f>E87+апр!I87</f>
        <v>104443.74499999998</v>
      </c>
      <c r="U87" s="30">
        <f>F87+апр!J87</f>
        <v>112459.08899999999</v>
      </c>
    </row>
    <row r="88" spans="1:21" ht="17.25" customHeight="1">
      <c r="A88" s="8" t="s">
        <v>74</v>
      </c>
      <c r="B88" s="9" t="s">
        <v>75</v>
      </c>
      <c r="C88" s="8" t="s">
        <v>4</v>
      </c>
      <c r="D88" s="10">
        <v>20032.525000000001</v>
      </c>
      <c r="E88" s="8">
        <v>18751.082999999999</v>
      </c>
      <c r="F88" s="54">
        <f>29561.069-F92-F98</f>
        <v>28997.937999999998</v>
      </c>
      <c r="G88" s="16">
        <f t="shared" si="52"/>
        <v>10246.855</v>
      </c>
      <c r="H88" s="10">
        <f>D88+август!H88</f>
        <v>180292.72499999998</v>
      </c>
      <c r="I88" s="8">
        <f>E88+август!I88</f>
        <v>168759.74699999997</v>
      </c>
      <c r="J88" s="10">
        <f>173475.45-J92-J98</f>
        <v>166838.72700000001</v>
      </c>
      <c r="K88" s="10">
        <f t="shared" si="53"/>
        <v>-1921.0199999999604</v>
      </c>
      <c r="L88" s="16">
        <f>K88/I88*100</f>
        <v>-1.1383164730627149</v>
      </c>
      <c r="M88" s="227"/>
      <c r="N88" s="228"/>
      <c r="O88" s="122">
        <f>J88-H88</f>
        <v>-13453.997999999963</v>
      </c>
      <c r="P88" s="123">
        <f>O88/H88*100</f>
        <v>-7.462307755346183</v>
      </c>
      <c r="Q88" s="116"/>
      <c r="R88" s="30">
        <f>J88+J92+J98</f>
        <v>173475.45</v>
      </c>
      <c r="S88">
        <f t="shared" si="49"/>
        <v>100162.625</v>
      </c>
      <c r="T88" s="44">
        <f>E88+апр!I88</f>
        <v>93755.414999999994</v>
      </c>
      <c r="U88" s="30">
        <f>F88+апр!J88</f>
        <v>101572.81099999999</v>
      </c>
    </row>
    <row r="89" spans="1:21" ht="17.25" customHeight="1">
      <c r="A89" s="8" t="s">
        <v>76</v>
      </c>
      <c r="B89" s="9" t="s">
        <v>77</v>
      </c>
      <c r="C89" s="8" t="s">
        <v>4</v>
      </c>
      <c r="D89" s="10">
        <v>1101.788</v>
      </c>
      <c r="E89" s="8">
        <v>1012.583</v>
      </c>
      <c r="F89" s="54">
        <v>1605.008</v>
      </c>
      <c r="G89" s="10">
        <f t="shared" si="52"/>
        <v>592.42500000000007</v>
      </c>
      <c r="H89" s="10">
        <f>D89+август!H89</f>
        <v>9916.0920000000024</v>
      </c>
      <c r="I89" s="8">
        <f>E89+август!I89</f>
        <v>9113.2469999999994</v>
      </c>
      <c r="J89" s="10">
        <f>F89+август!J89</f>
        <v>9402.1409999999996</v>
      </c>
      <c r="K89" s="10">
        <f t="shared" si="53"/>
        <v>288.89400000000023</v>
      </c>
      <c r="L89" s="16">
        <f t="shared" si="58"/>
        <v>3.1700446613594502</v>
      </c>
      <c r="M89" s="227"/>
      <c r="N89" s="228"/>
      <c r="O89" s="122">
        <f t="shared" ref="O89:O151" si="59">J89-H89</f>
        <v>-513.95100000000275</v>
      </c>
      <c r="P89" s="123">
        <f t="shared" ref="P89:P151" si="60">O89/H89*100</f>
        <v>-5.1829995123078998</v>
      </c>
      <c r="Q89" s="116"/>
      <c r="S89">
        <f t="shared" si="49"/>
        <v>5508.9400000000005</v>
      </c>
      <c r="T89" s="44">
        <f>E89+апр!I89</f>
        <v>5062.915</v>
      </c>
      <c r="U89" s="30">
        <f>F89+апр!J89</f>
        <v>5686.2060000000001</v>
      </c>
    </row>
    <row r="90" spans="1:21" ht="17.25" customHeight="1">
      <c r="A90" s="8" t="s">
        <v>308</v>
      </c>
      <c r="B90" s="9" t="s">
        <v>307</v>
      </c>
      <c r="C90" s="8" t="s">
        <v>4</v>
      </c>
      <c r="D90" s="10">
        <v>881.43200000000002</v>
      </c>
      <c r="E90" s="8">
        <v>843.83299999999997</v>
      </c>
      <c r="F90" s="55">
        <v>865.89800000000002</v>
      </c>
      <c r="G90" s="10">
        <f t="shared" si="52"/>
        <v>22.065000000000055</v>
      </c>
      <c r="H90" s="10">
        <f>D90+август!H90</f>
        <v>7932.887999999999</v>
      </c>
      <c r="I90" s="8">
        <f>E90+август!I90</f>
        <v>7594.4969999999985</v>
      </c>
      <c r="J90" s="10">
        <f>F90+август!J90</f>
        <v>5107.5120000000006</v>
      </c>
      <c r="K90" s="10">
        <f t="shared" si="53"/>
        <v>-2486.9849999999979</v>
      </c>
      <c r="L90" s="16">
        <f t="shared" si="58"/>
        <v>-32.747198399051292</v>
      </c>
      <c r="M90" s="177"/>
      <c r="N90" s="178"/>
      <c r="O90" s="122">
        <f t="shared" si="59"/>
        <v>-2825.3759999999984</v>
      </c>
      <c r="P90" s="123">
        <f t="shared" si="60"/>
        <v>-35.615982476999534</v>
      </c>
      <c r="Q90" s="116"/>
      <c r="S90">
        <f t="shared" si="49"/>
        <v>4407.16</v>
      </c>
      <c r="T90" s="44">
        <f>E90+апр!I90</f>
        <v>4219.165</v>
      </c>
      <c r="U90" s="30">
        <f>F90+апр!J90</f>
        <v>3097.8500000000004</v>
      </c>
    </row>
    <row r="91" spans="1:21" ht="17.25" customHeight="1">
      <c r="A91" s="8" t="s">
        <v>309</v>
      </c>
      <c r="B91" s="9" t="s">
        <v>310</v>
      </c>
      <c r="C91" s="8" t="s">
        <v>4</v>
      </c>
      <c r="D91" s="10"/>
      <c r="E91" s="8">
        <v>281.25</v>
      </c>
      <c r="F91" s="55">
        <v>412.56400000000002</v>
      </c>
      <c r="G91" s="10">
        <f t="shared" si="52"/>
        <v>131.31400000000002</v>
      </c>
      <c r="H91" s="10">
        <f>D91+август!H91</f>
        <v>0</v>
      </c>
      <c r="I91" s="8">
        <f>E91+август!I91</f>
        <v>2531.25</v>
      </c>
      <c r="J91" s="10">
        <f>F91+август!J91</f>
        <v>2420.7559999999999</v>
      </c>
      <c r="K91" s="10">
        <f t="shared" si="53"/>
        <v>-110.49400000000014</v>
      </c>
      <c r="L91" s="16">
        <f t="shared" si="58"/>
        <v>-4.3651950617284001</v>
      </c>
      <c r="M91" s="177"/>
      <c r="N91" s="178"/>
      <c r="O91" s="122">
        <f t="shared" si="59"/>
        <v>2420.7559999999999</v>
      </c>
      <c r="P91" s="123" t="e">
        <f t="shared" si="60"/>
        <v>#DIV/0!</v>
      </c>
      <c r="Q91" s="116"/>
      <c r="S91">
        <f t="shared" si="49"/>
        <v>0</v>
      </c>
      <c r="T91" s="44">
        <f>E91+апр!I91</f>
        <v>1406.25</v>
      </c>
      <c r="U91" s="30">
        <f>F91+апр!J91</f>
        <v>1471.3100000000002</v>
      </c>
    </row>
    <row r="92" spans="1:21" ht="17.25" customHeight="1">
      <c r="A92" s="8"/>
      <c r="B92" s="9" t="s">
        <v>316</v>
      </c>
      <c r="C92" s="8" t="s">
        <v>4</v>
      </c>
      <c r="D92" s="10"/>
      <c r="E92" s="8"/>
      <c r="F92" s="54"/>
      <c r="G92" s="10"/>
      <c r="H92" s="10">
        <f>D92+август!H92</f>
        <v>0</v>
      </c>
      <c r="I92" s="8">
        <f>E92+август!I92</f>
        <v>0</v>
      </c>
      <c r="J92" s="10">
        <v>1635.886</v>
      </c>
      <c r="K92" s="10"/>
      <c r="L92" s="16"/>
      <c r="M92" s="177"/>
      <c r="N92" s="178"/>
      <c r="O92" s="122">
        <f t="shared" si="59"/>
        <v>1635.886</v>
      </c>
      <c r="P92" s="123" t="e">
        <f t="shared" si="60"/>
        <v>#DIV/0!</v>
      </c>
      <c r="Q92" s="116"/>
      <c r="S92">
        <f t="shared" si="49"/>
        <v>0</v>
      </c>
      <c r="T92" s="44">
        <f>E92+апр!I92</f>
        <v>0</v>
      </c>
      <c r="U92" s="30">
        <f>F92+апр!J92</f>
        <v>630.91199999999992</v>
      </c>
    </row>
    <row r="93" spans="1:21" ht="17.25" customHeight="1">
      <c r="A93" s="175" t="s">
        <v>78</v>
      </c>
      <c r="B93" s="6" t="s">
        <v>79</v>
      </c>
      <c r="C93" s="175" t="s">
        <v>4</v>
      </c>
      <c r="D93" s="7">
        <f>D94</f>
        <v>12258.85</v>
      </c>
      <c r="E93" s="21">
        <f>E94</f>
        <v>12219.75</v>
      </c>
      <c r="F93" s="7">
        <f>F94</f>
        <v>15385.446</v>
      </c>
      <c r="G93" s="10">
        <f t="shared" si="52"/>
        <v>3165.6959999999999</v>
      </c>
      <c r="H93" s="7">
        <f>H94</f>
        <v>110329.65000000002</v>
      </c>
      <c r="I93" s="21">
        <f>I94</f>
        <v>109977.75</v>
      </c>
      <c r="J93" s="7">
        <f>J94</f>
        <v>133505.74900000001</v>
      </c>
      <c r="K93" s="10">
        <f t="shared" si="53"/>
        <v>23527.999000000011</v>
      </c>
      <c r="L93" s="16">
        <f t="shared" si="58"/>
        <v>21.393417304863949</v>
      </c>
      <c r="M93" s="220"/>
      <c r="N93" s="221"/>
      <c r="O93" s="122">
        <f t="shared" si="59"/>
        <v>23176.098999999987</v>
      </c>
      <c r="P93" s="123">
        <f t="shared" si="60"/>
        <v>21.006229059912709</v>
      </c>
      <c r="Q93" s="114"/>
      <c r="S93">
        <f t="shared" si="49"/>
        <v>61294.25</v>
      </c>
      <c r="T93" s="44">
        <f>E93+апр!I93</f>
        <v>61098.75</v>
      </c>
      <c r="U93" s="30">
        <f>F93+апр!J93</f>
        <v>59759.133999999991</v>
      </c>
    </row>
    <row r="94" spans="1:21" ht="17.25" customHeight="1">
      <c r="A94" s="23" t="s">
        <v>80</v>
      </c>
      <c r="B94" s="9" t="s">
        <v>81</v>
      </c>
      <c r="C94" s="8" t="s">
        <v>4</v>
      </c>
      <c r="D94" s="10">
        <v>12258.85</v>
      </c>
      <c r="E94" s="8">
        <v>12219.75</v>
      </c>
      <c r="F94" s="55">
        <v>15385.446</v>
      </c>
      <c r="G94" s="10">
        <f t="shared" si="52"/>
        <v>3165.6959999999999</v>
      </c>
      <c r="H94" s="10">
        <f>D94+август!H94</f>
        <v>110329.65000000002</v>
      </c>
      <c r="I94" s="8">
        <f>E94+август!I94</f>
        <v>109977.75</v>
      </c>
      <c r="J94" s="10">
        <v>133505.74900000001</v>
      </c>
      <c r="K94" s="10">
        <f t="shared" si="53"/>
        <v>23527.999000000011</v>
      </c>
      <c r="L94" s="16">
        <f t="shared" si="58"/>
        <v>21.393417304863949</v>
      </c>
      <c r="M94" s="220"/>
      <c r="N94" s="221"/>
      <c r="O94" s="122">
        <f t="shared" si="59"/>
        <v>23176.098999999987</v>
      </c>
      <c r="P94" s="123">
        <f t="shared" si="60"/>
        <v>21.006229059912709</v>
      </c>
      <c r="Q94" s="114"/>
      <c r="S94">
        <f t="shared" si="49"/>
        <v>61294.25</v>
      </c>
      <c r="T94" s="44">
        <f>E94+апр!I94</f>
        <v>61098.75</v>
      </c>
      <c r="U94" s="30">
        <f>F94+апр!J94</f>
        <v>59759.133999999991</v>
      </c>
    </row>
    <row r="95" spans="1:21" ht="17.25" customHeight="1">
      <c r="A95" s="175" t="s">
        <v>82</v>
      </c>
      <c r="B95" s="6" t="s">
        <v>83</v>
      </c>
      <c r="C95" s="175" t="s">
        <v>4</v>
      </c>
      <c r="D95" s="7">
        <f t="shared" ref="D95:J95" si="61">D96</f>
        <v>588.22500000000002</v>
      </c>
      <c r="E95" s="7">
        <f t="shared" si="61"/>
        <v>291.66699999999997</v>
      </c>
      <c r="F95" s="7">
        <f>F96</f>
        <v>46.616999999999997</v>
      </c>
      <c r="G95" s="10">
        <f t="shared" si="52"/>
        <v>-245.04999999999998</v>
      </c>
      <c r="H95" s="7">
        <f t="shared" si="61"/>
        <v>5294.0250000000005</v>
      </c>
      <c r="I95" s="7">
        <f t="shared" si="61"/>
        <v>2625.0029999999997</v>
      </c>
      <c r="J95" s="7">
        <f t="shared" si="61"/>
        <v>330.96699999999998</v>
      </c>
      <c r="K95" s="10">
        <f t="shared" si="53"/>
        <v>-2294.0359999999996</v>
      </c>
      <c r="L95" s="16">
        <f t="shared" si="58"/>
        <v>-87.39174774276448</v>
      </c>
      <c r="M95" s="220"/>
      <c r="N95" s="221"/>
      <c r="O95" s="122">
        <f t="shared" si="59"/>
        <v>-4963.0580000000009</v>
      </c>
      <c r="P95" s="123">
        <f t="shared" si="60"/>
        <v>-93.74829170621598</v>
      </c>
      <c r="Q95" s="114"/>
      <c r="S95">
        <f t="shared" si="49"/>
        <v>2941.125</v>
      </c>
      <c r="T95" s="44">
        <f>E95+апр!I95</f>
        <v>1458.3349999999998</v>
      </c>
      <c r="U95" s="30">
        <f>F95+апр!J95</f>
        <v>47.385999999999996</v>
      </c>
    </row>
    <row r="96" spans="1:21" ht="54" customHeight="1">
      <c r="A96" s="8" t="s">
        <v>84</v>
      </c>
      <c r="B96" s="9" t="s">
        <v>85</v>
      </c>
      <c r="C96" s="8" t="s">
        <v>4</v>
      </c>
      <c r="D96" s="10">
        <v>588.22500000000002</v>
      </c>
      <c r="E96" s="8">
        <v>291.66699999999997</v>
      </c>
      <c r="F96" s="55">
        <v>46.616999999999997</v>
      </c>
      <c r="G96" s="10">
        <f t="shared" si="52"/>
        <v>-245.04999999999998</v>
      </c>
      <c r="H96" s="10">
        <f>D96+август!H96</f>
        <v>5294.0250000000005</v>
      </c>
      <c r="I96" s="8">
        <f>E96+август!I96</f>
        <v>2625.0029999999997</v>
      </c>
      <c r="J96" s="10">
        <v>330.96699999999998</v>
      </c>
      <c r="K96" s="10">
        <f t="shared" si="53"/>
        <v>-2294.0359999999996</v>
      </c>
      <c r="L96" s="16">
        <f t="shared" si="58"/>
        <v>-87.39174774276448</v>
      </c>
      <c r="M96" s="227" t="s">
        <v>299</v>
      </c>
      <c r="N96" s="228"/>
      <c r="O96" s="122">
        <f t="shared" si="59"/>
        <v>-4963.0580000000009</v>
      </c>
      <c r="P96" s="123">
        <f t="shared" si="60"/>
        <v>-93.74829170621598</v>
      </c>
      <c r="Q96" s="116"/>
      <c r="S96">
        <f t="shared" si="49"/>
        <v>2941.125</v>
      </c>
      <c r="T96" s="44">
        <f>E96+апр!I96</f>
        <v>1458.3349999999998</v>
      </c>
      <c r="U96" s="30">
        <f>F96+апр!J96</f>
        <v>47.385999999999996</v>
      </c>
    </row>
    <row r="97" spans="1:21" ht="17.25" customHeight="1">
      <c r="A97" s="175" t="s">
        <v>86</v>
      </c>
      <c r="B97" s="6" t="s">
        <v>87</v>
      </c>
      <c r="C97" s="175" t="s">
        <v>4</v>
      </c>
      <c r="D97" s="7">
        <f t="shared" ref="D97" si="62">D98+D99+D103+D104+D109+D110</f>
        <v>2575.1889999999999</v>
      </c>
      <c r="E97" s="7">
        <f>E98+E99+E103+E104+E109+E110</f>
        <v>2562.3330000000001</v>
      </c>
      <c r="F97" s="7">
        <f>F98+F99+F103+F104+F109+F110</f>
        <v>3773.33</v>
      </c>
      <c r="G97" s="10">
        <f t="shared" si="52"/>
        <v>1210.9969999999998</v>
      </c>
      <c r="H97" s="7">
        <f>H98+H99+H103+H104+H109+H110-851</f>
        <v>22325.701000000001</v>
      </c>
      <c r="I97" s="7">
        <f>I98+I99+I103+I104+I109+I110</f>
        <v>23059.664000000001</v>
      </c>
      <c r="J97" s="7">
        <f>J98+J99+J103+J104+J109+J110</f>
        <v>25928.589499999998</v>
      </c>
      <c r="K97" s="10">
        <f t="shared" si="53"/>
        <v>2868.9254999999976</v>
      </c>
      <c r="L97" s="16">
        <f t="shared" si="58"/>
        <v>12.441315276753372</v>
      </c>
      <c r="M97" s="220"/>
      <c r="N97" s="221"/>
      <c r="O97" s="122">
        <f t="shared" si="59"/>
        <v>3602.8884999999973</v>
      </c>
      <c r="P97" s="123">
        <f t="shared" si="60"/>
        <v>16.137851617738662</v>
      </c>
      <c r="Q97" s="114"/>
      <c r="S97">
        <f t="shared" si="49"/>
        <v>12875.945</v>
      </c>
      <c r="T97" s="44">
        <f>E97+апр!I97</f>
        <v>12811.665000000001</v>
      </c>
      <c r="U97" s="30">
        <f>F97+апр!J97</f>
        <v>13665.622499999999</v>
      </c>
    </row>
    <row r="98" spans="1:21" ht="17.25" customHeight="1">
      <c r="A98" s="8" t="s">
        <v>88</v>
      </c>
      <c r="B98" s="9" t="s">
        <v>89</v>
      </c>
      <c r="C98" s="8" t="s">
        <v>4</v>
      </c>
      <c r="D98" s="10">
        <v>626.41700000000003</v>
      </c>
      <c r="E98" s="8">
        <v>543.08299999999997</v>
      </c>
      <c r="F98" s="54">
        <v>563.13099999999997</v>
      </c>
      <c r="G98" s="10">
        <f t="shared" si="52"/>
        <v>20.048000000000002</v>
      </c>
      <c r="H98" s="10">
        <f>D98+август!H98</f>
        <v>5637.7530000000006</v>
      </c>
      <c r="I98" s="8">
        <f>E98+август!I98</f>
        <v>4887.7469999999994</v>
      </c>
      <c r="J98" s="10">
        <f>F98+август!J98</f>
        <v>5000.8370000000004</v>
      </c>
      <c r="K98" s="10">
        <f t="shared" si="53"/>
        <v>113.09000000000106</v>
      </c>
      <c r="L98" s="16">
        <f t="shared" si="58"/>
        <v>2.3137449626586868</v>
      </c>
      <c r="M98" s="227" t="s">
        <v>298</v>
      </c>
      <c r="N98" s="228"/>
      <c r="O98" s="122">
        <f t="shared" si="59"/>
        <v>-636.91600000000017</v>
      </c>
      <c r="P98" s="123">
        <f t="shared" si="60"/>
        <v>-11.297337786880696</v>
      </c>
      <c r="Q98" s="116"/>
      <c r="S98">
        <f t="shared" si="49"/>
        <v>3132.085</v>
      </c>
      <c r="T98" s="44">
        <f>E98+апр!I98</f>
        <v>2715.415</v>
      </c>
      <c r="U98" s="30">
        <f>F98+апр!J98</f>
        <v>2853.5329999999999</v>
      </c>
    </row>
    <row r="99" spans="1:21" ht="53.25" customHeight="1">
      <c r="A99" s="8" t="s">
        <v>90</v>
      </c>
      <c r="B99" s="20" t="s">
        <v>242</v>
      </c>
      <c r="C99" s="8" t="s">
        <v>4</v>
      </c>
      <c r="D99" s="10">
        <f t="shared" ref="D99:F99" si="63">D100+D101+D102</f>
        <v>107.703</v>
      </c>
      <c r="E99" s="8">
        <v>107.667</v>
      </c>
      <c r="F99" s="10">
        <f t="shared" si="63"/>
        <v>379.98899999999998</v>
      </c>
      <c r="G99" s="10">
        <f t="shared" si="52"/>
        <v>272.322</v>
      </c>
      <c r="H99" s="10">
        <f t="shared" ref="H99" si="64">H100+H101+H102</f>
        <v>969.32700000000011</v>
      </c>
      <c r="I99" s="8">
        <f>E99+август!I99</f>
        <v>969.00300000000016</v>
      </c>
      <c r="J99" s="10">
        <f t="shared" ref="J99" si="65">J100+J101+J102</f>
        <v>379.98899999999998</v>
      </c>
      <c r="K99" s="10">
        <f t="shared" si="53"/>
        <v>-589.01400000000012</v>
      </c>
      <c r="L99" s="16">
        <f t="shared" si="58"/>
        <v>-60.785570323311703</v>
      </c>
      <c r="M99" s="220"/>
      <c r="N99" s="221"/>
      <c r="O99" s="122">
        <f t="shared" si="59"/>
        <v>-589.33800000000019</v>
      </c>
      <c r="P99" s="123">
        <f t="shared" si="60"/>
        <v>-60.798677845556767</v>
      </c>
      <c r="Q99" s="114"/>
      <c r="S99">
        <f t="shared" si="49"/>
        <v>538.51499999999999</v>
      </c>
      <c r="T99" s="44">
        <f>E99+апр!I99</f>
        <v>538.33500000000004</v>
      </c>
      <c r="U99" s="30">
        <f>F99+апр!J99</f>
        <v>379.98899999999998</v>
      </c>
    </row>
    <row r="100" spans="1:21" ht="17.25" customHeight="1">
      <c r="A100" s="8" t="s">
        <v>91</v>
      </c>
      <c r="B100" s="20" t="s">
        <v>92</v>
      </c>
      <c r="C100" s="8" t="s">
        <v>4</v>
      </c>
      <c r="D100" s="10">
        <v>45.448999999999998</v>
      </c>
      <c r="E100" s="8"/>
      <c r="F100" s="55"/>
      <c r="G100" s="10">
        <f t="shared" si="52"/>
        <v>0</v>
      </c>
      <c r="H100" s="10">
        <f>D100+август!H100</f>
        <v>409.04100000000005</v>
      </c>
      <c r="I100" s="8"/>
      <c r="J100" s="10">
        <f>F100+август!J100</f>
        <v>0</v>
      </c>
      <c r="K100" s="10">
        <f t="shared" si="53"/>
        <v>0</v>
      </c>
      <c r="L100" s="16"/>
      <c r="M100" s="220"/>
      <c r="N100" s="221"/>
      <c r="O100" s="122">
        <f t="shared" si="59"/>
        <v>-409.04100000000005</v>
      </c>
      <c r="P100" s="123">
        <f t="shared" si="60"/>
        <v>-100</v>
      </c>
      <c r="Q100" s="114"/>
      <c r="S100">
        <f t="shared" si="49"/>
        <v>227.245</v>
      </c>
      <c r="T100" s="44">
        <f>E100+апр!I100</f>
        <v>0</v>
      </c>
      <c r="U100" s="30">
        <f>F100+апр!J100</f>
        <v>0</v>
      </c>
    </row>
    <row r="101" spans="1:21" ht="33.75" customHeight="1">
      <c r="A101" s="8" t="s">
        <v>93</v>
      </c>
      <c r="B101" s="20" t="s">
        <v>94</v>
      </c>
      <c r="C101" s="8" t="s">
        <v>4</v>
      </c>
      <c r="D101" s="10">
        <v>62.253999999999998</v>
      </c>
      <c r="E101" s="8"/>
      <c r="F101" s="55">
        <v>379.98899999999998</v>
      </c>
      <c r="G101" s="10">
        <f t="shared" si="52"/>
        <v>379.98899999999998</v>
      </c>
      <c r="H101" s="10">
        <f>D101+август!H101</f>
        <v>560.28600000000006</v>
      </c>
      <c r="I101" s="8"/>
      <c r="J101" s="10">
        <f>F101+август!J101</f>
        <v>379.98899999999998</v>
      </c>
      <c r="K101" s="10">
        <f t="shared" si="53"/>
        <v>379.98899999999998</v>
      </c>
      <c r="L101" s="16"/>
      <c r="M101" s="220"/>
      <c r="N101" s="221"/>
      <c r="O101" s="122">
        <f t="shared" si="59"/>
        <v>-180.29700000000008</v>
      </c>
      <c r="P101" s="123">
        <f t="shared" si="60"/>
        <v>-32.179458348057963</v>
      </c>
      <c r="Q101" s="114"/>
      <c r="S101">
        <f t="shared" si="49"/>
        <v>311.27</v>
      </c>
      <c r="T101" s="44">
        <f>E101+апр!I101</f>
        <v>0</v>
      </c>
      <c r="U101" s="30">
        <f>F101+апр!J101</f>
        <v>379.98899999999998</v>
      </c>
    </row>
    <row r="102" spans="1:21" ht="33.75" customHeight="1">
      <c r="A102" s="8" t="s">
        <v>95</v>
      </c>
      <c r="B102" s="20" t="s">
        <v>96</v>
      </c>
      <c r="C102" s="8" t="s">
        <v>4</v>
      </c>
      <c r="D102" s="10"/>
      <c r="E102" s="8"/>
      <c r="F102" s="55"/>
      <c r="G102" s="10">
        <f t="shared" si="52"/>
        <v>0</v>
      </c>
      <c r="H102" s="10">
        <f>D102+август!H102</f>
        <v>0</v>
      </c>
      <c r="I102" s="8"/>
      <c r="J102" s="10">
        <f>F102+август!J102</f>
        <v>0</v>
      </c>
      <c r="K102" s="10">
        <f t="shared" si="53"/>
        <v>0</v>
      </c>
      <c r="L102" s="16"/>
      <c r="M102" s="220"/>
      <c r="N102" s="221"/>
      <c r="O102" s="122">
        <f t="shared" si="59"/>
        <v>0</v>
      </c>
      <c r="P102" s="123" t="e">
        <f t="shared" si="60"/>
        <v>#DIV/0!</v>
      </c>
      <c r="Q102" s="114"/>
      <c r="S102">
        <f t="shared" si="49"/>
        <v>0</v>
      </c>
      <c r="T102" s="44">
        <f>E102+апр!I102</f>
        <v>0</v>
      </c>
      <c r="U102" s="30">
        <f>F102+апр!J102</f>
        <v>0</v>
      </c>
    </row>
    <row r="103" spans="1:21" ht="17.25" customHeight="1">
      <c r="A103" s="8" t="s">
        <v>97</v>
      </c>
      <c r="B103" s="20" t="s">
        <v>98</v>
      </c>
      <c r="C103" s="8" t="s">
        <v>4</v>
      </c>
      <c r="D103" s="10">
        <v>1.3089999999999999</v>
      </c>
      <c r="E103" s="8">
        <v>1.333</v>
      </c>
      <c r="F103" s="55"/>
      <c r="G103" s="10">
        <f t="shared" si="52"/>
        <v>-1.333</v>
      </c>
      <c r="H103" s="10">
        <f>D103+август!H103</f>
        <v>11.780999999999999</v>
      </c>
      <c r="I103" s="8">
        <f>E103+август!I103</f>
        <v>10.664</v>
      </c>
      <c r="J103" s="10">
        <f>F103+август!J103</f>
        <v>0</v>
      </c>
      <c r="K103" s="10">
        <f t="shared" si="53"/>
        <v>-10.664</v>
      </c>
      <c r="L103" s="16">
        <f t="shared" si="58"/>
        <v>-100</v>
      </c>
      <c r="M103" s="220"/>
      <c r="N103" s="221"/>
      <c r="O103" s="122">
        <f t="shared" si="59"/>
        <v>-11.780999999999999</v>
      </c>
      <c r="P103" s="123">
        <f t="shared" si="60"/>
        <v>-100</v>
      </c>
      <c r="Q103" s="114"/>
      <c r="S103">
        <f t="shared" si="49"/>
        <v>6.5449999999999999</v>
      </c>
      <c r="T103" s="44">
        <f>E103+апр!I103</f>
        <v>6.665</v>
      </c>
      <c r="U103" s="30">
        <f>F103+апр!J103</f>
        <v>0</v>
      </c>
    </row>
    <row r="104" spans="1:21" ht="36" customHeight="1">
      <c r="A104" s="18" t="s">
        <v>105</v>
      </c>
      <c r="B104" s="20" t="s">
        <v>99</v>
      </c>
      <c r="C104" s="8" t="s">
        <v>4</v>
      </c>
      <c r="D104" s="10">
        <f t="shared" ref="D104:F104" si="66">D105+D106+D107+D108</f>
        <v>186.095</v>
      </c>
      <c r="E104" s="10">
        <f t="shared" si="66"/>
        <v>152.833</v>
      </c>
      <c r="F104" s="10">
        <f t="shared" si="66"/>
        <v>141.51300000000001</v>
      </c>
      <c r="G104" s="10">
        <f t="shared" si="52"/>
        <v>-11.319999999999993</v>
      </c>
      <c r="H104" s="10">
        <f t="shared" ref="H104:J104" si="67">H105+H106+H107+H108</f>
        <v>1674.8550000000005</v>
      </c>
      <c r="I104" s="8">
        <f>E104+август!I104</f>
        <v>1375.4970000000001</v>
      </c>
      <c r="J104" s="10">
        <f t="shared" si="67"/>
        <v>2288.64</v>
      </c>
      <c r="K104" s="10">
        <f t="shared" si="53"/>
        <v>913.1429999999998</v>
      </c>
      <c r="L104" s="16">
        <f t="shared" si="58"/>
        <v>66.386404332397646</v>
      </c>
      <c r="M104" s="220"/>
      <c r="N104" s="221"/>
      <c r="O104" s="122">
        <f t="shared" si="59"/>
        <v>613.7849999999994</v>
      </c>
      <c r="P104" s="123">
        <f t="shared" si="60"/>
        <v>36.647053028471078</v>
      </c>
      <c r="Q104" s="114"/>
      <c r="S104">
        <f t="shared" si="49"/>
        <v>930.47500000000002</v>
      </c>
      <c r="T104" s="44">
        <f>E104+апр!I104</f>
        <v>764.16499999999996</v>
      </c>
      <c r="U104" s="30">
        <f>F104+апр!J104</f>
        <v>940.49700000000007</v>
      </c>
    </row>
    <row r="105" spans="1:21" ht="17.25" customHeight="1">
      <c r="A105" s="24" t="s">
        <v>243</v>
      </c>
      <c r="B105" s="20" t="s">
        <v>100</v>
      </c>
      <c r="C105" s="8" t="s">
        <v>4</v>
      </c>
      <c r="D105" s="10">
        <v>43.570999999999998</v>
      </c>
      <c r="E105" s="8">
        <v>43.582999999999998</v>
      </c>
      <c r="F105" s="8"/>
      <c r="G105" s="10">
        <f t="shared" si="52"/>
        <v>-43.582999999999998</v>
      </c>
      <c r="H105" s="10">
        <f>D105+август!H105</f>
        <v>392.13900000000001</v>
      </c>
      <c r="I105" s="8">
        <f>E105+август!I105</f>
        <v>392.24699999999996</v>
      </c>
      <c r="J105" s="10">
        <f>237.46+748.609</f>
        <v>986.06900000000007</v>
      </c>
      <c r="K105" s="10">
        <f t="shared" si="53"/>
        <v>593.82200000000012</v>
      </c>
      <c r="L105" s="16">
        <f t="shared" si="58"/>
        <v>151.38981305147016</v>
      </c>
      <c r="M105" s="220"/>
      <c r="N105" s="221"/>
      <c r="O105" s="122">
        <f t="shared" si="59"/>
        <v>593.93000000000006</v>
      </c>
      <c r="P105" s="123">
        <f t="shared" si="60"/>
        <v>151.45904895968013</v>
      </c>
      <c r="Q105" s="114">
        <f>237.46+748.609</f>
        <v>986.06900000000007</v>
      </c>
      <c r="S105">
        <f t="shared" si="49"/>
        <v>217.85499999999999</v>
      </c>
      <c r="T105" s="44">
        <f>E105+апр!I105</f>
        <v>217.91499999999999</v>
      </c>
      <c r="U105" s="30">
        <f>F105+апр!J105</f>
        <v>221.631</v>
      </c>
    </row>
    <row r="106" spans="1:21" ht="28.5" customHeight="1">
      <c r="A106" s="8" t="s">
        <v>244</v>
      </c>
      <c r="B106" s="20" t="s">
        <v>101</v>
      </c>
      <c r="C106" s="8" t="s">
        <v>4</v>
      </c>
      <c r="D106" s="10">
        <v>116.209</v>
      </c>
      <c r="E106" s="8">
        <v>82.917000000000002</v>
      </c>
      <c r="F106" s="55">
        <v>77.813000000000002</v>
      </c>
      <c r="G106" s="10">
        <f t="shared" si="52"/>
        <v>-5.1039999999999992</v>
      </c>
      <c r="H106" s="10">
        <f>D106+август!H106</f>
        <v>1045.8810000000003</v>
      </c>
      <c r="I106" s="8">
        <f>E106+август!I106</f>
        <v>746.25300000000016</v>
      </c>
      <c r="J106" s="10">
        <v>978.24</v>
      </c>
      <c r="K106" s="10">
        <f t="shared" si="53"/>
        <v>231.98699999999985</v>
      </c>
      <c r="L106" s="16">
        <f t="shared" si="58"/>
        <v>31.086910203376039</v>
      </c>
      <c r="M106" s="222" t="s">
        <v>287</v>
      </c>
      <c r="N106" s="223"/>
      <c r="O106" s="122">
        <f t="shared" si="59"/>
        <v>-67.641000000000304</v>
      </c>
      <c r="P106" s="123">
        <f t="shared" si="60"/>
        <v>-6.4673705708393481</v>
      </c>
      <c r="Q106" s="115"/>
      <c r="S106">
        <f t="shared" si="49"/>
        <v>581.04500000000007</v>
      </c>
      <c r="T106" s="44">
        <f>E106+апр!I106</f>
        <v>414.58500000000004</v>
      </c>
      <c r="U106" s="30">
        <f>F106+апр!J106</f>
        <v>531.41300000000001</v>
      </c>
    </row>
    <row r="107" spans="1:21" ht="37.5" customHeight="1">
      <c r="A107" s="8" t="s">
        <v>245</v>
      </c>
      <c r="B107" s="20" t="s">
        <v>102</v>
      </c>
      <c r="C107" s="8" t="s">
        <v>4</v>
      </c>
      <c r="D107" s="10">
        <v>26.315000000000001</v>
      </c>
      <c r="E107" s="8">
        <v>26.332999999999998</v>
      </c>
      <c r="F107" s="54"/>
      <c r="G107" s="10">
        <f t="shared" si="52"/>
        <v>-26.332999999999998</v>
      </c>
      <c r="H107" s="10">
        <f>D107+август!H107</f>
        <v>236.83500000000001</v>
      </c>
      <c r="I107" s="8">
        <f>E107+август!I107</f>
        <v>236.99699999999999</v>
      </c>
      <c r="J107" s="10">
        <v>260.63099999999997</v>
      </c>
      <c r="K107" s="10">
        <f t="shared" si="53"/>
        <v>23.633999999999986</v>
      </c>
      <c r="L107" s="16">
        <f t="shared" si="58"/>
        <v>9.9722781301029073</v>
      </c>
      <c r="M107" s="220"/>
      <c r="N107" s="221"/>
      <c r="O107" s="122">
        <f t="shared" si="59"/>
        <v>23.795999999999964</v>
      </c>
      <c r="P107" s="123">
        <f t="shared" si="60"/>
        <v>10.047501425042736</v>
      </c>
      <c r="Q107" s="114">
        <f>29.894+33.63+4+7+8.629+29.998+40.6+106.88</f>
        <v>260.63099999999997</v>
      </c>
      <c r="S107">
        <f t="shared" si="49"/>
        <v>131.57500000000002</v>
      </c>
      <c r="T107" s="44">
        <f>E107+апр!I107</f>
        <v>131.66499999999999</v>
      </c>
      <c r="U107" s="30">
        <f>F107+апр!J107</f>
        <v>123.75300000000001</v>
      </c>
    </row>
    <row r="108" spans="1:21" ht="35.25" customHeight="1">
      <c r="A108" s="8" t="s">
        <v>103</v>
      </c>
      <c r="B108" s="20" t="s">
        <v>104</v>
      </c>
      <c r="C108" s="8" t="s">
        <v>4</v>
      </c>
      <c r="D108" s="10">
        <v>0</v>
      </c>
      <c r="E108" s="8"/>
      <c r="F108" s="8">
        <v>63.7</v>
      </c>
      <c r="G108" s="10">
        <f t="shared" si="52"/>
        <v>63.7</v>
      </c>
      <c r="H108" s="10">
        <f>D108+апр!H108</f>
        <v>0</v>
      </c>
      <c r="I108" s="8">
        <f>E108+март!I108</f>
        <v>0</v>
      </c>
      <c r="J108" s="10">
        <f>F108+август!J108</f>
        <v>63.7</v>
      </c>
      <c r="K108" s="10">
        <f t="shared" si="53"/>
        <v>63.7</v>
      </c>
      <c r="L108" s="16" t="e">
        <f t="shared" si="58"/>
        <v>#DIV/0!</v>
      </c>
      <c r="M108" s="220"/>
      <c r="N108" s="221"/>
      <c r="O108" s="122">
        <f t="shared" si="59"/>
        <v>63.7</v>
      </c>
      <c r="P108" s="123" t="e">
        <f t="shared" si="60"/>
        <v>#DIV/0!</v>
      </c>
      <c r="Q108" s="114"/>
      <c r="S108">
        <f t="shared" si="49"/>
        <v>0</v>
      </c>
      <c r="T108" s="44">
        <f>E108+апр!I108</f>
        <v>0</v>
      </c>
      <c r="U108" s="30">
        <f>F108+апр!J108</f>
        <v>63.7</v>
      </c>
    </row>
    <row r="109" spans="1:21" ht="17.25" customHeight="1">
      <c r="A109" s="18" t="s">
        <v>246</v>
      </c>
      <c r="B109" s="20" t="s">
        <v>106</v>
      </c>
      <c r="C109" s="8" t="s">
        <v>4</v>
      </c>
      <c r="D109" s="10">
        <v>91.483999999999995</v>
      </c>
      <c r="E109" s="8">
        <v>58.167000000000002</v>
      </c>
      <c r="F109" s="55">
        <f>7.603+17.616+4.781</f>
        <v>30</v>
      </c>
      <c r="G109" s="10">
        <f t="shared" si="52"/>
        <v>-28.167000000000002</v>
      </c>
      <c r="H109" s="10">
        <f>D109+август!H109</f>
        <v>823.35600000000011</v>
      </c>
      <c r="I109" s="8">
        <f>E109+август!I109</f>
        <v>523.50300000000016</v>
      </c>
      <c r="J109" s="10">
        <f>136.862+180.262+3.548+38.408+0.3-1</f>
        <v>358.38000000000005</v>
      </c>
      <c r="K109" s="10">
        <f t="shared" si="53"/>
        <v>-165.1230000000001</v>
      </c>
      <c r="L109" s="16">
        <f t="shared" si="58"/>
        <v>-31.541939587738767</v>
      </c>
      <c r="M109" s="220"/>
      <c r="N109" s="221"/>
      <c r="O109" s="122">
        <f t="shared" si="59"/>
        <v>-464.97600000000006</v>
      </c>
      <c r="P109" s="123">
        <f t="shared" si="60"/>
        <v>-56.473263084255166</v>
      </c>
      <c r="Q109" s="114">
        <f>136.862+2.548+38.408+0.3+180.262</f>
        <v>358.38</v>
      </c>
      <c r="S109">
        <f t="shared" si="49"/>
        <v>457.41999999999996</v>
      </c>
      <c r="T109" s="44">
        <f>E109+апр!I109</f>
        <v>290.83500000000004</v>
      </c>
      <c r="U109" s="30">
        <f>F109+апр!J109</f>
        <v>176.83699999999999</v>
      </c>
    </row>
    <row r="110" spans="1:21" ht="17.25" customHeight="1">
      <c r="A110" s="17" t="s">
        <v>247</v>
      </c>
      <c r="B110" s="6" t="s">
        <v>107</v>
      </c>
      <c r="C110" s="8" t="s">
        <v>4</v>
      </c>
      <c r="D110" s="10">
        <f>D111+D115+D119+D123+D124+D125+D126+D127+D128+D129+D130+D131+D132+D133+D134+D135</f>
        <v>1562.1809999999998</v>
      </c>
      <c r="E110" s="10">
        <f>E111+E115+E119+E123+E124+E125+E126+E127+E128+E129+E130+E131+E132+E133+E134+E135+E136+E137</f>
        <v>1699.25</v>
      </c>
      <c r="F110" s="10">
        <f>F111+F115+F119+F123+F124+F125+F126+F127+F128+F129+F130+F131+F132+F133+F134+F135+F136+F137+F138+F139+F140+F141+F142</f>
        <v>2658.6970000000001</v>
      </c>
      <c r="G110" s="10">
        <f t="shared" si="52"/>
        <v>959.44700000000012</v>
      </c>
      <c r="H110" s="10">
        <f>H111+H115+H119+H123+H124+H125+H126+H127+H128+H129+H130+H131+H132+H133+H134+H135</f>
        <v>14059.629000000001</v>
      </c>
      <c r="I110" s="10">
        <f>I111+I115+I119+I123+I124+I125+I126+I127+I128+I129+I130+I131+I132+I133+I134+I135+I136+I137</f>
        <v>15293.25</v>
      </c>
      <c r="J110" s="10">
        <f>J111+J115+J119+J123+J124+J125+J126+J127+J128+J129+J130+J131+J132+J133+J134+J135+J136+J137+J138+J139+J140+J141+J142+J143+J144</f>
        <v>17900.743499999997</v>
      </c>
      <c r="K110" s="10">
        <f t="shared" si="53"/>
        <v>2607.4934999999969</v>
      </c>
      <c r="L110" s="16">
        <f t="shared" si="58"/>
        <v>17.049963219067216</v>
      </c>
      <c r="M110" s="226"/>
      <c r="N110" s="221"/>
      <c r="O110" s="122">
        <f t="shared" si="59"/>
        <v>3841.114499999996</v>
      </c>
      <c r="P110" s="123">
        <f t="shared" si="60"/>
        <v>27.320169685843034</v>
      </c>
      <c r="Q110" s="114"/>
      <c r="S110">
        <f t="shared" si="49"/>
        <v>7810.9049999999988</v>
      </c>
      <c r="T110" s="44">
        <f>E110+апр!I110</f>
        <v>8496.25</v>
      </c>
      <c r="U110" s="30">
        <f>F110+апр!J110</f>
        <v>9314.7665000000015</v>
      </c>
    </row>
    <row r="111" spans="1:21" ht="18" customHeight="1">
      <c r="A111" s="18" t="s">
        <v>248</v>
      </c>
      <c r="B111" s="9" t="s">
        <v>108</v>
      </c>
      <c r="C111" s="8" t="s">
        <v>4</v>
      </c>
      <c r="D111" s="10">
        <v>431.38099999999997</v>
      </c>
      <c r="E111" s="8">
        <v>431.41699999999997</v>
      </c>
      <c r="F111" s="10">
        <f>F112+F113+F114</f>
        <v>606.01</v>
      </c>
      <c r="G111" s="10">
        <f t="shared" si="52"/>
        <v>174.59300000000002</v>
      </c>
      <c r="H111" s="10">
        <f>D111+август!H111</f>
        <v>3882.4289999999992</v>
      </c>
      <c r="I111" s="8">
        <f>E111+август!I111</f>
        <v>3882.7529999999997</v>
      </c>
      <c r="J111" s="10">
        <f>J112+J113+J114</f>
        <v>3319.971</v>
      </c>
      <c r="K111" s="10">
        <f t="shared" si="53"/>
        <v>-562.7819999999997</v>
      </c>
      <c r="L111" s="16">
        <f t="shared" si="58"/>
        <v>-14.494406417302356</v>
      </c>
      <c r="M111" s="231"/>
      <c r="N111" s="232"/>
      <c r="O111" s="122">
        <f t="shared" si="59"/>
        <v>-562.45799999999917</v>
      </c>
      <c r="P111" s="123">
        <f t="shared" si="60"/>
        <v>-14.487270726650747</v>
      </c>
      <c r="Q111" s="117"/>
      <c r="S111">
        <f t="shared" si="49"/>
        <v>2156.9049999999997</v>
      </c>
      <c r="T111" s="44">
        <f>E111+апр!I111</f>
        <v>2157.085</v>
      </c>
      <c r="U111" s="30">
        <f>F111+апр!J111</f>
        <v>1794.6409999999998</v>
      </c>
    </row>
    <row r="112" spans="1:21" ht="17.25" customHeight="1">
      <c r="A112" s="18"/>
      <c r="B112" s="9" t="s">
        <v>221</v>
      </c>
      <c r="C112" s="8" t="s">
        <v>4</v>
      </c>
      <c r="D112" s="10"/>
      <c r="E112" s="8"/>
      <c r="F112" s="54">
        <v>582.01</v>
      </c>
      <c r="G112" s="10">
        <f t="shared" si="52"/>
        <v>582.01</v>
      </c>
      <c r="H112" s="10">
        <f>D112+август!H112</f>
        <v>0</v>
      </c>
      <c r="I112" s="8"/>
      <c r="J112" s="10">
        <v>2958.15</v>
      </c>
      <c r="K112" s="10">
        <f t="shared" si="53"/>
        <v>2958.15</v>
      </c>
      <c r="L112" s="16"/>
      <c r="M112" s="220"/>
      <c r="N112" s="221"/>
      <c r="O112" s="122">
        <f t="shared" si="59"/>
        <v>2958.15</v>
      </c>
      <c r="P112" s="123" t="e">
        <f t="shared" si="60"/>
        <v>#DIV/0!</v>
      </c>
      <c r="Q112" s="114"/>
      <c r="S112">
        <f t="shared" si="49"/>
        <v>0</v>
      </c>
      <c r="T112" s="44">
        <f>E112+апр!I112</f>
        <v>0</v>
      </c>
      <c r="U112" s="30">
        <f>F112+апр!J112</f>
        <v>1548.82</v>
      </c>
    </row>
    <row r="113" spans="1:21" ht="36" customHeight="1">
      <c r="A113" s="18"/>
      <c r="B113" s="9" t="s">
        <v>222</v>
      </c>
      <c r="C113" s="8" t="s">
        <v>4</v>
      </c>
      <c r="D113" s="10"/>
      <c r="E113" s="8"/>
      <c r="F113" s="10">
        <v>24</v>
      </c>
      <c r="G113" s="10">
        <f t="shared" si="52"/>
        <v>24</v>
      </c>
      <c r="H113" s="10">
        <f>D113+август!H113</f>
        <v>0</v>
      </c>
      <c r="I113" s="8"/>
      <c r="J113" s="10">
        <v>361.82100000000003</v>
      </c>
      <c r="K113" s="10">
        <f t="shared" si="53"/>
        <v>361.82100000000003</v>
      </c>
      <c r="L113" s="16"/>
      <c r="M113" s="220"/>
      <c r="N113" s="221"/>
      <c r="O113" s="122">
        <f t="shared" si="59"/>
        <v>361.82100000000003</v>
      </c>
      <c r="P113" s="123" t="e">
        <f t="shared" si="60"/>
        <v>#DIV/0!</v>
      </c>
      <c r="Q113" s="114"/>
      <c r="S113">
        <f t="shared" si="49"/>
        <v>0</v>
      </c>
      <c r="T113" s="44">
        <f>E113+апр!I113</f>
        <v>0</v>
      </c>
      <c r="U113" s="30">
        <f>F113+апр!J113</f>
        <v>245.821</v>
      </c>
    </row>
    <row r="114" spans="1:21" ht="17.25" customHeight="1">
      <c r="A114" s="18"/>
      <c r="B114" s="9" t="s">
        <v>223</v>
      </c>
      <c r="C114" s="8" t="s">
        <v>4</v>
      </c>
      <c r="D114" s="10"/>
      <c r="E114" s="8"/>
      <c r="F114" s="8"/>
      <c r="G114" s="10">
        <f t="shared" si="52"/>
        <v>0</v>
      </c>
      <c r="H114" s="10">
        <f>D114+август!H114</f>
        <v>0</v>
      </c>
      <c r="I114" s="8"/>
      <c r="J114" s="10">
        <f>F114+август!J114</f>
        <v>0</v>
      </c>
      <c r="K114" s="10">
        <f t="shared" si="53"/>
        <v>0</v>
      </c>
      <c r="L114" s="16"/>
      <c r="M114" s="220"/>
      <c r="N114" s="221"/>
      <c r="O114" s="122">
        <f t="shared" si="59"/>
        <v>0</v>
      </c>
      <c r="P114" s="123" t="e">
        <f t="shared" si="60"/>
        <v>#DIV/0!</v>
      </c>
      <c r="Q114" s="114"/>
      <c r="S114">
        <f t="shared" si="49"/>
        <v>0</v>
      </c>
      <c r="T114" s="44">
        <f>E114+апр!I114</f>
        <v>0</v>
      </c>
      <c r="U114" s="30">
        <f>F114+апр!J114</f>
        <v>0</v>
      </c>
    </row>
    <row r="115" spans="1:21" ht="17.25" customHeight="1">
      <c r="A115" s="18" t="s">
        <v>249</v>
      </c>
      <c r="B115" s="9" t="s">
        <v>109</v>
      </c>
      <c r="C115" s="8" t="s">
        <v>4</v>
      </c>
      <c r="D115" s="10">
        <f t="shared" ref="D115" si="68">D116+D117+D118</f>
        <v>121.34400000000001</v>
      </c>
      <c r="E115" s="10">
        <v>121.333</v>
      </c>
      <c r="F115" s="10"/>
      <c r="G115" s="10">
        <f t="shared" si="52"/>
        <v>-121.333</v>
      </c>
      <c r="H115" s="10">
        <f t="shared" ref="H115" si="69">H116+H117+H118</f>
        <v>1092.096</v>
      </c>
      <c r="I115" s="8">
        <f>E115+август!I115</f>
        <v>1091.9969999999998</v>
      </c>
      <c r="J115" s="10">
        <f t="shared" ref="J115" si="70">J116+J117+J118</f>
        <v>368</v>
      </c>
      <c r="K115" s="10">
        <f t="shared" si="53"/>
        <v>-723.99699999999984</v>
      </c>
      <c r="L115" s="16">
        <f t="shared" si="58"/>
        <v>-66.30027371870068</v>
      </c>
      <c r="M115" s="220"/>
      <c r="N115" s="221"/>
      <c r="O115" s="122">
        <f t="shared" si="59"/>
        <v>-724.096</v>
      </c>
      <c r="P115" s="123">
        <f t="shared" si="60"/>
        <v>-66.303328645100805</v>
      </c>
      <c r="Q115" s="114"/>
      <c r="S115">
        <f t="shared" si="49"/>
        <v>606.72</v>
      </c>
      <c r="T115" s="44">
        <f>E115+апр!I115</f>
        <v>606.66499999999996</v>
      </c>
      <c r="U115" s="30">
        <f>F115+апр!J115</f>
        <v>0</v>
      </c>
    </row>
    <row r="116" spans="1:21" ht="36" customHeight="1">
      <c r="A116" s="8" t="s">
        <v>250</v>
      </c>
      <c r="B116" s="9" t="s">
        <v>240</v>
      </c>
      <c r="C116" s="8" t="s">
        <v>4</v>
      </c>
      <c r="D116" s="10">
        <v>86.322000000000003</v>
      </c>
      <c r="E116" s="8"/>
      <c r="F116" s="8"/>
      <c r="G116" s="10">
        <f t="shared" si="52"/>
        <v>0</v>
      </c>
      <c r="H116" s="10">
        <f>D116+август!H116</f>
        <v>776.89800000000002</v>
      </c>
      <c r="I116" s="8"/>
      <c r="J116" s="10">
        <f>F116+август!J116</f>
        <v>0</v>
      </c>
      <c r="K116" s="10">
        <f t="shared" si="53"/>
        <v>0</v>
      </c>
      <c r="L116" s="16"/>
      <c r="M116" s="220"/>
      <c r="N116" s="221"/>
      <c r="O116" s="122">
        <f t="shared" si="59"/>
        <v>-776.89800000000002</v>
      </c>
      <c r="P116" s="123">
        <f t="shared" si="60"/>
        <v>-100</v>
      </c>
      <c r="Q116" s="114"/>
      <c r="S116">
        <f t="shared" si="49"/>
        <v>431.61</v>
      </c>
      <c r="T116" s="44">
        <f>E116+апр!I116</f>
        <v>0</v>
      </c>
      <c r="U116" s="30">
        <f>F116+апр!J116</f>
        <v>0</v>
      </c>
    </row>
    <row r="117" spans="1:21" ht="42.75" customHeight="1">
      <c r="A117" s="8" t="s">
        <v>251</v>
      </c>
      <c r="B117" s="9" t="s">
        <v>241</v>
      </c>
      <c r="C117" s="8" t="s">
        <v>4</v>
      </c>
      <c r="D117" s="10">
        <v>31.76</v>
      </c>
      <c r="E117" s="8"/>
      <c r="F117" s="8"/>
      <c r="G117" s="10">
        <f t="shared" si="52"/>
        <v>0</v>
      </c>
      <c r="H117" s="10">
        <f>D117+август!H117</f>
        <v>285.83999999999997</v>
      </c>
      <c r="I117" s="8"/>
      <c r="J117" s="10">
        <v>368</v>
      </c>
      <c r="K117" s="10">
        <f t="shared" si="53"/>
        <v>368</v>
      </c>
      <c r="L117" s="16"/>
      <c r="M117" s="220"/>
      <c r="N117" s="221"/>
      <c r="O117" s="122">
        <f t="shared" si="59"/>
        <v>82.160000000000025</v>
      </c>
      <c r="P117" s="123">
        <f t="shared" si="60"/>
        <v>28.74335292471314</v>
      </c>
      <c r="Q117" s="114"/>
      <c r="S117">
        <f t="shared" si="49"/>
        <v>158.80000000000001</v>
      </c>
      <c r="T117" s="44">
        <f>E117+апр!I117</f>
        <v>0</v>
      </c>
      <c r="U117" s="30">
        <f>F117+апр!J117</f>
        <v>0</v>
      </c>
    </row>
    <row r="118" spans="1:21" ht="17.25" customHeight="1">
      <c r="A118" s="8" t="s">
        <v>252</v>
      </c>
      <c r="B118" s="9" t="s">
        <v>110</v>
      </c>
      <c r="C118" s="8" t="s">
        <v>4</v>
      </c>
      <c r="D118" s="10">
        <v>3.262</v>
      </c>
      <c r="E118" s="8"/>
      <c r="F118" s="8"/>
      <c r="G118" s="10">
        <f t="shared" si="52"/>
        <v>0</v>
      </c>
      <c r="H118" s="10">
        <f>D118+август!H118</f>
        <v>29.358000000000001</v>
      </c>
      <c r="I118" s="8"/>
      <c r="J118" s="10">
        <f>F118+август!J118</f>
        <v>0</v>
      </c>
      <c r="K118" s="10">
        <f t="shared" si="53"/>
        <v>0</v>
      </c>
      <c r="L118" s="16"/>
      <c r="M118" s="220"/>
      <c r="N118" s="221"/>
      <c r="O118" s="122">
        <f t="shared" si="59"/>
        <v>-29.358000000000001</v>
      </c>
      <c r="P118" s="123">
        <f t="shared" si="60"/>
        <v>-100</v>
      </c>
      <c r="Q118" s="114"/>
      <c r="S118">
        <f t="shared" si="49"/>
        <v>16.309999999999999</v>
      </c>
      <c r="T118" s="44">
        <f>E118+апр!I118</f>
        <v>0</v>
      </c>
      <c r="U118" s="30">
        <f>F118+апр!J118</f>
        <v>0</v>
      </c>
    </row>
    <row r="119" spans="1:21" ht="34.5" customHeight="1">
      <c r="A119" s="18" t="s">
        <v>253</v>
      </c>
      <c r="B119" s="9" t="s">
        <v>111</v>
      </c>
      <c r="C119" s="8" t="s">
        <v>4</v>
      </c>
      <c r="D119" s="10">
        <f>D120</f>
        <v>380.84899999999999</v>
      </c>
      <c r="E119" s="10">
        <v>356.5</v>
      </c>
      <c r="F119" s="10">
        <f>F120</f>
        <v>499.91500000000002</v>
      </c>
      <c r="G119" s="10">
        <f t="shared" si="52"/>
        <v>143.41500000000002</v>
      </c>
      <c r="H119" s="10">
        <f>H120</f>
        <v>3427.6410000000005</v>
      </c>
      <c r="I119" s="8">
        <f>E119+август!I119</f>
        <v>3208.5</v>
      </c>
      <c r="J119" s="10">
        <f>J120</f>
        <v>3483.8015</v>
      </c>
      <c r="K119" s="10">
        <f t="shared" si="53"/>
        <v>275.30150000000003</v>
      </c>
      <c r="L119" s="16">
        <f t="shared" si="58"/>
        <v>8.5803802399875337</v>
      </c>
      <c r="M119" s="220"/>
      <c r="N119" s="221"/>
      <c r="O119" s="122">
        <f t="shared" si="59"/>
        <v>56.160499999999502</v>
      </c>
      <c r="P119" s="123">
        <f t="shared" si="60"/>
        <v>1.6384592202042014</v>
      </c>
      <c r="Q119" s="114"/>
      <c r="S119">
        <f t="shared" si="49"/>
        <v>1904.2449999999999</v>
      </c>
      <c r="T119" s="44">
        <f>E119+апр!I119</f>
        <v>1782.5</v>
      </c>
      <c r="U119" s="30">
        <f>F119+апр!J119</f>
        <v>1826.7565</v>
      </c>
    </row>
    <row r="120" spans="1:21" ht="17.25" customHeight="1">
      <c r="A120" s="8"/>
      <c r="B120" s="25" t="s">
        <v>112</v>
      </c>
      <c r="C120" s="8" t="s">
        <v>113</v>
      </c>
      <c r="D120" s="10">
        <v>380.84899999999999</v>
      </c>
      <c r="E120" s="10">
        <f>E122*E121</f>
        <v>356.5</v>
      </c>
      <c r="F120" s="54">
        <f>F122*F121</f>
        <v>499.91500000000002</v>
      </c>
      <c r="G120" s="10">
        <f t="shared" si="52"/>
        <v>143.41500000000002</v>
      </c>
      <c r="H120" s="10">
        <f>D120+август!H120</f>
        <v>3427.6410000000005</v>
      </c>
      <c r="I120" s="8">
        <f>E120+август!I120</f>
        <v>3208.5</v>
      </c>
      <c r="J120" s="10">
        <f>F120+август!J120</f>
        <v>3483.8015</v>
      </c>
      <c r="K120" s="10">
        <f t="shared" si="53"/>
        <v>275.30150000000003</v>
      </c>
      <c r="L120" s="16">
        <f t="shared" si="58"/>
        <v>8.5803802399875337</v>
      </c>
      <c r="M120" s="220"/>
      <c r="N120" s="221"/>
      <c r="O120" s="122">
        <f t="shared" si="59"/>
        <v>56.160499999999502</v>
      </c>
      <c r="P120" s="123">
        <f t="shared" si="60"/>
        <v>1.6384592202042014</v>
      </c>
      <c r="Q120" s="114"/>
      <c r="S120">
        <f t="shared" si="49"/>
        <v>1904.2449999999999</v>
      </c>
      <c r="T120" s="44">
        <f>E120+апр!I120</f>
        <v>1782.5</v>
      </c>
      <c r="U120" s="30">
        <f>F120+апр!J120</f>
        <v>1826.7565</v>
      </c>
    </row>
    <row r="121" spans="1:21" ht="17.25" customHeight="1">
      <c r="A121" s="8"/>
      <c r="B121" s="12" t="s">
        <v>13</v>
      </c>
      <c r="C121" s="13" t="s">
        <v>114</v>
      </c>
      <c r="D121" s="10">
        <v>761.69899999999996</v>
      </c>
      <c r="E121" s="16">
        <f>E119/E122</f>
        <v>713</v>
      </c>
      <c r="F121" s="10">
        <f>F218</f>
        <v>999.83</v>
      </c>
      <c r="G121" s="10">
        <f t="shared" si="52"/>
        <v>286.83000000000004</v>
      </c>
      <c r="H121" s="10">
        <f>D121+август!H121</f>
        <v>6855.2909999999983</v>
      </c>
      <c r="I121" s="8">
        <f>E121+август!I121</f>
        <v>6417</v>
      </c>
      <c r="J121" s="10">
        <f>F121+август!J121</f>
        <v>6967.6019999999999</v>
      </c>
      <c r="K121" s="10">
        <f t="shared" si="53"/>
        <v>550.60199999999986</v>
      </c>
      <c r="L121" s="16">
        <f t="shared" si="58"/>
        <v>8.5803646563814837</v>
      </c>
      <c r="M121" s="220"/>
      <c r="N121" s="221"/>
      <c r="O121" s="122">
        <f t="shared" si="59"/>
        <v>112.31100000000151</v>
      </c>
      <c r="P121" s="123">
        <f t="shared" si="60"/>
        <v>1.6383111964175052</v>
      </c>
      <c r="Q121" s="114"/>
      <c r="S121">
        <f t="shared" si="49"/>
        <v>3808.4949999999999</v>
      </c>
      <c r="T121" s="44">
        <f>E121+апр!I121</f>
        <v>3565</v>
      </c>
      <c r="U121" s="30">
        <f>F121+апр!J121</f>
        <v>3653.5120000000002</v>
      </c>
    </row>
    <row r="122" spans="1:21" ht="17.25" customHeight="1">
      <c r="A122" s="8"/>
      <c r="B122" s="12" t="s">
        <v>15</v>
      </c>
      <c r="C122" s="13" t="s">
        <v>16</v>
      </c>
      <c r="D122" s="11">
        <v>0.5</v>
      </c>
      <c r="E122" s="11">
        <v>0.5</v>
      </c>
      <c r="F122" s="11">
        <v>0.5</v>
      </c>
      <c r="G122" s="10">
        <f t="shared" si="52"/>
        <v>0</v>
      </c>
      <c r="H122" s="10">
        <f>D122+август!H122</f>
        <v>2.5</v>
      </c>
      <c r="I122" s="11">
        <v>0.5</v>
      </c>
      <c r="J122" s="11">
        <v>0.5</v>
      </c>
      <c r="K122" s="10">
        <f t="shared" si="53"/>
        <v>0</v>
      </c>
      <c r="L122" s="16">
        <f t="shared" si="58"/>
        <v>0</v>
      </c>
      <c r="M122" s="220"/>
      <c r="N122" s="221"/>
      <c r="O122" s="122">
        <f t="shared" si="59"/>
        <v>-2</v>
      </c>
      <c r="P122" s="123">
        <f t="shared" si="60"/>
        <v>-80</v>
      </c>
      <c r="Q122" s="114"/>
      <c r="S122">
        <f t="shared" si="49"/>
        <v>2.5</v>
      </c>
      <c r="T122" s="44">
        <f>E122+апр!I122</f>
        <v>1</v>
      </c>
      <c r="U122" s="30">
        <f>F122+апр!J122</f>
        <v>1</v>
      </c>
    </row>
    <row r="123" spans="1:21" ht="17.25" customHeight="1">
      <c r="A123" s="18" t="s">
        <v>254</v>
      </c>
      <c r="B123" s="9" t="s">
        <v>115</v>
      </c>
      <c r="C123" s="8" t="s">
        <v>4</v>
      </c>
      <c r="D123" s="10">
        <v>1.1120000000000001</v>
      </c>
      <c r="E123" s="8">
        <v>1.083</v>
      </c>
      <c r="F123" s="8"/>
      <c r="G123" s="10">
        <f t="shared" si="52"/>
        <v>-1.083</v>
      </c>
      <c r="H123" s="10">
        <f>D123+август!H123</f>
        <v>10.008000000000001</v>
      </c>
      <c r="I123" s="8">
        <f>E123+август!I123</f>
        <v>9.7469999999999999</v>
      </c>
      <c r="J123" s="10">
        <f>F123+август!J123</f>
        <v>0</v>
      </c>
      <c r="K123" s="10">
        <f t="shared" si="53"/>
        <v>-9.7469999999999999</v>
      </c>
      <c r="L123" s="16">
        <f t="shared" si="58"/>
        <v>-100</v>
      </c>
      <c r="M123" s="220"/>
      <c r="N123" s="221"/>
      <c r="O123" s="122">
        <f t="shared" si="59"/>
        <v>-10.008000000000001</v>
      </c>
      <c r="P123" s="123">
        <f t="shared" si="60"/>
        <v>-100</v>
      </c>
      <c r="Q123" s="114"/>
      <c r="S123">
        <f t="shared" si="49"/>
        <v>5.5600000000000005</v>
      </c>
      <c r="T123" s="44">
        <f>E123+апр!I123</f>
        <v>5.415</v>
      </c>
      <c r="U123" s="30">
        <f>F123+апр!J123</f>
        <v>0</v>
      </c>
    </row>
    <row r="124" spans="1:21" ht="36" customHeight="1">
      <c r="A124" s="18" t="s">
        <v>255</v>
      </c>
      <c r="B124" s="9" t="s">
        <v>116</v>
      </c>
      <c r="C124" s="8" t="s">
        <v>4</v>
      </c>
      <c r="D124" s="10">
        <v>53.17</v>
      </c>
      <c r="E124" s="8">
        <v>52.167000000000002</v>
      </c>
      <c r="F124" s="54">
        <v>45</v>
      </c>
      <c r="G124" s="10">
        <f t="shared" si="52"/>
        <v>-7.1670000000000016</v>
      </c>
      <c r="H124" s="10">
        <f>D124+август!H124</f>
        <v>478.53000000000009</v>
      </c>
      <c r="I124" s="8">
        <f>E124+август!I124</f>
        <v>469.50300000000016</v>
      </c>
      <c r="J124" s="10">
        <f>F124+август!J124</f>
        <v>405</v>
      </c>
      <c r="K124" s="10">
        <f t="shared" si="53"/>
        <v>-64.503000000000156</v>
      </c>
      <c r="L124" s="16">
        <f t="shared" si="58"/>
        <v>-13.738570360572805</v>
      </c>
      <c r="M124" s="220"/>
      <c r="N124" s="221"/>
      <c r="O124" s="122">
        <f t="shared" si="59"/>
        <v>-73.530000000000086</v>
      </c>
      <c r="P124" s="123">
        <f t="shared" si="60"/>
        <v>-15.365807786345698</v>
      </c>
      <c r="Q124" s="114"/>
      <c r="S124">
        <f t="shared" si="49"/>
        <v>265.85000000000002</v>
      </c>
      <c r="T124" s="44">
        <f>E124+апр!I124</f>
        <v>260.83500000000004</v>
      </c>
      <c r="U124" s="30">
        <f>F124+апр!J124</f>
        <v>225</v>
      </c>
    </row>
    <row r="125" spans="1:21" ht="41.25" customHeight="1">
      <c r="A125" s="18" t="s">
        <v>256</v>
      </c>
      <c r="B125" s="9" t="s">
        <v>117</v>
      </c>
      <c r="C125" s="8" t="s">
        <v>4</v>
      </c>
      <c r="D125" s="10">
        <v>411.35</v>
      </c>
      <c r="E125" s="8">
        <v>411.33300000000003</v>
      </c>
      <c r="F125" s="55">
        <f>254.739+180.113</f>
        <v>434.85199999999998</v>
      </c>
      <c r="G125" s="10">
        <f t="shared" si="52"/>
        <v>23.518999999999949</v>
      </c>
      <c r="H125" s="10">
        <f>D125+август!H125</f>
        <v>3702.1499999999996</v>
      </c>
      <c r="I125" s="8">
        <f>E125+август!I125</f>
        <v>3701.9970000000003</v>
      </c>
      <c r="J125" s="10">
        <f>F125+август!J125</f>
        <v>4513.674</v>
      </c>
      <c r="K125" s="10">
        <f t="shared" si="53"/>
        <v>811.67699999999968</v>
      </c>
      <c r="L125" s="16">
        <f t="shared" si="58"/>
        <v>21.925382435480085</v>
      </c>
      <c r="M125" s="222" t="s">
        <v>294</v>
      </c>
      <c r="N125" s="223"/>
      <c r="O125" s="122">
        <f t="shared" si="59"/>
        <v>811.52400000000034</v>
      </c>
      <c r="P125" s="123">
        <f t="shared" si="60"/>
        <v>21.920343584133555</v>
      </c>
      <c r="Q125" s="115">
        <f>2642.333+1871.34</f>
        <v>4513.6729999999998</v>
      </c>
      <c r="S125">
        <f t="shared" si="49"/>
        <v>2056.75</v>
      </c>
      <c r="T125" s="44">
        <f>E125+апр!I125</f>
        <v>2056.665</v>
      </c>
      <c r="U125" s="30">
        <f>F125+апр!J125</f>
        <v>2662.2280000000001</v>
      </c>
    </row>
    <row r="126" spans="1:21" ht="55.5" customHeight="1">
      <c r="A126" s="18" t="s">
        <v>257</v>
      </c>
      <c r="B126" s="9" t="s">
        <v>118</v>
      </c>
      <c r="C126" s="8" t="s">
        <v>4</v>
      </c>
      <c r="D126" s="10">
        <v>48.704000000000001</v>
      </c>
      <c r="E126" s="8">
        <v>48.667000000000002</v>
      </c>
      <c r="F126" s="54"/>
      <c r="G126" s="10">
        <f t="shared" si="52"/>
        <v>-48.667000000000002</v>
      </c>
      <c r="H126" s="10">
        <f>D126+август!H126</f>
        <v>438.33600000000001</v>
      </c>
      <c r="I126" s="8">
        <f>E126+август!I126</f>
        <v>438.00300000000004</v>
      </c>
      <c r="J126" s="10">
        <f>F126+август!J126</f>
        <v>424.74</v>
      </c>
      <c r="K126" s="10">
        <f t="shared" si="53"/>
        <v>-13.263000000000034</v>
      </c>
      <c r="L126" s="16">
        <f t="shared" si="58"/>
        <v>-3.0280614516339002</v>
      </c>
      <c r="M126" s="220"/>
      <c r="N126" s="221"/>
      <c r="O126" s="122">
        <f t="shared" si="59"/>
        <v>-13.596000000000004</v>
      </c>
      <c r="P126" s="123">
        <f t="shared" si="60"/>
        <v>-3.1017301795882619</v>
      </c>
      <c r="Q126" s="114"/>
      <c r="S126">
        <f t="shared" si="49"/>
        <v>243.52</v>
      </c>
      <c r="T126" s="44">
        <f>E126+апр!I126</f>
        <v>243.33500000000001</v>
      </c>
      <c r="U126" s="30">
        <f>F126+апр!J126</f>
        <v>212.34</v>
      </c>
    </row>
    <row r="127" spans="1:21" ht="17.25" customHeight="1">
      <c r="A127" s="18" t="s">
        <v>258</v>
      </c>
      <c r="B127" s="9" t="s">
        <v>119</v>
      </c>
      <c r="C127" s="8" t="s">
        <v>4</v>
      </c>
      <c r="D127" s="10">
        <v>38.012999999999998</v>
      </c>
      <c r="E127" s="8">
        <v>38</v>
      </c>
      <c r="F127" s="54"/>
      <c r="G127" s="10">
        <f t="shared" si="52"/>
        <v>-38</v>
      </c>
      <c r="H127" s="10">
        <f>D127+август!H127</f>
        <v>342.11699999999996</v>
      </c>
      <c r="I127" s="8">
        <f>E127+август!I127</f>
        <v>342</v>
      </c>
      <c r="J127" s="10">
        <f>F127+август!J127</f>
        <v>210</v>
      </c>
      <c r="K127" s="10">
        <f t="shared" si="53"/>
        <v>-132</v>
      </c>
      <c r="L127" s="16">
        <f t="shared" si="58"/>
        <v>-38.596491228070171</v>
      </c>
      <c r="M127" s="220"/>
      <c r="N127" s="221"/>
      <c r="O127" s="122">
        <f t="shared" si="59"/>
        <v>-132.11699999999996</v>
      </c>
      <c r="P127" s="123">
        <f t="shared" si="60"/>
        <v>-38.617490507633349</v>
      </c>
      <c r="Q127" s="114"/>
      <c r="S127">
        <f t="shared" si="49"/>
        <v>190.065</v>
      </c>
      <c r="T127" s="44">
        <f>E127+апр!I127</f>
        <v>190</v>
      </c>
      <c r="U127" s="30">
        <f>F127+апр!J127</f>
        <v>105</v>
      </c>
    </row>
    <row r="128" spans="1:21" ht="54" customHeight="1">
      <c r="A128" s="18" t="s">
        <v>259</v>
      </c>
      <c r="B128" s="9" t="s">
        <v>120</v>
      </c>
      <c r="C128" s="8" t="s">
        <v>4</v>
      </c>
      <c r="D128" s="10"/>
      <c r="E128" s="8"/>
      <c r="F128" s="8"/>
      <c r="G128" s="10">
        <f t="shared" si="52"/>
        <v>0</v>
      </c>
      <c r="H128" s="10">
        <f>D128+август!H128</f>
        <v>0</v>
      </c>
      <c r="I128" s="8">
        <f>E128+август!I128</f>
        <v>0</v>
      </c>
      <c r="J128" s="10"/>
      <c r="K128" s="10">
        <f t="shared" si="53"/>
        <v>0</v>
      </c>
      <c r="L128" s="16" t="e">
        <f t="shared" si="58"/>
        <v>#DIV/0!</v>
      </c>
      <c r="M128" s="220"/>
      <c r="N128" s="221"/>
      <c r="O128" s="122">
        <f t="shared" si="59"/>
        <v>0</v>
      </c>
      <c r="P128" s="123" t="e">
        <f t="shared" si="60"/>
        <v>#DIV/0!</v>
      </c>
      <c r="Q128" s="114"/>
      <c r="S128">
        <f t="shared" si="49"/>
        <v>0</v>
      </c>
      <c r="T128" s="44">
        <f>E128+апр!I128</f>
        <v>0</v>
      </c>
      <c r="U128" s="30">
        <f>F128+апр!J128</f>
        <v>640.45500000000004</v>
      </c>
    </row>
    <row r="129" spans="1:21" ht="34.5" hidden="1" customHeight="1">
      <c r="A129" s="18" t="s">
        <v>121</v>
      </c>
      <c r="B129" s="9" t="s">
        <v>218</v>
      </c>
      <c r="C129" s="8" t="s">
        <v>4</v>
      </c>
      <c r="D129" s="10">
        <v>0</v>
      </c>
      <c r="E129" s="8"/>
      <c r="F129" s="8"/>
      <c r="G129" s="10">
        <f t="shared" si="52"/>
        <v>0</v>
      </c>
      <c r="H129" s="10">
        <f>D129+апр!H129</f>
        <v>0</v>
      </c>
      <c r="I129" s="8">
        <f>E129+апр!I129</f>
        <v>0</v>
      </c>
      <c r="J129" s="10">
        <f>F129+апр!J129</f>
        <v>0</v>
      </c>
      <c r="K129" s="10">
        <f t="shared" si="53"/>
        <v>0</v>
      </c>
      <c r="L129" s="16" t="e">
        <f t="shared" si="58"/>
        <v>#DIV/0!</v>
      </c>
      <c r="M129" s="220"/>
      <c r="N129" s="221"/>
      <c r="O129" s="122">
        <f t="shared" si="59"/>
        <v>0</v>
      </c>
      <c r="P129" s="123" t="e">
        <f t="shared" si="60"/>
        <v>#DIV/0!</v>
      </c>
      <c r="Q129" s="114"/>
      <c r="S129">
        <f t="shared" si="49"/>
        <v>0</v>
      </c>
      <c r="T129" s="44">
        <f>E129+апр!I129</f>
        <v>0</v>
      </c>
      <c r="U129" s="30">
        <f>F129+апр!J129</f>
        <v>0</v>
      </c>
    </row>
    <row r="130" spans="1:21" ht="33" customHeight="1">
      <c r="A130" s="18" t="s">
        <v>260</v>
      </c>
      <c r="B130" s="9" t="s">
        <v>263</v>
      </c>
      <c r="C130" s="8" t="s">
        <v>4</v>
      </c>
      <c r="D130" s="10"/>
      <c r="E130" s="8"/>
      <c r="F130" s="55">
        <f>18+180+300</f>
        <v>498</v>
      </c>
      <c r="G130" s="10">
        <f t="shared" si="52"/>
        <v>498</v>
      </c>
      <c r="H130" s="10">
        <f>D130+август!H130</f>
        <v>0</v>
      </c>
      <c r="I130" s="8">
        <f>E130+август!I130</f>
        <v>0</v>
      </c>
      <c r="J130" s="10">
        <f>F130+август!J130</f>
        <v>538</v>
      </c>
      <c r="K130" s="10">
        <f t="shared" si="53"/>
        <v>538</v>
      </c>
      <c r="L130" s="16" t="e">
        <f t="shared" si="58"/>
        <v>#DIV/0!</v>
      </c>
      <c r="M130" s="222" t="s">
        <v>288</v>
      </c>
      <c r="N130" s="223"/>
      <c r="O130" s="122">
        <f t="shared" si="59"/>
        <v>538</v>
      </c>
      <c r="P130" s="123" t="e">
        <f t="shared" si="60"/>
        <v>#DIV/0!</v>
      </c>
      <c r="Q130" s="115">
        <f>18+180+300+40</f>
        <v>538</v>
      </c>
      <c r="S130">
        <f t="shared" si="49"/>
        <v>0</v>
      </c>
      <c r="T130" s="44">
        <f>E130+апр!I130</f>
        <v>0</v>
      </c>
      <c r="U130" s="30">
        <f>F130+апр!J130</f>
        <v>498</v>
      </c>
    </row>
    <row r="131" spans="1:21" ht="17.25" customHeight="1">
      <c r="A131" s="18" t="s">
        <v>261</v>
      </c>
      <c r="B131" s="9" t="s">
        <v>122</v>
      </c>
      <c r="C131" s="8" t="s">
        <v>4</v>
      </c>
      <c r="D131" s="10">
        <v>69.783000000000001</v>
      </c>
      <c r="E131" s="8">
        <v>69.75</v>
      </c>
      <c r="F131" s="54">
        <v>208.75</v>
      </c>
      <c r="G131" s="10">
        <f t="shared" si="52"/>
        <v>139</v>
      </c>
      <c r="H131" s="10">
        <f>D131+август!H131</f>
        <v>628.04700000000003</v>
      </c>
      <c r="I131" s="8">
        <f>E131+август!I131</f>
        <v>627.75</v>
      </c>
      <c r="J131" s="10">
        <f>F131+август!J131</f>
        <v>626.25</v>
      </c>
      <c r="K131" s="10">
        <f t="shared" si="53"/>
        <v>-1.5</v>
      </c>
      <c r="L131" s="16">
        <f t="shared" si="58"/>
        <v>-0.23894862604540024</v>
      </c>
      <c r="M131" s="220"/>
      <c r="N131" s="221"/>
      <c r="O131" s="122">
        <f t="shared" si="59"/>
        <v>-1.7970000000000255</v>
      </c>
      <c r="P131" s="123">
        <f t="shared" si="60"/>
        <v>-0.28612508299538497</v>
      </c>
      <c r="Q131" s="114"/>
      <c r="S131">
        <f t="shared" si="49"/>
        <v>348.91500000000002</v>
      </c>
      <c r="T131" s="44">
        <f>E131+апр!I131</f>
        <v>348.75</v>
      </c>
      <c r="U131" s="30">
        <f>F131+апр!J131</f>
        <v>417.5</v>
      </c>
    </row>
    <row r="132" spans="1:21" ht="54.75" customHeight="1">
      <c r="A132" s="18" t="s">
        <v>262</v>
      </c>
      <c r="B132" s="9" t="s">
        <v>123</v>
      </c>
      <c r="C132" s="8" t="s">
        <v>4</v>
      </c>
      <c r="D132" s="10"/>
      <c r="E132" s="8"/>
      <c r="F132" s="8"/>
      <c r="G132" s="10">
        <f t="shared" si="52"/>
        <v>0</v>
      </c>
      <c r="H132" s="10">
        <f>D132+август!H132</f>
        <v>0</v>
      </c>
      <c r="I132" s="8">
        <f>E132+август!I132</f>
        <v>0</v>
      </c>
      <c r="J132" s="10">
        <f>F132+август!J132</f>
        <v>0</v>
      </c>
      <c r="K132" s="10">
        <f t="shared" si="53"/>
        <v>0</v>
      </c>
      <c r="L132" s="16"/>
      <c r="M132" s="220"/>
      <c r="N132" s="221"/>
      <c r="O132" s="122">
        <f t="shared" si="59"/>
        <v>0</v>
      </c>
      <c r="P132" s="123" t="e">
        <f t="shared" si="60"/>
        <v>#DIV/0!</v>
      </c>
      <c r="Q132" s="114"/>
      <c r="S132">
        <f t="shared" si="49"/>
        <v>0</v>
      </c>
      <c r="T132" s="44">
        <f>E132+апр!I132</f>
        <v>0</v>
      </c>
      <c r="U132" s="30">
        <f>F132+апр!J132</f>
        <v>0</v>
      </c>
    </row>
    <row r="133" spans="1:21" ht="54" customHeight="1">
      <c r="A133" s="18" t="s">
        <v>264</v>
      </c>
      <c r="B133" s="9" t="s">
        <v>124</v>
      </c>
      <c r="C133" s="8" t="s">
        <v>4</v>
      </c>
      <c r="D133" s="10"/>
      <c r="E133" s="8"/>
      <c r="F133" s="8"/>
      <c r="G133" s="10">
        <f t="shared" si="52"/>
        <v>0</v>
      </c>
      <c r="H133" s="10">
        <f>D133+август!H133</f>
        <v>0</v>
      </c>
      <c r="I133" s="8">
        <f>E133+август!I133</f>
        <v>0</v>
      </c>
      <c r="J133" s="10">
        <f>F133+август!J133</f>
        <v>0</v>
      </c>
      <c r="K133" s="10">
        <f t="shared" si="53"/>
        <v>0</v>
      </c>
      <c r="L133" s="16"/>
      <c r="M133" s="220"/>
      <c r="N133" s="221"/>
      <c r="O133" s="122">
        <f t="shared" si="59"/>
        <v>0</v>
      </c>
      <c r="P133" s="123" t="e">
        <f t="shared" si="60"/>
        <v>#DIV/0!</v>
      </c>
      <c r="Q133" s="114"/>
      <c r="S133">
        <f t="shared" si="49"/>
        <v>0</v>
      </c>
      <c r="T133" s="44">
        <f>E133+апр!I133</f>
        <v>0</v>
      </c>
      <c r="U133" s="30">
        <f>F133+апр!J133</f>
        <v>0</v>
      </c>
    </row>
    <row r="134" spans="1:21" ht="17.25" customHeight="1">
      <c r="A134" s="18" t="s">
        <v>265</v>
      </c>
      <c r="B134" s="26" t="s">
        <v>125</v>
      </c>
      <c r="C134" s="8" t="s">
        <v>4</v>
      </c>
      <c r="D134" s="10">
        <v>6.4749999999999996</v>
      </c>
      <c r="E134" s="8">
        <v>6.5</v>
      </c>
      <c r="F134" s="55">
        <v>37</v>
      </c>
      <c r="G134" s="10">
        <f t="shared" si="52"/>
        <v>30.5</v>
      </c>
      <c r="H134" s="10">
        <f>D134+август!H134</f>
        <v>58.275000000000006</v>
      </c>
      <c r="I134" s="8">
        <f>E134+август!I134</f>
        <v>58.5</v>
      </c>
      <c r="J134" s="10">
        <f>37+39.732</f>
        <v>76.731999999999999</v>
      </c>
      <c r="K134" s="10">
        <f t="shared" si="53"/>
        <v>18.231999999999999</v>
      </c>
      <c r="L134" s="16">
        <f t="shared" si="58"/>
        <v>31.165811965811962</v>
      </c>
      <c r="M134" s="220"/>
      <c r="N134" s="221"/>
      <c r="O134" s="122">
        <f t="shared" si="59"/>
        <v>18.456999999999994</v>
      </c>
      <c r="P134" s="123">
        <f t="shared" si="60"/>
        <v>31.67224367224366</v>
      </c>
      <c r="Q134" s="114"/>
      <c r="S134">
        <f t="shared" si="49"/>
        <v>32.375</v>
      </c>
      <c r="T134" s="44">
        <f>E134+апр!I134</f>
        <v>32.5</v>
      </c>
      <c r="U134" s="30">
        <f>F134+апр!J134</f>
        <v>37</v>
      </c>
    </row>
    <row r="135" spans="1:21" ht="17.25" customHeight="1">
      <c r="A135" s="18" t="s">
        <v>266</v>
      </c>
      <c r="B135" s="26" t="s">
        <v>232</v>
      </c>
      <c r="C135" s="8" t="s">
        <v>4</v>
      </c>
      <c r="D135" s="10"/>
      <c r="E135" s="8"/>
      <c r="F135" s="8"/>
      <c r="G135" s="10">
        <f t="shared" si="52"/>
        <v>0</v>
      </c>
      <c r="H135" s="10">
        <f>D135+август!H135</f>
        <v>0</v>
      </c>
      <c r="I135" s="8">
        <f>E135+август!I135</f>
        <v>0</v>
      </c>
      <c r="J135" s="10">
        <f>F135+август!J135</f>
        <v>0</v>
      </c>
      <c r="K135" s="10">
        <f t="shared" si="53"/>
        <v>0</v>
      </c>
      <c r="L135" s="16"/>
      <c r="M135" s="220"/>
      <c r="N135" s="221"/>
      <c r="O135" s="122">
        <f t="shared" si="59"/>
        <v>0</v>
      </c>
      <c r="P135" s="123" t="e">
        <f t="shared" si="60"/>
        <v>#DIV/0!</v>
      </c>
      <c r="Q135" s="114"/>
      <c r="S135">
        <f t="shared" si="49"/>
        <v>0</v>
      </c>
      <c r="T135" s="44">
        <f>E135+апр!I135</f>
        <v>0</v>
      </c>
      <c r="U135" s="30">
        <f>F135+апр!J135</f>
        <v>0</v>
      </c>
    </row>
    <row r="136" spans="1:21" ht="55.5" customHeight="1">
      <c r="A136" s="18"/>
      <c r="B136" s="26" t="s">
        <v>311</v>
      </c>
      <c r="C136" s="8" t="s">
        <v>4</v>
      </c>
      <c r="D136" s="10"/>
      <c r="E136" s="8">
        <v>79.167000000000002</v>
      </c>
      <c r="F136" s="54">
        <v>79.17</v>
      </c>
      <c r="G136" s="10">
        <f t="shared" si="52"/>
        <v>3.0000000000001137E-3</v>
      </c>
      <c r="H136" s="10">
        <f>D136+август!H136</f>
        <v>0</v>
      </c>
      <c r="I136" s="8">
        <f>E136+август!I136</f>
        <v>712.50300000000016</v>
      </c>
      <c r="J136" s="10">
        <v>712.52700000000004</v>
      </c>
      <c r="K136" s="10">
        <f t="shared" si="53"/>
        <v>2.3999999999887223E-2</v>
      </c>
      <c r="L136" s="16">
        <f t="shared" si="58"/>
        <v>3.368406869849982E-3</v>
      </c>
      <c r="M136" s="173"/>
      <c r="N136" s="174"/>
      <c r="O136" s="122">
        <f t="shared" si="59"/>
        <v>712.52700000000004</v>
      </c>
      <c r="P136" s="123" t="e">
        <f t="shared" si="60"/>
        <v>#DIV/0!</v>
      </c>
      <c r="Q136" s="114"/>
      <c r="S136">
        <f t="shared" si="49"/>
        <v>0</v>
      </c>
      <c r="T136" s="44">
        <f>E136+апр!I136</f>
        <v>395.83500000000004</v>
      </c>
      <c r="U136" s="30">
        <f>F136+апр!J136</f>
        <v>395.84600000000006</v>
      </c>
    </row>
    <row r="137" spans="1:21" ht="55.5" customHeight="1">
      <c r="A137" s="18"/>
      <c r="B137" s="26" t="s">
        <v>312</v>
      </c>
      <c r="C137" s="8" t="s">
        <v>4</v>
      </c>
      <c r="D137" s="10"/>
      <c r="E137" s="8">
        <v>83.332999999999998</v>
      </c>
      <c r="F137" s="54">
        <v>250</v>
      </c>
      <c r="G137" s="10">
        <f t="shared" si="52"/>
        <v>166.667</v>
      </c>
      <c r="H137" s="10">
        <f>D137+август!H137</f>
        <v>0</v>
      </c>
      <c r="I137" s="8">
        <f>E137+август!I137</f>
        <v>749.99699999999984</v>
      </c>
      <c r="J137" s="10">
        <v>750</v>
      </c>
      <c r="K137" s="10">
        <f t="shared" si="53"/>
        <v>3.0000000001564331E-3</v>
      </c>
      <c r="L137" s="16">
        <f t="shared" si="58"/>
        <v>4.0000160002725795E-4</v>
      </c>
      <c r="M137" s="173"/>
      <c r="N137" s="174"/>
      <c r="O137" s="122">
        <f t="shared" si="59"/>
        <v>750</v>
      </c>
      <c r="P137" s="123" t="e">
        <f t="shared" si="60"/>
        <v>#DIV/0!</v>
      </c>
      <c r="Q137" s="114"/>
      <c r="R137" s="30">
        <f>F145-R145</f>
        <v>403.71199999999953</v>
      </c>
      <c r="S137">
        <f t="shared" ref="S137:S207" si="71">D137*5</f>
        <v>0</v>
      </c>
      <c r="T137" s="44">
        <f>E137+апр!I137</f>
        <v>416.66499999999996</v>
      </c>
      <c r="U137" s="30">
        <f>F137+апр!J137</f>
        <v>500</v>
      </c>
    </row>
    <row r="138" spans="1:21" ht="55.5" customHeight="1">
      <c r="A138" s="18"/>
      <c r="B138" s="26" t="s">
        <v>327</v>
      </c>
      <c r="C138" s="8" t="s">
        <v>4</v>
      </c>
      <c r="D138" s="10"/>
      <c r="E138" s="8"/>
      <c r="F138" s="54"/>
      <c r="G138" s="10"/>
      <c r="H138" s="10">
        <f>D138</f>
        <v>0</v>
      </c>
      <c r="I138" s="8"/>
      <c r="J138" s="10">
        <v>357.63</v>
      </c>
      <c r="K138" s="10"/>
      <c r="L138" s="16"/>
      <c r="M138" s="173"/>
      <c r="N138" s="174"/>
      <c r="O138" s="122">
        <f t="shared" si="59"/>
        <v>357.63</v>
      </c>
      <c r="P138" s="123" t="e">
        <f t="shared" si="60"/>
        <v>#DIV/0!</v>
      </c>
      <c r="Q138" s="114"/>
      <c r="R138" s="30"/>
      <c r="T138" s="44"/>
      <c r="U138" s="30"/>
    </row>
    <row r="139" spans="1:21" ht="55.5" customHeight="1">
      <c r="A139" s="18"/>
      <c r="B139" s="26" t="s">
        <v>328</v>
      </c>
      <c r="C139" s="8" t="s">
        <v>4</v>
      </c>
      <c r="D139" s="10"/>
      <c r="E139" s="8"/>
      <c r="F139" s="54"/>
      <c r="G139" s="10"/>
      <c r="H139" s="10">
        <f>август!H139</f>
        <v>0</v>
      </c>
      <c r="I139" s="8"/>
      <c r="J139" s="10">
        <v>27.007999999999999</v>
      </c>
      <c r="K139" s="10"/>
      <c r="L139" s="16"/>
      <c r="M139" s="173"/>
      <c r="N139" s="174"/>
      <c r="O139" s="122">
        <f t="shared" si="59"/>
        <v>27.007999999999999</v>
      </c>
      <c r="P139" s="123" t="e">
        <f t="shared" si="60"/>
        <v>#DIV/0!</v>
      </c>
      <c r="Q139" s="114"/>
      <c r="R139" s="30"/>
      <c r="T139" s="44"/>
      <c r="U139" s="30"/>
    </row>
    <row r="140" spans="1:21" ht="55.5" customHeight="1">
      <c r="A140" s="18"/>
      <c r="B140" s="26" t="s">
        <v>336</v>
      </c>
      <c r="C140" s="8" t="s">
        <v>4</v>
      </c>
      <c r="D140" s="10"/>
      <c r="E140" s="8"/>
      <c r="F140" s="54"/>
      <c r="G140" s="10"/>
      <c r="H140" s="10">
        <f>D140+август!H140</f>
        <v>0</v>
      </c>
      <c r="I140" s="8"/>
      <c r="J140" s="10">
        <v>8.4369999999999994</v>
      </c>
      <c r="K140" s="10">
        <f t="shared" ref="K140:K144" si="72">J140-I140</f>
        <v>8.4369999999999994</v>
      </c>
      <c r="L140" s="16" t="e">
        <f t="shared" ref="L140:L144" si="73">K140/I140*100</f>
        <v>#DIV/0!</v>
      </c>
      <c r="M140" s="173"/>
      <c r="N140" s="174"/>
      <c r="O140" s="122">
        <f t="shared" si="59"/>
        <v>8.4369999999999994</v>
      </c>
      <c r="P140" s="123" t="e">
        <f t="shared" si="60"/>
        <v>#DIV/0!</v>
      </c>
      <c r="Q140" s="114"/>
      <c r="R140" s="30"/>
      <c r="T140" s="44"/>
      <c r="U140" s="30"/>
    </row>
    <row r="141" spans="1:21" ht="96.75" customHeight="1">
      <c r="A141" s="18"/>
      <c r="B141" s="26" t="s">
        <v>337</v>
      </c>
      <c r="C141" s="8" t="s">
        <v>4</v>
      </c>
      <c r="D141" s="10"/>
      <c r="E141" s="8"/>
      <c r="F141" s="54"/>
      <c r="G141" s="10"/>
      <c r="H141" s="10">
        <f>D141+август!H141</f>
        <v>0</v>
      </c>
      <c r="I141" s="8"/>
      <c r="J141" s="10">
        <v>110</v>
      </c>
      <c r="K141" s="10">
        <f t="shared" si="72"/>
        <v>110</v>
      </c>
      <c r="L141" s="16" t="e">
        <f t="shared" si="73"/>
        <v>#DIV/0!</v>
      </c>
      <c r="M141" s="173"/>
      <c r="N141" s="174"/>
      <c r="O141" s="122">
        <f t="shared" si="59"/>
        <v>110</v>
      </c>
      <c r="P141" s="123" t="e">
        <f t="shared" si="60"/>
        <v>#DIV/0!</v>
      </c>
      <c r="Q141" s="114"/>
      <c r="R141" s="30"/>
      <c r="T141" s="44"/>
      <c r="U141" s="30"/>
    </row>
    <row r="142" spans="1:21" ht="90.75" customHeight="1">
      <c r="A142" s="18"/>
      <c r="B142" s="26" t="s">
        <v>338</v>
      </c>
      <c r="C142" s="8" t="s">
        <v>4</v>
      </c>
      <c r="D142" s="10"/>
      <c r="E142" s="8"/>
      <c r="F142" s="54"/>
      <c r="G142" s="10"/>
      <c r="H142" s="10">
        <f>D142+август!H142</f>
        <v>0</v>
      </c>
      <c r="I142" s="8"/>
      <c r="J142" s="10">
        <v>310</v>
      </c>
      <c r="K142" s="10">
        <f t="shared" si="72"/>
        <v>310</v>
      </c>
      <c r="L142" s="16" t="e">
        <f t="shared" si="73"/>
        <v>#DIV/0!</v>
      </c>
      <c r="M142" s="173"/>
      <c r="N142" s="174"/>
      <c r="O142" s="122">
        <f t="shared" si="59"/>
        <v>310</v>
      </c>
      <c r="P142" s="123" t="e">
        <f t="shared" si="60"/>
        <v>#DIV/0!</v>
      </c>
      <c r="Q142" s="114"/>
      <c r="R142" s="30"/>
      <c r="T142" s="44"/>
      <c r="U142" s="30"/>
    </row>
    <row r="143" spans="1:21" ht="33.75" customHeight="1">
      <c r="A143" s="18"/>
      <c r="B143" s="26" t="s">
        <v>340</v>
      </c>
      <c r="C143" s="8" t="s">
        <v>4</v>
      </c>
      <c r="D143" s="10"/>
      <c r="E143" s="8"/>
      <c r="F143" s="54">
        <v>1657.973</v>
      </c>
      <c r="G143" s="10"/>
      <c r="H143" s="10"/>
      <c r="I143" s="8"/>
      <c r="J143" s="10">
        <v>1657.973</v>
      </c>
      <c r="K143" s="10">
        <f t="shared" si="72"/>
        <v>1657.973</v>
      </c>
      <c r="L143" s="16" t="e">
        <f t="shared" si="73"/>
        <v>#DIV/0!</v>
      </c>
      <c r="M143" s="173"/>
      <c r="N143" s="174"/>
      <c r="O143" s="122">
        <f t="shared" si="59"/>
        <v>1657.973</v>
      </c>
      <c r="P143" s="123" t="e">
        <f t="shared" si="60"/>
        <v>#DIV/0!</v>
      </c>
      <c r="Q143" s="114"/>
      <c r="R143" s="30"/>
      <c r="T143" s="44"/>
      <c r="U143" s="30"/>
    </row>
    <row r="144" spans="1:21" ht="33.75" customHeight="1">
      <c r="A144" s="18"/>
      <c r="B144" s="26" t="s">
        <v>180</v>
      </c>
      <c r="C144" s="8" t="s">
        <v>4</v>
      </c>
      <c r="D144" s="10"/>
      <c r="E144" s="8"/>
      <c r="F144" s="54"/>
      <c r="G144" s="10"/>
      <c r="H144" s="10"/>
      <c r="I144" s="8"/>
      <c r="J144" s="10">
        <v>1</v>
      </c>
      <c r="K144" s="10">
        <f t="shared" si="72"/>
        <v>1</v>
      </c>
      <c r="L144" s="16" t="e">
        <f t="shared" si="73"/>
        <v>#DIV/0!</v>
      </c>
      <c r="M144" s="185"/>
      <c r="N144" s="186"/>
      <c r="O144" s="122">
        <f t="shared" si="59"/>
        <v>1</v>
      </c>
      <c r="P144" s="123" t="e">
        <f t="shared" si="60"/>
        <v>#DIV/0!</v>
      </c>
      <c r="Q144" s="114"/>
      <c r="R144" s="30"/>
      <c r="T144" s="44"/>
      <c r="U144" s="30"/>
    </row>
    <row r="145" spans="1:21" ht="17.25" customHeight="1">
      <c r="A145" s="175" t="s">
        <v>126</v>
      </c>
      <c r="B145" s="6" t="s">
        <v>127</v>
      </c>
      <c r="C145" s="8" t="s">
        <v>4</v>
      </c>
      <c r="D145" s="7">
        <f t="shared" ref="D145:J145" si="74">D146</f>
        <v>3385.116</v>
      </c>
      <c r="E145" s="7">
        <f t="shared" si="74"/>
        <v>2989.2490000000003</v>
      </c>
      <c r="F145" s="7">
        <f t="shared" si="74"/>
        <v>2828.0949999999993</v>
      </c>
      <c r="G145" s="10">
        <f t="shared" si="52"/>
        <v>-161.15400000000091</v>
      </c>
      <c r="H145" s="7">
        <f t="shared" si="74"/>
        <v>31228.375173229211</v>
      </c>
      <c r="I145" s="7">
        <f t="shared" si="74"/>
        <v>25502.304780617673</v>
      </c>
      <c r="J145" s="7">
        <f t="shared" si="74"/>
        <v>30797.14</v>
      </c>
      <c r="K145" s="10">
        <f t="shared" si="53"/>
        <v>5294.8352193823266</v>
      </c>
      <c r="L145" s="16">
        <f t="shared" si="58"/>
        <v>20.762183123960313</v>
      </c>
      <c r="M145" s="220"/>
      <c r="N145" s="221"/>
      <c r="O145" s="122">
        <f t="shared" si="59"/>
        <v>-431.2351732292118</v>
      </c>
      <c r="P145" s="123">
        <f t="shared" si="60"/>
        <v>-1.3809081351081365</v>
      </c>
      <c r="Q145" s="114"/>
      <c r="R145">
        <v>2424.3829999999998</v>
      </c>
      <c r="S145">
        <f t="shared" si="71"/>
        <v>16925.580000000002</v>
      </c>
      <c r="T145" s="44">
        <f>E145+апр!I138</f>
        <v>14946.245000000001</v>
      </c>
      <c r="U145" s="30">
        <f>F145+апр!J138</f>
        <v>12001.291000000001</v>
      </c>
    </row>
    <row r="146" spans="1:21" ht="17.25" customHeight="1">
      <c r="A146" s="175">
        <v>6</v>
      </c>
      <c r="B146" s="6" t="s">
        <v>128</v>
      </c>
      <c r="C146" s="175" t="s">
        <v>4</v>
      </c>
      <c r="D146" s="7">
        <f>D147+D152+D153+D154+D155+D156+D157+D158+D161+D163+D179+D183+D184+D186+D191+D190+D195</f>
        <v>3385.116</v>
      </c>
      <c r="E146" s="7">
        <f t="shared" ref="E146:F146" si="75">E147+E152+E153+E154+E155+E156+E157+E158+E161+E163+E179+E183+E184+E186+E191+E190+E195</f>
        <v>2989.2490000000003</v>
      </c>
      <c r="F146" s="7">
        <f t="shared" si="75"/>
        <v>2828.0949999999993</v>
      </c>
      <c r="G146" s="10">
        <f>F146-E146</f>
        <v>-161.15400000000091</v>
      </c>
      <c r="H146" s="7">
        <f>H147+H152+H153+H154+H155+H156+H157+H158+H161+H163+H179+H183+H184+H186+H191+H190+H195</f>
        <v>31228.375173229211</v>
      </c>
      <c r="I146" s="7">
        <f t="shared" ref="I146" si="76">I147+I152+I153+I154+I155+I156+I157+I158+I161+I163+I179+I183+I184+I186+I191+I190+I195</f>
        <v>25502.304780617673</v>
      </c>
      <c r="J146" s="7">
        <f>J147+J152+J153+J154+J155+J156+J157+J158+J161+J163+J179+J183+J184+J186+J191+J190+J195</f>
        <v>30797.14</v>
      </c>
      <c r="K146" s="10">
        <f t="shared" si="53"/>
        <v>5294.8352193823266</v>
      </c>
      <c r="L146" s="16">
        <f t="shared" si="58"/>
        <v>20.762183123960313</v>
      </c>
      <c r="M146" s="220"/>
      <c r="N146" s="221"/>
      <c r="O146" s="122">
        <f t="shared" si="59"/>
        <v>-431.2351732292118</v>
      </c>
      <c r="P146" s="123">
        <f t="shared" si="60"/>
        <v>-1.3809081351081365</v>
      </c>
      <c r="Q146" s="187">
        <f>30012.583-J146</f>
        <v>-784.5570000000007</v>
      </c>
      <c r="S146">
        <f t="shared" si="71"/>
        <v>16925.580000000002</v>
      </c>
      <c r="T146" s="44">
        <f>E146+апр!I139</f>
        <v>14946.245000000001</v>
      </c>
      <c r="U146" s="30">
        <f>F146+апр!J139</f>
        <v>12001.291000000001</v>
      </c>
    </row>
    <row r="147" spans="1:21" ht="17.25" customHeight="1">
      <c r="A147" s="175" t="s">
        <v>129</v>
      </c>
      <c r="B147" s="6" t="s">
        <v>130</v>
      </c>
      <c r="C147" s="175" t="s">
        <v>4</v>
      </c>
      <c r="D147" s="7">
        <f t="shared" ref="D147:F147" si="77">D148+D149</f>
        <v>97.608999999999995</v>
      </c>
      <c r="E147" s="7">
        <f t="shared" si="77"/>
        <v>97.582999999999998</v>
      </c>
      <c r="F147" s="7">
        <f t="shared" si="77"/>
        <v>76.066000000000003</v>
      </c>
      <c r="G147" s="10">
        <f t="shared" ref="G147:G211" si="78">F147-E147</f>
        <v>-21.516999999999996</v>
      </c>
      <c r="H147" s="7">
        <f t="shared" ref="H147:J147" si="79">H148+H149</f>
        <v>622.74750656254355</v>
      </c>
      <c r="I147" s="7">
        <f t="shared" si="79"/>
        <v>622.38578061767839</v>
      </c>
      <c r="J147" s="7">
        <f t="shared" si="79"/>
        <v>767.65500000000009</v>
      </c>
      <c r="K147" s="10">
        <f t="shared" ref="K147:K211" si="80">J147-I147</f>
        <v>145.26921938232169</v>
      </c>
      <c r="L147" s="16">
        <f t="shared" si="58"/>
        <v>23.340703452150084</v>
      </c>
      <c r="M147" s="220"/>
      <c r="N147" s="221"/>
      <c r="O147" s="122">
        <f t="shared" si="59"/>
        <v>144.90749343745654</v>
      </c>
      <c r="P147" s="123">
        <f t="shared" si="60"/>
        <v>23.26906039934553</v>
      </c>
      <c r="Q147" s="114"/>
      <c r="S147">
        <f t="shared" si="71"/>
        <v>488.04499999999996</v>
      </c>
      <c r="T147" s="44">
        <f>E147+апр!I140</f>
        <v>487.91499999999996</v>
      </c>
      <c r="U147" s="30">
        <f>F147+апр!J140</f>
        <v>369.06400000000008</v>
      </c>
    </row>
    <row r="148" spans="1:21" ht="37.5">
      <c r="A148" s="8" t="s">
        <v>131</v>
      </c>
      <c r="B148" s="9" t="s">
        <v>132</v>
      </c>
      <c r="C148" s="8" t="s">
        <v>4</v>
      </c>
      <c r="D148" s="10">
        <v>42.552999999999997</v>
      </c>
      <c r="E148" s="10">
        <v>42.5</v>
      </c>
      <c r="F148" s="10">
        <v>42.49</v>
      </c>
      <c r="G148" s="10">
        <f t="shared" si="78"/>
        <v>-9.9999999999980105E-3</v>
      </c>
      <c r="H148" s="10">
        <f>D148+август!H146</f>
        <v>382.97699999999998</v>
      </c>
      <c r="I148" s="8">
        <f>E148+август!I146</f>
        <v>382.5</v>
      </c>
      <c r="J148" s="10">
        <f>F148+август!J146</f>
        <v>366.95400000000006</v>
      </c>
      <c r="K148" s="10">
        <f t="shared" si="80"/>
        <v>-15.545999999999935</v>
      </c>
      <c r="L148" s="16">
        <f t="shared" si="58"/>
        <v>-4.0643137254901793</v>
      </c>
      <c r="M148" s="220"/>
      <c r="N148" s="221"/>
      <c r="O148" s="122">
        <f t="shared" si="59"/>
        <v>-16.022999999999911</v>
      </c>
      <c r="P148" s="123">
        <f t="shared" si="60"/>
        <v>-4.1838021604430322</v>
      </c>
      <c r="Q148" s="114">
        <f>142.295+224.659</f>
        <v>366.95399999999995</v>
      </c>
      <c r="S148">
        <f t="shared" si="71"/>
        <v>212.76499999999999</v>
      </c>
      <c r="T148" s="44">
        <f>E148+апр!I141</f>
        <v>212.5</v>
      </c>
      <c r="U148" s="30">
        <f>F148+апр!J141</f>
        <v>199.53500000000003</v>
      </c>
    </row>
    <row r="149" spans="1:21" ht="17.25" customHeight="1">
      <c r="A149" s="8" t="s">
        <v>133</v>
      </c>
      <c r="B149" s="9" t="s">
        <v>63</v>
      </c>
      <c r="C149" s="8" t="s">
        <v>4</v>
      </c>
      <c r="D149" s="10">
        <v>55.055999999999997</v>
      </c>
      <c r="E149" s="8">
        <v>55.082999999999998</v>
      </c>
      <c r="F149" s="8">
        <v>33.576000000000001</v>
      </c>
      <c r="G149" s="10">
        <f t="shared" si="78"/>
        <v>-21.506999999999998</v>
      </c>
      <c r="H149" s="10">
        <f>D149+август!H147</f>
        <v>239.77050656254357</v>
      </c>
      <c r="I149" s="8">
        <f>E149+август!I147</f>
        <v>239.88578061767839</v>
      </c>
      <c r="J149" s="10">
        <v>400.70100000000002</v>
      </c>
      <c r="K149" s="10">
        <f t="shared" si="80"/>
        <v>160.81521938232163</v>
      </c>
      <c r="L149" s="16">
        <f t="shared" si="58"/>
        <v>67.038245855273644</v>
      </c>
      <c r="M149" s="220"/>
      <c r="N149" s="221"/>
      <c r="O149" s="122">
        <f t="shared" si="59"/>
        <v>160.93049343745645</v>
      </c>
      <c r="P149" s="123">
        <f t="shared" si="60"/>
        <v>67.118552546194039</v>
      </c>
      <c r="Q149" s="114"/>
      <c r="S149">
        <f t="shared" si="71"/>
        <v>275.27999999999997</v>
      </c>
      <c r="T149" s="44">
        <f>E149+апр!I142</f>
        <v>275.41499999999996</v>
      </c>
      <c r="U149" s="30">
        <f>F149+апр!J142</f>
        <v>169.529</v>
      </c>
    </row>
    <row r="150" spans="1:21" s="144" customFormat="1" ht="17.25" customHeight="1">
      <c r="A150" s="55"/>
      <c r="B150" s="136" t="s">
        <v>68</v>
      </c>
      <c r="C150" s="137" t="s">
        <v>66</v>
      </c>
      <c r="D150" s="138">
        <v>2816.6669999999999</v>
      </c>
      <c r="E150" s="139">
        <v>2817</v>
      </c>
      <c r="F150" s="139"/>
      <c r="G150" s="54">
        <f t="shared" si="78"/>
        <v>-2817</v>
      </c>
      <c r="H150" s="10">
        <f>D150+август!H148</f>
        <v>18021.790999999997</v>
      </c>
      <c r="I150" s="8">
        <f>E150+август!I148</f>
        <v>18350.084999999999</v>
      </c>
      <c r="J150" s="183">
        <v>20289</v>
      </c>
      <c r="K150" s="54">
        <f t="shared" si="80"/>
        <v>1938.9150000000009</v>
      </c>
      <c r="L150" s="140"/>
      <c r="M150" s="259"/>
      <c r="N150" s="260"/>
      <c r="O150" s="141">
        <f t="shared" si="59"/>
        <v>2267.2090000000026</v>
      </c>
      <c r="P150" s="142">
        <f t="shared" si="60"/>
        <v>12.580375613056455</v>
      </c>
      <c r="Q150" s="143"/>
      <c r="S150" s="144">
        <f t="shared" si="71"/>
        <v>14083.334999999999</v>
      </c>
      <c r="T150" s="145">
        <f>E150+апр!I143</f>
        <v>2817</v>
      </c>
      <c r="U150" s="146">
        <f>F150+апр!J143</f>
        <v>552</v>
      </c>
    </row>
    <row r="151" spans="1:21" ht="17.25" customHeight="1">
      <c r="A151" s="8"/>
      <c r="B151" s="12" t="s">
        <v>15</v>
      </c>
      <c r="C151" s="13" t="s">
        <v>16</v>
      </c>
      <c r="D151" s="16">
        <f t="shared" ref="D151:F151" si="81">D149/D150*1000</f>
        <v>19.546506562543602</v>
      </c>
      <c r="E151" s="16">
        <f t="shared" si="81"/>
        <v>19.553780617678381</v>
      </c>
      <c r="F151" s="16" t="e">
        <f t="shared" si="81"/>
        <v>#DIV/0!</v>
      </c>
      <c r="G151" s="10" t="e">
        <f t="shared" si="78"/>
        <v>#DIV/0!</v>
      </c>
      <c r="H151" s="16">
        <f t="shared" ref="H151:J151" si="82">H149/H150*1000</f>
        <v>13.30447715005371</v>
      </c>
      <c r="I151" s="16">
        <f t="shared" si="82"/>
        <v>13.072734029170896</v>
      </c>
      <c r="J151" s="184">
        <f t="shared" si="82"/>
        <v>19.749667307407954</v>
      </c>
      <c r="K151" s="10">
        <f t="shared" si="80"/>
        <v>6.6769332782370583</v>
      </c>
      <c r="L151" s="16"/>
      <c r="M151" s="220"/>
      <c r="N151" s="221"/>
      <c r="O151" s="122">
        <f t="shared" si="59"/>
        <v>6.4451901573542436</v>
      </c>
      <c r="P151" s="123">
        <f t="shared" si="60"/>
        <v>48.443768850609992</v>
      </c>
      <c r="Q151" s="114"/>
      <c r="S151">
        <f t="shared" si="71"/>
        <v>97.732532812718006</v>
      </c>
      <c r="T151" s="44">
        <f>E151+апр!I144</f>
        <v>19.553780617678381</v>
      </c>
      <c r="U151" s="30" t="e">
        <f>F151+апр!J144</f>
        <v>#DIV/0!</v>
      </c>
    </row>
    <row r="152" spans="1:21" ht="32.25" customHeight="1">
      <c r="A152" s="8" t="s">
        <v>134</v>
      </c>
      <c r="B152" s="9" t="s">
        <v>135</v>
      </c>
      <c r="C152" s="8" t="s">
        <v>4</v>
      </c>
      <c r="D152" s="10">
        <v>1914.3579999999999</v>
      </c>
      <c r="E152" s="8">
        <v>1416.4169999999999</v>
      </c>
      <c r="F152" s="54">
        <v>2202.9459999999999</v>
      </c>
      <c r="G152" s="10">
        <f t="shared" si="78"/>
        <v>786.529</v>
      </c>
      <c r="H152" s="10">
        <f>D152+август!H150</f>
        <v>17229.221999999998</v>
      </c>
      <c r="I152" s="8">
        <f>E152+август!I150</f>
        <v>12747.752999999997</v>
      </c>
      <c r="J152" s="54">
        <f>13078.517-J156</f>
        <v>12784.471</v>
      </c>
      <c r="K152" s="10">
        <f t="shared" si="80"/>
        <v>36.718000000002576</v>
      </c>
      <c r="L152" s="16">
        <f>K152/I152*100</f>
        <v>0.28803507567178771</v>
      </c>
      <c r="M152" s="227"/>
      <c r="N152" s="228"/>
      <c r="O152" s="122">
        <f>J152-H152</f>
        <v>-4444.7509999999984</v>
      </c>
      <c r="P152" s="123">
        <f>O152/H152*100</f>
        <v>-25.797746410139698</v>
      </c>
      <c r="Q152" s="116"/>
      <c r="S152">
        <f t="shared" si="71"/>
        <v>9571.7899999999991</v>
      </c>
      <c r="T152" s="44">
        <f>E152+апр!I145</f>
        <v>7082.0849999999991</v>
      </c>
      <c r="U152" s="30">
        <f>F152+апр!J145</f>
        <v>7620.9949999999999</v>
      </c>
    </row>
    <row r="153" spans="1:21" ht="17.25" customHeight="1">
      <c r="A153" s="8" t="s">
        <v>136</v>
      </c>
      <c r="B153" s="9" t="s">
        <v>77</v>
      </c>
      <c r="C153" s="8" t="s">
        <v>4</v>
      </c>
      <c r="D153" s="10">
        <v>105.29</v>
      </c>
      <c r="E153" s="10">
        <v>76.5</v>
      </c>
      <c r="F153" s="55">
        <v>126.682</v>
      </c>
      <c r="G153" s="10">
        <f t="shared" si="78"/>
        <v>50.182000000000002</v>
      </c>
      <c r="H153" s="10">
        <f>D153+август!H151</f>
        <v>421.16</v>
      </c>
      <c r="I153" s="8">
        <f>E153+август!I151</f>
        <v>688.5</v>
      </c>
      <c r="J153" s="54">
        <v>759.76599999999996</v>
      </c>
      <c r="K153" s="10">
        <f t="shared" si="80"/>
        <v>71.265999999999963</v>
      </c>
      <c r="L153" s="16">
        <f t="shared" si="58"/>
        <v>10.350907770515608</v>
      </c>
      <c r="M153" s="227"/>
      <c r="N153" s="228"/>
      <c r="O153" s="122">
        <f t="shared" ref="O153:O217" si="83">J153-H153</f>
        <v>338.60599999999994</v>
      </c>
      <c r="P153" s="123">
        <f t="shared" ref="P153:P217" si="84">O153/H153*100</f>
        <v>80.398423402032464</v>
      </c>
      <c r="Q153" s="116"/>
      <c r="S153">
        <f t="shared" si="71"/>
        <v>526.45000000000005</v>
      </c>
      <c r="T153" s="44">
        <f>E153+апр!I146</f>
        <v>382.5</v>
      </c>
      <c r="U153" s="30">
        <f>F153+апр!J146</f>
        <v>449.101</v>
      </c>
    </row>
    <row r="154" spans="1:21" ht="17.25" customHeight="1">
      <c r="A154" s="8"/>
      <c r="B154" s="9" t="s">
        <v>307</v>
      </c>
      <c r="C154" s="8" t="s">
        <v>4</v>
      </c>
      <c r="D154" s="10">
        <v>84.231999999999999</v>
      </c>
      <c r="E154" s="10">
        <v>63.75</v>
      </c>
      <c r="F154" s="55">
        <v>62.116</v>
      </c>
      <c r="G154" s="10">
        <f t="shared" si="78"/>
        <v>-1.6340000000000003</v>
      </c>
      <c r="H154" s="10">
        <f>D154+август!H152</f>
        <v>336.928</v>
      </c>
      <c r="I154" s="8">
        <f>E154+август!I152</f>
        <v>573.75</v>
      </c>
      <c r="J154" s="54">
        <v>357.06900000000002</v>
      </c>
      <c r="K154" s="10">
        <f t="shared" si="80"/>
        <v>-216.68099999999998</v>
      </c>
      <c r="L154" s="16">
        <f t="shared" si="58"/>
        <v>-37.76575163398693</v>
      </c>
      <c r="M154" s="177"/>
      <c r="N154" s="178"/>
      <c r="O154" s="122">
        <f t="shared" si="83"/>
        <v>20.14100000000002</v>
      </c>
      <c r="P154" s="123">
        <f t="shared" si="84"/>
        <v>5.9778350270681031</v>
      </c>
      <c r="Q154" s="116"/>
      <c r="S154">
        <f t="shared" si="71"/>
        <v>421.15999999999997</v>
      </c>
      <c r="T154" s="44">
        <f>E154+апр!I147</f>
        <v>318.75</v>
      </c>
      <c r="U154" s="30">
        <f>F154+апр!J147</f>
        <v>213.60999999999996</v>
      </c>
    </row>
    <row r="155" spans="1:21" ht="17.25" customHeight="1">
      <c r="A155" s="8"/>
      <c r="B155" s="9" t="s">
        <v>310</v>
      </c>
      <c r="C155" s="8" t="s">
        <v>4</v>
      </c>
      <c r="D155" s="10"/>
      <c r="E155" s="10">
        <v>21.25</v>
      </c>
      <c r="F155" s="55">
        <v>31.167000000000002</v>
      </c>
      <c r="G155" s="10">
        <f t="shared" si="78"/>
        <v>9.9170000000000016</v>
      </c>
      <c r="H155" s="10">
        <f>D155+август!H153</f>
        <v>387.9</v>
      </c>
      <c r="I155" s="8">
        <f>E155+август!I153</f>
        <v>170</v>
      </c>
      <c r="J155" s="54">
        <v>169.31200000000001</v>
      </c>
      <c r="K155" s="10">
        <f t="shared" si="80"/>
        <v>-0.68799999999998818</v>
      </c>
      <c r="L155" s="16">
        <f t="shared" si="58"/>
        <v>-0.4047058823529342</v>
      </c>
      <c r="M155" s="177"/>
      <c r="N155" s="178"/>
      <c r="O155" s="122">
        <f t="shared" si="83"/>
        <v>-218.58799999999997</v>
      </c>
      <c r="P155" s="123">
        <f t="shared" si="84"/>
        <v>-56.351637019850479</v>
      </c>
      <c r="Q155" s="116"/>
      <c r="S155">
        <f t="shared" si="71"/>
        <v>0</v>
      </c>
      <c r="T155" s="44">
        <f>E155+апр!I148</f>
        <v>106.25</v>
      </c>
      <c r="U155" s="30">
        <f>F155+апр!J148</f>
        <v>100.5</v>
      </c>
    </row>
    <row r="156" spans="1:21" ht="17.25" customHeight="1">
      <c r="A156" s="8"/>
      <c r="B156" s="9" t="s">
        <v>315</v>
      </c>
      <c r="C156" s="8" t="s">
        <v>4</v>
      </c>
      <c r="D156" s="10"/>
      <c r="E156" s="10"/>
      <c r="F156" s="10"/>
      <c r="G156" s="10">
        <f t="shared" si="78"/>
        <v>0</v>
      </c>
      <c r="H156" s="10">
        <f>D156+август!H154</f>
        <v>1195.7449999999999</v>
      </c>
      <c r="I156" s="8">
        <f>E156+август!I154</f>
        <v>0</v>
      </c>
      <c r="J156" s="54">
        <v>294.04599999999999</v>
      </c>
      <c r="K156" s="10">
        <f t="shared" si="80"/>
        <v>294.04599999999999</v>
      </c>
      <c r="L156" s="16" t="e">
        <f t="shared" si="58"/>
        <v>#DIV/0!</v>
      </c>
      <c r="M156" s="177"/>
      <c r="N156" s="178"/>
      <c r="O156" s="122">
        <f t="shared" si="83"/>
        <v>-901.69899999999984</v>
      </c>
      <c r="P156" s="123">
        <f t="shared" si="84"/>
        <v>-75.408970976253286</v>
      </c>
      <c r="Q156" s="116"/>
      <c r="S156">
        <f t="shared" si="71"/>
        <v>0</v>
      </c>
      <c r="T156" s="44">
        <f>E156+апр!I149</f>
        <v>0</v>
      </c>
      <c r="U156" s="30">
        <f>F156+апр!J149</f>
        <v>211.14000000000004</v>
      </c>
    </row>
    <row r="157" spans="1:21" ht="17.25" customHeight="1">
      <c r="A157" s="8" t="s">
        <v>137</v>
      </c>
      <c r="B157" s="9" t="s">
        <v>138</v>
      </c>
      <c r="C157" s="8" t="s">
        <v>4</v>
      </c>
      <c r="D157" s="10">
        <v>77.58</v>
      </c>
      <c r="E157" s="8">
        <v>77.582999999999998</v>
      </c>
      <c r="F157" s="55">
        <v>35.680999999999997</v>
      </c>
      <c r="G157" s="10">
        <f t="shared" si="78"/>
        <v>-41.902000000000001</v>
      </c>
      <c r="H157" s="10">
        <f>D157+август!H155</f>
        <v>354.10999999999996</v>
      </c>
      <c r="I157" s="8">
        <f>E157+август!I155</f>
        <v>698.24699999999984</v>
      </c>
      <c r="J157" s="54">
        <v>930.96</v>
      </c>
      <c r="K157" s="10">
        <f t="shared" si="80"/>
        <v>232.71300000000019</v>
      </c>
      <c r="L157" s="16">
        <f t="shared" si="58"/>
        <v>33.328177564672707</v>
      </c>
      <c r="M157" s="227" t="s">
        <v>301</v>
      </c>
      <c r="N157" s="228"/>
      <c r="O157" s="122">
        <f t="shared" si="83"/>
        <v>576.85000000000014</v>
      </c>
      <c r="P157" s="123">
        <f t="shared" si="84"/>
        <v>162.90135833498073</v>
      </c>
      <c r="Q157" s="116"/>
      <c r="S157">
        <f t="shared" si="71"/>
        <v>387.9</v>
      </c>
      <c r="T157" s="44">
        <f>E157+апр!I150</f>
        <v>387.91499999999996</v>
      </c>
      <c r="U157" s="30">
        <f>F157+апр!J150</f>
        <v>597.78600000000006</v>
      </c>
    </row>
    <row r="158" spans="1:21" ht="17.25" customHeight="1">
      <c r="A158" s="175" t="s">
        <v>139</v>
      </c>
      <c r="B158" s="6" t="s">
        <v>140</v>
      </c>
      <c r="C158" s="175" t="s">
        <v>4</v>
      </c>
      <c r="D158" s="7">
        <f t="shared" ref="D158:F158" si="85">D159+D160</f>
        <v>239.149</v>
      </c>
      <c r="E158" s="175">
        <v>47.832999999999998</v>
      </c>
      <c r="F158" s="7">
        <f t="shared" si="85"/>
        <v>63.497</v>
      </c>
      <c r="G158" s="10">
        <f t="shared" si="78"/>
        <v>15.664000000000001</v>
      </c>
      <c r="H158" s="7">
        <f t="shared" ref="H158" si="86">H159+H160</f>
        <v>1095.1559999999999</v>
      </c>
      <c r="I158" s="8">
        <f>E158+август!I156</f>
        <v>430.49699999999996</v>
      </c>
      <c r="J158" s="7">
        <f t="shared" ref="J158" si="87">J159+J160</f>
        <v>563.36699999999996</v>
      </c>
      <c r="K158" s="10">
        <f t="shared" si="80"/>
        <v>132.87</v>
      </c>
      <c r="L158" s="16">
        <f t="shared" si="58"/>
        <v>30.86432658067304</v>
      </c>
      <c r="M158" s="220"/>
      <c r="N158" s="221"/>
      <c r="O158" s="122">
        <f t="shared" si="83"/>
        <v>-531.78899999999999</v>
      </c>
      <c r="P158" s="123">
        <f t="shared" si="84"/>
        <v>-48.558287586426047</v>
      </c>
      <c r="Q158" s="114"/>
      <c r="S158">
        <f t="shared" si="71"/>
        <v>1195.7449999999999</v>
      </c>
      <c r="T158" s="44">
        <f>E158+апр!I151</f>
        <v>239.16499999999999</v>
      </c>
      <c r="U158" s="30">
        <f>F158+апр!J151</f>
        <v>241.428</v>
      </c>
    </row>
    <row r="159" spans="1:21" ht="17.25" customHeight="1">
      <c r="A159" s="8" t="s">
        <v>141</v>
      </c>
      <c r="B159" s="9" t="s">
        <v>81</v>
      </c>
      <c r="C159" s="8" t="s">
        <v>4</v>
      </c>
      <c r="D159" s="10">
        <v>8.7579999999999991</v>
      </c>
      <c r="E159" s="8"/>
      <c r="F159" s="55">
        <v>51.521999999999998</v>
      </c>
      <c r="G159" s="10">
        <f t="shared" si="78"/>
        <v>51.521999999999998</v>
      </c>
      <c r="H159" s="10">
        <f>D159+август!H157</f>
        <v>104.31199999999998</v>
      </c>
      <c r="I159" s="8"/>
      <c r="J159" s="54">
        <v>455.58800000000002</v>
      </c>
      <c r="K159" s="10">
        <f t="shared" si="80"/>
        <v>455.58800000000002</v>
      </c>
      <c r="L159" s="16"/>
      <c r="M159" s="220"/>
      <c r="N159" s="221"/>
      <c r="O159" s="122">
        <f t="shared" si="83"/>
        <v>351.27600000000007</v>
      </c>
      <c r="P159" s="123">
        <f t="shared" si="84"/>
        <v>336.75511925761185</v>
      </c>
      <c r="Q159" s="114"/>
      <c r="S159">
        <f t="shared" si="71"/>
        <v>43.789999999999992</v>
      </c>
      <c r="T159" s="44">
        <f>E159+апр!I152</f>
        <v>0</v>
      </c>
      <c r="U159" s="30">
        <f>F159+апр!J152</f>
        <v>181.55199999999999</v>
      </c>
    </row>
    <row r="160" spans="1:21" ht="17.25" customHeight="1">
      <c r="A160" s="8" t="s">
        <v>142</v>
      </c>
      <c r="B160" s="9" t="s">
        <v>143</v>
      </c>
      <c r="C160" s="8"/>
      <c r="D160" s="10">
        <v>230.39099999999999</v>
      </c>
      <c r="E160" s="8"/>
      <c r="F160" s="55">
        <v>11.975</v>
      </c>
      <c r="G160" s="10">
        <f t="shared" si="78"/>
        <v>11.975</v>
      </c>
      <c r="H160" s="10">
        <f>D160+август!H158</f>
        <v>990.84399999999994</v>
      </c>
      <c r="I160" s="8"/>
      <c r="J160" s="54">
        <v>107.779</v>
      </c>
      <c r="K160" s="10">
        <f t="shared" si="80"/>
        <v>107.779</v>
      </c>
      <c r="L160" s="16"/>
      <c r="M160" s="220"/>
      <c r="N160" s="221"/>
      <c r="O160" s="122">
        <f t="shared" si="83"/>
        <v>-883.06499999999994</v>
      </c>
      <c r="P160" s="123">
        <f t="shared" si="84"/>
        <v>-89.122505661839796</v>
      </c>
      <c r="Q160" s="114"/>
      <c r="S160">
        <f t="shared" si="71"/>
        <v>1151.9549999999999</v>
      </c>
      <c r="T160" s="44">
        <f>E160+апр!I153</f>
        <v>0</v>
      </c>
      <c r="U160" s="30">
        <f>F160+апр!J153</f>
        <v>59.876000000000005</v>
      </c>
    </row>
    <row r="161" spans="1:21" ht="75.75" customHeight="1">
      <c r="A161" s="175" t="s">
        <v>144</v>
      </c>
      <c r="B161" s="6" t="s">
        <v>145</v>
      </c>
      <c r="C161" s="175" t="s">
        <v>4</v>
      </c>
      <c r="D161" s="7">
        <f t="shared" ref="D161:J161" si="88">D162</f>
        <v>13.856</v>
      </c>
      <c r="E161" s="7">
        <f t="shared" si="88"/>
        <v>13.833</v>
      </c>
      <c r="F161" s="7">
        <f t="shared" si="88"/>
        <v>26.170999999999999</v>
      </c>
      <c r="G161" s="10">
        <f t="shared" si="78"/>
        <v>12.337999999999999</v>
      </c>
      <c r="H161" s="7">
        <f t="shared" si="88"/>
        <v>300.56399999999996</v>
      </c>
      <c r="I161" s="7">
        <f t="shared" si="88"/>
        <v>124.497</v>
      </c>
      <c r="J161" s="7">
        <f t="shared" si="88"/>
        <v>364.35500000000002</v>
      </c>
      <c r="K161" s="10">
        <f t="shared" si="80"/>
        <v>239.858</v>
      </c>
      <c r="L161" s="16">
        <f t="shared" ref="L161:L210" si="89">K161/I161*100</f>
        <v>192.66167056234286</v>
      </c>
      <c r="M161" s="220"/>
      <c r="N161" s="221"/>
      <c r="O161" s="122">
        <f t="shared" si="83"/>
        <v>63.791000000000054</v>
      </c>
      <c r="P161" s="123">
        <f t="shared" si="84"/>
        <v>21.223765986611856</v>
      </c>
      <c r="Q161" s="114"/>
      <c r="S161">
        <f t="shared" si="71"/>
        <v>69.28</v>
      </c>
      <c r="T161" s="44">
        <f>E161+апр!I154</f>
        <v>69.165000000000006</v>
      </c>
      <c r="U161" s="30">
        <f>F161+апр!J154</f>
        <v>161.923</v>
      </c>
    </row>
    <row r="162" spans="1:21" ht="17.25" customHeight="1">
      <c r="A162" s="8" t="s">
        <v>146</v>
      </c>
      <c r="B162" s="9" t="s">
        <v>147</v>
      </c>
      <c r="C162" s="8" t="s">
        <v>4</v>
      </c>
      <c r="D162" s="10">
        <v>13.856</v>
      </c>
      <c r="E162" s="8">
        <v>13.833</v>
      </c>
      <c r="F162" s="55">
        <f>8.634+17.537</f>
        <v>26.170999999999999</v>
      </c>
      <c r="G162" s="10">
        <f t="shared" si="78"/>
        <v>12.337999999999999</v>
      </c>
      <c r="H162" s="10">
        <f>D162+август!H160</f>
        <v>300.56399999999996</v>
      </c>
      <c r="I162" s="8">
        <f>E162+август!I160</f>
        <v>124.497</v>
      </c>
      <c r="J162" s="54">
        <f>348.63+15.725</f>
        <v>364.35500000000002</v>
      </c>
      <c r="K162" s="10">
        <f t="shared" si="80"/>
        <v>239.858</v>
      </c>
      <c r="L162" s="16">
        <f t="shared" si="89"/>
        <v>192.66167056234286</v>
      </c>
      <c r="M162" s="220"/>
      <c r="N162" s="221"/>
      <c r="O162" s="122">
        <f t="shared" si="83"/>
        <v>63.791000000000054</v>
      </c>
      <c r="P162" s="123">
        <f t="shared" si="84"/>
        <v>21.223765986611856</v>
      </c>
      <c r="Q162" s="114">
        <f>52.275+296.355+15.725</f>
        <v>364.35500000000002</v>
      </c>
      <c r="S162">
        <f t="shared" si="71"/>
        <v>69.28</v>
      </c>
      <c r="T162" s="44">
        <f>E162+апр!I155</f>
        <v>69.165000000000006</v>
      </c>
      <c r="U162" s="30">
        <f>F162+апр!J155</f>
        <v>161.923</v>
      </c>
    </row>
    <row r="163" spans="1:21" ht="18" customHeight="1">
      <c r="A163" s="175" t="s">
        <v>148</v>
      </c>
      <c r="B163" s="6" t="s">
        <v>149</v>
      </c>
      <c r="C163" s="175" t="s">
        <v>4</v>
      </c>
      <c r="D163" s="27">
        <f t="shared" ref="D163" si="90">D164+D167+D170+D173+D176</f>
        <v>71.188999999999993</v>
      </c>
      <c r="E163" s="175">
        <v>72.417000000000002</v>
      </c>
      <c r="F163" s="27">
        <f>F164+F167+F170+F173+F176</f>
        <v>13.732999999999999</v>
      </c>
      <c r="G163" s="10">
        <f t="shared" si="78"/>
        <v>-58.684000000000005</v>
      </c>
      <c r="H163" s="27">
        <f>H164+H167+H170+H173+H176</f>
        <v>3060.6876666666667</v>
      </c>
      <c r="I163" s="8">
        <f>E163+август!I161</f>
        <v>651.75300000000016</v>
      </c>
      <c r="J163" s="27">
        <f>J164+J167+J170+J173+J176</f>
        <v>608.11199999999997</v>
      </c>
      <c r="K163" s="10">
        <f t="shared" si="80"/>
        <v>-43.64100000000019</v>
      </c>
      <c r="L163" s="16">
        <f t="shared" si="89"/>
        <v>-6.6959415606832922</v>
      </c>
      <c r="M163" s="220"/>
      <c r="N163" s="221"/>
      <c r="O163" s="122">
        <f t="shared" si="83"/>
        <v>-2452.5756666666666</v>
      </c>
      <c r="P163" s="123">
        <f t="shared" si="84"/>
        <v>-80.131523819864881</v>
      </c>
      <c r="Q163" s="114"/>
      <c r="S163">
        <f t="shared" si="71"/>
        <v>355.94499999999994</v>
      </c>
      <c r="T163" s="44">
        <f>E163+апр!I156</f>
        <v>362.08500000000004</v>
      </c>
      <c r="U163" s="30">
        <f>F163+апр!J156</f>
        <v>539.65099999999995</v>
      </c>
    </row>
    <row r="164" spans="1:21" ht="17.25" customHeight="1">
      <c r="A164" s="8" t="s">
        <v>150</v>
      </c>
      <c r="B164" s="9" t="s">
        <v>151</v>
      </c>
      <c r="C164" s="8" t="s">
        <v>4</v>
      </c>
      <c r="D164" s="10">
        <v>49.027999999999999</v>
      </c>
      <c r="E164" s="8"/>
      <c r="F164" s="8"/>
      <c r="G164" s="10">
        <f t="shared" si="78"/>
        <v>0</v>
      </c>
      <c r="H164" s="10">
        <f>D164+август!H162</f>
        <v>441.25200000000007</v>
      </c>
      <c r="I164" s="8"/>
      <c r="J164" s="54">
        <f>F164+август!J162</f>
        <v>483.976</v>
      </c>
      <c r="K164" s="10">
        <f t="shared" si="80"/>
        <v>483.976</v>
      </c>
      <c r="L164" s="16"/>
      <c r="M164" s="220"/>
      <c r="N164" s="221"/>
      <c r="O164" s="122">
        <f t="shared" si="83"/>
        <v>42.723999999999933</v>
      </c>
      <c r="P164" s="123">
        <f t="shared" si="84"/>
        <v>9.6824490313924763</v>
      </c>
      <c r="Q164" s="114"/>
      <c r="S164">
        <f t="shared" si="71"/>
        <v>245.14</v>
      </c>
      <c r="T164" s="44">
        <f>E164+апр!I157</f>
        <v>0</v>
      </c>
      <c r="U164" s="30">
        <f>F164+апр!J157</f>
        <v>483.976</v>
      </c>
    </row>
    <row r="165" spans="1:21" ht="17.25" customHeight="1">
      <c r="A165" s="8"/>
      <c r="B165" s="28" t="s">
        <v>13</v>
      </c>
      <c r="C165" s="8" t="s">
        <v>152</v>
      </c>
      <c r="D165" s="10">
        <v>13.144</v>
      </c>
      <c r="E165" s="8"/>
      <c r="F165" s="8"/>
      <c r="G165" s="10">
        <f t="shared" si="78"/>
        <v>0</v>
      </c>
      <c r="H165" s="10">
        <f>D165+август!H163</f>
        <v>57.190999999999995</v>
      </c>
      <c r="I165" s="8"/>
      <c r="J165" s="54">
        <v>103.4</v>
      </c>
      <c r="K165" s="10">
        <f t="shared" si="80"/>
        <v>103.4</v>
      </c>
      <c r="L165" s="16"/>
      <c r="M165" s="227" t="s">
        <v>302</v>
      </c>
      <c r="N165" s="228"/>
      <c r="O165" s="122">
        <f t="shared" si="83"/>
        <v>46.20900000000001</v>
      </c>
      <c r="P165" s="123">
        <f t="shared" si="84"/>
        <v>80.79767795632182</v>
      </c>
      <c r="Q165" s="116"/>
      <c r="S165">
        <f t="shared" si="71"/>
        <v>65.72</v>
      </c>
      <c r="T165" s="44">
        <f>E165+апр!I158</f>
        <v>0</v>
      </c>
      <c r="U165" s="30">
        <f>F165+апр!J158</f>
        <v>81.87</v>
      </c>
    </row>
    <row r="166" spans="1:21" ht="17.25" customHeight="1">
      <c r="A166" s="8"/>
      <c r="B166" s="28" t="s">
        <v>15</v>
      </c>
      <c r="C166" s="8" t="s">
        <v>16</v>
      </c>
      <c r="D166" s="16">
        <f>D164/D165*1000</f>
        <v>3730.0669506999393</v>
      </c>
      <c r="E166" s="16"/>
      <c r="F166" s="16" t="e">
        <f>F164/F165*1000</f>
        <v>#DIV/0!</v>
      </c>
      <c r="G166" s="10" t="e">
        <f t="shared" si="78"/>
        <v>#DIV/0!</v>
      </c>
      <c r="H166" s="16">
        <f>H164/H165*1000</f>
        <v>7715.4097672710759</v>
      </c>
      <c r="I166" s="8"/>
      <c r="J166" s="16">
        <f>J164/J165*1000</f>
        <v>4680.618955512572</v>
      </c>
      <c r="K166" s="10">
        <f t="shared" si="80"/>
        <v>4680.618955512572</v>
      </c>
      <c r="L166" s="16"/>
      <c r="M166" s="220"/>
      <c r="N166" s="221"/>
      <c r="O166" s="122">
        <f t="shared" si="83"/>
        <v>-3034.7908117585039</v>
      </c>
      <c r="P166" s="123">
        <f t="shared" si="84"/>
        <v>-39.334149491737271</v>
      </c>
      <c r="Q166" s="114"/>
      <c r="S166">
        <f t="shared" si="71"/>
        <v>18650.334753499697</v>
      </c>
      <c r="T166" s="44">
        <f>E166+апр!I159</f>
        <v>0</v>
      </c>
      <c r="U166" s="30" t="e">
        <f>F166+апр!J159</f>
        <v>#DIV/0!</v>
      </c>
    </row>
    <row r="167" spans="1:21" ht="17.25" customHeight="1">
      <c r="A167" s="8" t="s">
        <v>153</v>
      </c>
      <c r="B167" s="9" t="s">
        <v>154</v>
      </c>
      <c r="C167" s="8" t="s">
        <v>4</v>
      </c>
      <c r="D167" s="10">
        <v>0.92300000000000004</v>
      </c>
      <c r="E167" s="8"/>
      <c r="F167" s="8"/>
      <c r="G167" s="10">
        <f t="shared" si="78"/>
        <v>0</v>
      </c>
      <c r="H167" s="10">
        <f>D167+август!H165</f>
        <v>1234.3586666666667</v>
      </c>
      <c r="I167" s="8"/>
      <c r="J167" s="54">
        <f>F167+август!J165</f>
        <v>0</v>
      </c>
      <c r="K167" s="10">
        <f t="shared" si="80"/>
        <v>0</v>
      </c>
      <c r="L167" s="16"/>
      <c r="M167" s="220"/>
      <c r="N167" s="221"/>
      <c r="O167" s="122">
        <f t="shared" si="83"/>
        <v>-1234.3586666666667</v>
      </c>
      <c r="P167" s="123">
        <f t="shared" si="84"/>
        <v>-100</v>
      </c>
      <c r="Q167" s="114"/>
      <c r="S167">
        <f t="shared" si="71"/>
        <v>4.6150000000000002</v>
      </c>
      <c r="T167" s="44">
        <f>E167+апр!I160</f>
        <v>0</v>
      </c>
      <c r="U167" s="30">
        <f>F167+апр!J160</f>
        <v>0</v>
      </c>
    </row>
    <row r="168" spans="1:21" ht="17.25" customHeight="1">
      <c r="A168" s="8"/>
      <c r="B168" s="28" t="s">
        <v>13</v>
      </c>
      <c r="C168" s="8" t="s">
        <v>155</v>
      </c>
      <c r="D168" s="10">
        <v>0.75</v>
      </c>
      <c r="E168" s="8"/>
      <c r="F168" s="8"/>
      <c r="G168" s="10">
        <f t="shared" si="78"/>
        <v>0</v>
      </c>
      <c r="H168" s="10">
        <f>D168+август!H166</f>
        <v>13.9</v>
      </c>
      <c r="I168" s="8"/>
      <c r="J168" s="54">
        <f>F168+август!J166</f>
        <v>0</v>
      </c>
      <c r="K168" s="10">
        <f t="shared" si="80"/>
        <v>0</v>
      </c>
      <c r="L168" s="16"/>
      <c r="M168" s="220"/>
      <c r="N168" s="221"/>
      <c r="O168" s="122">
        <f t="shared" si="83"/>
        <v>-13.9</v>
      </c>
      <c r="P168" s="123">
        <f t="shared" si="84"/>
        <v>-100</v>
      </c>
      <c r="Q168" s="114"/>
      <c r="S168">
        <f t="shared" si="71"/>
        <v>3.75</v>
      </c>
      <c r="T168" s="44">
        <f>E168+апр!I161</f>
        <v>0</v>
      </c>
      <c r="U168" s="30">
        <f>F168+апр!J161</f>
        <v>0</v>
      </c>
    </row>
    <row r="169" spans="1:21" ht="17.25" customHeight="1">
      <c r="A169" s="8"/>
      <c r="B169" s="28" t="s">
        <v>15</v>
      </c>
      <c r="C169" s="8" t="s">
        <v>16</v>
      </c>
      <c r="D169" s="16">
        <f>D167/D168*1000</f>
        <v>1230.6666666666667</v>
      </c>
      <c r="E169" s="8"/>
      <c r="F169" s="8"/>
      <c r="G169" s="10">
        <f t="shared" si="78"/>
        <v>0</v>
      </c>
      <c r="H169" s="16">
        <f>H167/H168*1000</f>
        <v>88802.781774580333</v>
      </c>
      <c r="I169" s="8"/>
      <c r="J169" s="8"/>
      <c r="K169" s="10">
        <f t="shared" si="80"/>
        <v>0</v>
      </c>
      <c r="L169" s="16"/>
      <c r="M169" s="220"/>
      <c r="N169" s="221"/>
      <c r="O169" s="122">
        <f t="shared" si="83"/>
        <v>-88802.781774580333</v>
      </c>
      <c r="P169" s="123">
        <f t="shared" si="84"/>
        <v>-100</v>
      </c>
      <c r="Q169" s="114"/>
      <c r="S169">
        <f t="shared" si="71"/>
        <v>6153.3333333333339</v>
      </c>
      <c r="T169" s="44">
        <f>E169+апр!I162</f>
        <v>0</v>
      </c>
      <c r="U169" s="30">
        <f>F169+апр!J162</f>
        <v>0</v>
      </c>
    </row>
    <row r="170" spans="1:21" ht="17.25" customHeight="1">
      <c r="A170" s="8" t="s">
        <v>156</v>
      </c>
      <c r="B170" s="9" t="s">
        <v>157</v>
      </c>
      <c r="C170" s="8" t="s">
        <v>4</v>
      </c>
      <c r="D170" s="10">
        <v>2.1800000000000002</v>
      </c>
      <c r="E170" s="8"/>
      <c r="F170" s="55">
        <v>1.706</v>
      </c>
      <c r="G170" s="10">
        <f t="shared" si="78"/>
        <v>1.706</v>
      </c>
      <c r="H170" s="10">
        <f>D170+август!H168</f>
        <v>117.72000000000003</v>
      </c>
      <c r="I170" s="8"/>
      <c r="J170" s="54">
        <f>F170+август!J168</f>
        <v>22.907999999999998</v>
      </c>
      <c r="K170" s="10">
        <f t="shared" si="80"/>
        <v>22.907999999999998</v>
      </c>
      <c r="L170" s="16"/>
      <c r="M170" s="220"/>
      <c r="N170" s="221"/>
      <c r="O170" s="122">
        <f t="shared" si="83"/>
        <v>-94.812000000000026</v>
      </c>
      <c r="P170" s="123">
        <f t="shared" si="84"/>
        <v>-80.540265035677876</v>
      </c>
      <c r="Q170" s="114"/>
      <c r="S170">
        <f t="shared" si="71"/>
        <v>10.9</v>
      </c>
      <c r="T170" s="44">
        <f>E170+апр!I163</f>
        <v>0</v>
      </c>
      <c r="U170" s="30">
        <f>F170+апр!J163</f>
        <v>14.508999999999999</v>
      </c>
    </row>
    <row r="171" spans="1:21" ht="17.25" customHeight="1">
      <c r="A171" s="8"/>
      <c r="B171" s="28" t="s">
        <v>13</v>
      </c>
      <c r="C171" s="8" t="s">
        <v>155</v>
      </c>
      <c r="D171" s="14">
        <v>20</v>
      </c>
      <c r="E171" s="8"/>
      <c r="F171" s="8"/>
      <c r="G171" s="10">
        <f t="shared" si="78"/>
        <v>0</v>
      </c>
      <c r="H171" s="10">
        <f>D171+август!H169</f>
        <v>175.29</v>
      </c>
      <c r="I171" s="8"/>
      <c r="J171" s="54">
        <v>176</v>
      </c>
      <c r="K171" s="10">
        <f t="shared" si="80"/>
        <v>176</v>
      </c>
      <c r="L171" s="16"/>
      <c r="M171" s="220"/>
      <c r="N171" s="221"/>
      <c r="O171" s="122">
        <f t="shared" si="83"/>
        <v>0.71000000000000796</v>
      </c>
      <c r="P171" s="123">
        <f t="shared" si="84"/>
        <v>0.40504307148154939</v>
      </c>
      <c r="Q171" s="114"/>
      <c r="S171">
        <f t="shared" si="71"/>
        <v>100</v>
      </c>
      <c r="T171" s="44">
        <f>E171+апр!I164</f>
        <v>0</v>
      </c>
      <c r="U171" s="30">
        <f>F171+апр!J164</f>
        <v>99</v>
      </c>
    </row>
    <row r="172" spans="1:21" ht="17.25" customHeight="1">
      <c r="A172" s="8"/>
      <c r="B172" s="28" t="s">
        <v>15</v>
      </c>
      <c r="C172" s="8" t="s">
        <v>16</v>
      </c>
      <c r="D172" s="16">
        <f>D170/D171*1000</f>
        <v>109.00000000000001</v>
      </c>
      <c r="E172" s="16"/>
      <c r="F172" s="16" t="e">
        <f t="shared" ref="F172" si="91">F170/F171*1000</f>
        <v>#DIV/0!</v>
      </c>
      <c r="G172" s="10" t="e">
        <f t="shared" si="78"/>
        <v>#DIV/0!</v>
      </c>
      <c r="H172" s="16">
        <f>H170/H171*1000</f>
        <v>671.57282218038699</v>
      </c>
      <c r="I172" s="8"/>
      <c r="J172" s="16">
        <f t="shared" ref="J172" si="92">J170/J171*1000</f>
        <v>130.15909090909088</v>
      </c>
      <c r="K172" s="10">
        <f t="shared" si="80"/>
        <v>130.15909090909088</v>
      </c>
      <c r="L172" s="16"/>
      <c r="M172" s="220"/>
      <c r="N172" s="221"/>
      <c r="O172" s="122">
        <f t="shared" si="83"/>
        <v>-541.41373127129611</v>
      </c>
      <c r="P172" s="123">
        <f t="shared" si="84"/>
        <v>-80.618767375590778</v>
      </c>
      <c r="Q172" s="114"/>
      <c r="S172">
        <f t="shared" si="71"/>
        <v>545.00000000000011</v>
      </c>
      <c r="T172" s="44">
        <f>E172+апр!I165</f>
        <v>0</v>
      </c>
      <c r="U172" s="30" t="e">
        <f>F172+апр!J165</f>
        <v>#DIV/0!</v>
      </c>
    </row>
    <row r="173" spans="1:21" ht="17.25" customHeight="1">
      <c r="A173" s="8" t="s">
        <v>158</v>
      </c>
      <c r="B173" s="9" t="s">
        <v>159</v>
      </c>
      <c r="C173" s="8" t="s">
        <v>4</v>
      </c>
      <c r="D173" s="10">
        <v>19.058</v>
      </c>
      <c r="E173" s="8"/>
      <c r="F173" s="54">
        <v>11.1</v>
      </c>
      <c r="G173" s="10">
        <f t="shared" si="78"/>
        <v>11.1</v>
      </c>
      <c r="H173" s="10">
        <f>D173+август!H171</f>
        <v>1267.357</v>
      </c>
      <c r="I173" s="8"/>
      <c r="J173" s="54">
        <f>F173+август!J171</f>
        <v>88.799999999999983</v>
      </c>
      <c r="K173" s="10">
        <f t="shared" si="80"/>
        <v>88.799999999999983</v>
      </c>
      <c r="L173" s="16"/>
      <c r="M173" s="220"/>
      <c r="N173" s="221"/>
      <c r="O173" s="122">
        <f t="shared" si="83"/>
        <v>-1178.557</v>
      </c>
      <c r="P173" s="123">
        <f t="shared" si="84"/>
        <v>-92.993292339885286</v>
      </c>
      <c r="Q173" s="114"/>
      <c r="S173">
        <f t="shared" si="71"/>
        <v>95.289999999999992</v>
      </c>
      <c r="T173" s="44">
        <f>E173+апр!I166</f>
        <v>0</v>
      </c>
      <c r="U173" s="30">
        <f>F173+апр!J166</f>
        <v>33.299999999999997</v>
      </c>
    </row>
    <row r="174" spans="1:21" ht="17.25" customHeight="1">
      <c r="A174" s="8"/>
      <c r="B174" s="28" t="s">
        <v>13</v>
      </c>
      <c r="C174" s="8" t="s">
        <v>155</v>
      </c>
      <c r="D174" s="14">
        <v>16</v>
      </c>
      <c r="E174" s="8"/>
      <c r="F174" s="8"/>
      <c r="G174" s="10">
        <f t="shared" si="78"/>
        <v>0</v>
      </c>
      <c r="H174" s="10">
        <f>D174+август!H172</f>
        <v>64</v>
      </c>
      <c r="I174" s="8"/>
      <c r="J174" s="54">
        <v>96</v>
      </c>
      <c r="K174" s="10">
        <f t="shared" si="80"/>
        <v>96</v>
      </c>
      <c r="L174" s="16"/>
      <c r="M174" s="220"/>
      <c r="N174" s="221"/>
      <c r="O174" s="122">
        <f t="shared" si="83"/>
        <v>32</v>
      </c>
      <c r="P174" s="123">
        <f t="shared" si="84"/>
        <v>50</v>
      </c>
      <c r="Q174" s="114"/>
      <c r="S174">
        <f t="shared" si="71"/>
        <v>80</v>
      </c>
      <c r="T174" s="44">
        <f>E174+апр!I167</f>
        <v>0</v>
      </c>
      <c r="U174" s="30">
        <f>F174+апр!J167</f>
        <v>6</v>
      </c>
    </row>
    <row r="175" spans="1:21" ht="17.25" customHeight="1">
      <c r="A175" s="8"/>
      <c r="B175" s="28" t="s">
        <v>15</v>
      </c>
      <c r="C175" s="8" t="s">
        <v>16</v>
      </c>
      <c r="D175" s="16">
        <f>D173/D174*1000</f>
        <v>1191.125</v>
      </c>
      <c r="E175" s="8"/>
      <c r="F175" s="16" t="e">
        <f>F173/F174*1000</f>
        <v>#DIV/0!</v>
      </c>
      <c r="G175" s="10" t="e">
        <f t="shared" si="78"/>
        <v>#DIV/0!</v>
      </c>
      <c r="H175" s="16">
        <f>H173/H174*1000</f>
        <v>19802.453125</v>
      </c>
      <c r="I175" s="8"/>
      <c r="J175" s="16">
        <f>J173/J174*1000</f>
        <v>924.99999999999977</v>
      </c>
      <c r="K175" s="10">
        <f t="shared" si="80"/>
        <v>924.99999999999977</v>
      </c>
      <c r="L175" s="16"/>
      <c r="M175" s="220"/>
      <c r="N175" s="221"/>
      <c r="O175" s="122">
        <f t="shared" si="83"/>
        <v>-18877.453125</v>
      </c>
      <c r="P175" s="123">
        <f t="shared" si="84"/>
        <v>-95.328861559923524</v>
      </c>
      <c r="Q175" s="114"/>
      <c r="S175">
        <f t="shared" si="71"/>
        <v>5955.625</v>
      </c>
      <c r="T175" s="44">
        <f>E175+апр!I168</f>
        <v>0</v>
      </c>
      <c r="U175" s="30" t="e">
        <f>F175+апр!J168</f>
        <v>#DIV/0!</v>
      </c>
    </row>
    <row r="176" spans="1:21" ht="17.25" customHeight="1">
      <c r="A176" s="8" t="s">
        <v>158</v>
      </c>
      <c r="B176" s="9" t="s">
        <v>224</v>
      </c>
      <c r="C176" s="8" t="s">
        <v>4</v>
      </c>
      <c r="D176" s="10">
        <v>0</v>
      </c>
      <c r="E176" s="8"/>
      <c r="F176" s="55">
        <v>0.92700000000000005</v>
      </c>
      <c r="G176" s="10">
        <f t="shared" si="78"/>
        <v>0.92700000000000005</v>
      </c>
      <c r="H176" s="10">
        <f>D176+август!H174</f>
        <v>0</v>
      </c>
      <c r="I176" s="8"/>
      <c r="J176" s="54">
        <f>F176+август!J174</f>
        <v>12.427999999999999</v>
      </c>
      <c r="K176" s="10">
        <f t="shared" si="80"/>
        <v>12.427999999999999</v>
      </c>
      <c r="L176" s="16"/>
      <c r="M176" s="220"/>
      <c r="N176" s="221"/>
      <c r="O176" s="122">
        <f t="shared" si="83"/>
        <v>12.427999999999999</v>
      </c>
      <c r="P176" s="123" t="e">
        <f t="shared" si="84"/>
        <v>#DIV/0!</v>
      </c>
      <c r="Q176" s="114"/>
      <c r="S176">
        <f t="shared" si="71"/>
        <v>0</v>
      </c>
      <c r="T176" s="44">
        <f>E176+апр!I169</f>
        <v>0</v>
      </c>
      <c r="U176" s="30">
        <f>F176+апр!J169</f>
        <v>7.8659999999999997</v>
      </c>
    </row>
    <row r="177" spans="1:21" ht="17.25" customHeight="1">
      <c r="A177" s="8"/>
      <c r="B177" s="28" t="s">
        <v>13</v>
      </c>
      <c r="C177" s="8" t="s">
        <v>155</v>
      </c>
      <c r="D177" s="14">
        <v>0</v>
      </c>
      <c r="E177" s="8"/>
      <c r="F177" s="8"/>
      <c r="G177" s="10">
        <f t="shared" si="78"/>
        <v>0</v>
      </c>
      <c r="H177" s="10">
        <f>D177+август!H175</f>
        <v>0</v>
      </c>
      <c r="I177" s="8"/>
      <c r="J177" s="54">
        <v>176</v>
      </c>
      <c r="K177" s="10">
        <f t="shared" si="80"/>
        <v>176</v>
      </c>
      <c r="L177" s="16"/>
      <c r="M177" s="220"/>
      <c r="N177" s="221"/>
      <c r="O177" s="122">
        <f t="shared" si="83"/>
        <v>176</v>
      </c>
      <c r="P177" s="123" t="e">
        <f t="shared" si="84"/>
        <v>#DIV/0!</v>
      </c>
      <c r="Q177" s="114"/>
      <c r="S177">
        <f t="shared" si="71"/>
        <v>0</v>
      </c>
      <c r="T177" s="44">
        <f>E177+апр!I170</f>
        <v>0</v>
      </c>
      <c r="U177" s="30">
        <f>F177+апр!J170</f>
        <v>99</v>
      </c>
    </row>
    <row r="178" spans="1:21" ht="17.25" customHeight="1">
      <c r="A178" s="8"/>
      <c r="B178" s="28" t="s">
        <v>15</v>
      </c>
      <c r="C178" s="8" t="s">
        <v>16</v>
      </c>
      <c r="D178" s="16" t="e">
        <f>D176/D177*1000</f>
        <v>#DIV/0!</v>
      </c>
      <c r="E178" s="8"/>
      <c r="F178" s="16" t="e">
        <f>F176/F177*1000</f>
        <v>#DIV/0!</v>
      </c>
      <c r="G178" s="10" t="e">
        <f t="shared" si="78"/>
        <v>#DIV/0!</v>
      </c>
      <c r="H178" s="16" t="e">
        <f>H176/H177*1000</f>
        <v>#DIV/0!</v>
      </c>
      <c r="I178" s="8"/>
      <c r="J178" s="16">
        <f>J176/J177*1000</f>
        <v>70.61363636363636</v>
      </c>
      <c r="K178" s="10">
        <f t="shared" si="80"/>
        <v>70.61363636363636</v>
      </c>
      <c r="L178" s="16"/>
      <c r="M178" s="220"/>
      <c r="N178" s="221"/>
      <c r="O178" s="122" t="e">
        <f t="shared" si="83"/>
        <v>#DIV/0!</v>
      </c>
      <c r="P178" s="123" t="e">
        <f t="shared" si="84"/>
        <v>#DIV/0!</v>
      </c>
      <c r="Q178" s="114"/>
      <c r="S178" t="e">
        <f t="shared" si="71"/>
        <v>#DIV/0!</v>
      </c>
      <c r="T178" s="44">
        <f>E178+апр!I171</f>
        <v>0</v>
      </c>
      <c r="U178" s="30" t="e">
        <f>F178+апр!J171</f>
        <v>#DIV/0!</v>
      </c>
    </row>
    <row r="179" spans="1:21" ht="17.25" customHeight="1">
      <c r="A179" s="16" t="s">
        <v>160</v>
      </c>
      <c r="B179" s="9" t="s">
        <v>108</v>
      </c>
      <c r="C179" s="8" t="s">
        <v>4</v>
      </c>
      <c r="D179" s="10">
        <v>62.704999999999998</v>
      </c>
      <c r="E179" s="8">
        <v>62.667000000000002</v>
      </c>
      <c r="F179" s="10">
        <f>F180+F181+F182</f>
        <v>40.86</v>
      </c>
      <c r="G179" s="10">
        <f t="shared" si="78"/>
        <v>-21.807000000000002</v>
      </c>
      <c r="H179" s="10">
        <f>D179+август!H177</f>
        <v>564.34499999999991</v>
      </c>
      <c r="I179" s="8">
        <f>E179+август!I177</f>
        <v>564.00300000000016</v>
      </c>
      <c r="J179" s="8">
        <f>J180+J181+J182</f>
        <v>597.15099999999995</v>
      </c>
      <c r="K179" s="10">
        <f t="shared" si="80"/>
        <v>33.147999999999797</v>
      </c>
      <c r="L179" s="16">
        <f t="shared" si="89"/>
        <v>5.877273702444807</v>
      </c>
      <c r="M179" s="220"/>
      <c r="N179" s="221"/>
      <c r="O179" s="122">
        <f t="shared" si="83"/>
        <v>32.80600000000004</v>
      </c>
      <c r="P179" s="123">
        <f t="shared" si="84"/>
        <v>5.8131107744376305</v>
      </c>
      <c r="Q179" s="114"/>
      <c r="S179">
        <f t="shared" si="71"/>
        <v>313.52499999999998</v>
      </c>
      <c r="T179" s="44">
        <f>E179+апр!I172</f>
        <v>313.33500000000004</v>
      </c>
      <c r="U179" s="30">
        <f>F179+апр!J172</f>
        <v>301.41100000000006</v>
      </c>
    </row>
    <row r="180" spans="1:21" ht="17.25" customHeight="1">
      <c r="A180" s="16"/>
      <c r="B180" s="9" t="s">
        <v>221</v>
      </c>
      <c r="C180" s="8" t="s">
        <v>4</v>
      </c>
      <c r="D180" s="10"/>
      <c r="E180" s="8"/>
      <c r="F180" s="54">
        <v>28.86</v>
      </c>
      <c r="G180" s="10">
        <f t="shared" si="78"/>
        <v>28.86</v>
      </c>
      <c r="H180" s="10">
        <f>D180+август!H178</f>
        <v>0</v>
      </c>
      <c r="I180" s="8"/>
      <c r="J180" s="54">
        <v>447.33</v>
      </c>
      <c r="K180" s="10">
        <f t="shared" si="80"/>
        <v>447.33</v>
      </c>
      <c r="L180" s="16"/>
      <c r="M180" s="220"/>
      <c r="N180" s="221"/>
      <c r="O180" s="122">
        <f t="shared" si="83"/>
        <v>447.33</v>
      </c>
      <c r="P180" s="123" t="e">
        <f t="shared" si="84"/>
        <v>#DIV/0!</v>
      </c>
      <c r="Q180" s="114"/>
      <c r="S180">
        <f t="shared" si="71"/>
        <v>0</v>
      </c>
      <c r="T180" s="44">
        <f>E180+апр!I173</f>
        <v>0</v>
      </c>
      <c r="U180" s="30">
        <f>F180+апр!J173</f>
        <v>187.59000000000003</v>
      </c>
    </row>
    <row r="181" spans="1:21" ht="37.5" customHeight="1">
      <c r="A181" s="16"/>
      <c r="B181" s="9" t="s">
        <v>222</v>
      </c>
      <c r="C181" s="8" t="s">
        <v>4</v>
      </c>
      <c r="D181" s="10"/>
      <c r="E181" s="8"/>
      <c r="F181" s="10">
        <v>12</v>
      </c>
      <c r="G181" s="10">
        <f t="shared" si="78"/>
        <v>12</v>
      </c>
      <c r="H181" s="10">
        <f>D181+август!H179</f>
        <v>324.53000000000003</v>
      </c>
      <c r="I181" s="8"/>
      <c r="J181" s="54">
        <v>149.821</v>
      </c>
      <c r="K181" s="10">
        <f t="shared" si="80"/>
        <v>149.821</v>
      </c>
      <c r="L181" s="16"/>
      <c r="M181" s="220"/>
      <c r="N181" s="221"/>
      <c r="O181" s="122">
        <f t="shared" si="83"/>
        <v>-174.70900000000003</v>
      </c>
      <c r="P181" s="123">
        <f t="shared" si="84"/>
        <v>-53.834468308014671</v>
      </c>
      <c r="Q181" s="114"/>
      <c r="S181">
        <f t="shared" si="71"/>
        <v>0</v>
      </c>
      <c r="T181" s="44">
        <f>E181+апр!I174</f>
        <v>0</v>
      </c>
      <c r="U181" s="30">
        <f>F181+апр!J174</f>
        <v>113.821</v>
      </c>
    </row>
    <row r="182" spans="1:21" ht="18.75" customHeight="1">
      <c r="A182" s="16"/>
      <c r="B182" s="9" t="s">
        <v>223</v>
      </c>
      <c r="C182" s="8" t="s">
        <v>4</v>
      </c>
      <c r="D182" s="10"/>
      <c r="E182" s="8"/>
      <c r="F182" s="8"/>
      <c r="G182" s="10">
        <f t="shared" si="78"/>
        <v>0</v>
      </c>
      <c r="H182" s="10">
        <f>D182+август!H180</f>
        <v>11.165000000000001</v>
      </c>
      <c r="I182" s="8"/>
      <c r="J182" s="54">
        <f>F182+август!J180</f>
        <v>0</v>
      </c>
      <c r="K182" s="10">
        <f t="shared" si="80"/>
        <v>0</v>
      </c>
      <c r="L182" s="16"/>
      <c r="M182" s="220"/>
      <c r="N182" s="221"/>
      <c r="O182" s="122">
        <f t="shared" si="83"/>
        <v>-11.165000000000001</v>
      </c>
      <c r="P182" s="123">
        <f t="shared" si="84"/>
        <v>-100</v>
      </c>
      <c r="Q182" s="114"/>
      <c r="S182">
        <f t="shared" si="71"/>
        <v>0</v>
      </c>
      <c r="T182" s="44">
        <f>E182+апр!I175</f>
        <v>0</v>
      </c>
      <c r="U182" s="30">
        <f>F182+апр!J175</f>
        <v>0</v>
      </c>
    </row>
    <row r="183" spans="1:21" ht="18.75">
      <c r="A183" s="16" t="s">
        <v>161</v>
      </c>
      <c r="B183" s="9" t="s">
        <v>162</v>
      </c>
      <c r="C183" s="8" t="s">
        <v>4</v>
      </c>
      <c r="D183" s="10">
        <v>64.906000000000006</v>
      </c>
      <c r="E183" s="8">
        <v>64.917000000000002</v>
      </c>
      <c r="F183" s="8"/>
      <c r="G183" s="10">
        <f t="shared" si="78"/>
        <v>-64.917000000000002</v>
      </c>
      <c r="H183" s="10">
        <f>D183+август!H181</f>
        <v>270.78900000000004</v>
      </c>
      <c r="I183" s="8">
        <f>E183+август!I181</f>
        <v>584.25300000000016</v>
      </c>
      <c r="J183" s="54">
        <f>76.982+61.839+158.926+118.125+226.659</f>
        <v>642.53099999999995</v>
      </c>
      <c r="K183" s="10">
        <f t="shared" si="80"/>
        <v>58.277999999999793</v>
      </c>
      <c r="L183" s="16">
        <f t="shared" si="89"/>
        <v>9.9747883194437641</v>
      </c>
      <c r="M183" s="220"/>
      <c r="N183" s="221"/>
      <c r="O183" s="122">
        <f t="shared" si="83"/>
        <v>371.7419999999999</v>
      </c>
      <c r="P183" s="123">
        <f t="shared" si="84"/>
        <v>137.28105646832029</v>
      </c>
      <c r="Q183" s="114"/>
      <c r="S183">
        <f t="shared" si="71"/>
        <v>324.53000000000003</v>
      </c>
      <c r="T183" s="44">
        <f>E183+апр!I176</f>
        <v>324.58500000000004</v>
      </c>
      <c r="U183" s="30">
        <f>F183+апр!J176</f>
        <v>305.517</v>
      </c>
    </row>
    <row r="184" spans="1:21" ht="35.25" customHeight="1">
      <c r="A184" s="16" t="s">
        <v>163</v>
      </c>
      <c r="B184" s="9" t="s">
        <v>165</v>
      </c>
      <c r="C184" s="8" t="s">
        <v>4</v>
      </c>
      <c r="D184" s="10">
        <f>D185</f>
        <v>2.2330000000000001</v>
      </c>
      <c r="E184" s="8"/>
      <c r="F184" s="8"/>
      <c r="G184" s="10">
        <f t="shared" si="78"/>
        <v>0</v>
      </c>
      <c r="H184" s="10">
        <f>H185</f>
        <v>315.39699999999999</v>
      </c>
      <c r="I184" s="8"/>
      <c r="J184" s="8">
        <f>август!J182</f>
        <v>0</v>
      </c>
      <c r="K184" s="10">
        <f t="shared" si="80"/>
        <v>0</v>
      </c>
      <c r="L184" s="16"/>
      <c r="M184" s="220"/>
      <c r="N184" s="221"/>
      <c r="O184" s="122">
        <f t="shared" si="83"/>
        <v>-315.39699999999999</v>
      </c>
      <c r="P184" s="123">
        <f t="shared" si="84"/>
        <v>-100</v>
      </c>
      <c r="Q184" s="114"/>
      <c r="S184">
        <f t="shared" si="71"/>
        <v>11.165000000000001</v>
      </c>
      <c r="T184" s="44">
        <f>E184+апр!I177</f>
        <v>0</v>
      </c>
      <c r="U184" s="30">
        <f>F184+апр!J177</f>
        <v>0</v>
      </c>
    </row>
    <row r="185" spans="1:21" ht="18.75" customHeight="1">
      <c r="A185" s="16"/>
      <c r="B185" s="9" t="s">
        <v>100</v>
      </c>
      <c r="C185" s="8" t="s">
        <v>4</v>
      </c>
      <c r="D185" s="10">
        <v>2.2330000000000001</v>
      </c>
      <c r="E185" s="8"/>
      <c r="F185" s="8"/>
      <c r="G185" s="10">
        <f t="shared" si="78"/>
        <v>0</v>
      </c>
      <c r="H185" s="10">
        <f>D185+август!H183</f>
        <v>315.39699999999999</v>
      </c>
      <c r="I185" s="8"/>
      <c r="J185" s="54">
        <f>F185+август!J183</f>
        <v>0</v>
      </c>
      <c r="K185" s="10">
        <f t="shared" si="80"/>
        <v>0</v>
      </c>
      <c r="L185" s="16"/>
      <c r="M185" s="173"/>
      <c r="N185" s="174"/>
      <c r="O185" s="122">
        <f t="shared" si="83"/>
        <v>-315.39699999999999</v>
      </c>
      <c r="P185" s="123">
        <f t="shared" si="84"/>
        <v>-100</v>
      </c>
      <c r="Q185" s="114"/>
      <c r="S185">
        <f t="shared" si="71"/>
        <v>11.165000000000001</v>
      </c>
      <c r="T185" s="44">
        <f>E185+апр!I178</f>
        <v>0</v>
      </c>
      <c r="U185" s="30">
        <f>F185+апр!J178</f>
        <v>0</v>
      </c>
    </row>
    <row r="186" spans="1:21" ht="17.25" customHeight="1">
      <c r="A186" s="16" t="s">
        <v>164</v>
      </c>
      <c r="B186" s="6" t="s">
        <v>169</v>
      </c>
      <c r="C186" s="175" t="s">
        <v>4</v>
      </c>
      <c r="D186" s="7">
        <f t="shared" ref="D186:F186" si="93">D187+D188+D189</f>
        <v>318.99799999999999</v>
      </c>
      <c r="E186" s="7">
        <f t="shared" si="93"/>
        <v>637.41600000000005</v>
      </c>
      <c r="F186" s="7">
        <f t="shared" si="93"/>
        <v>0</v>
      </c>
      <c r="G186" s="10">
        <f t="shared" si="78"/>
        <v>-637.41600000000005</v>
      </c>
      <c r="H186" s="7">
        <f t="shared" ref="H186:I186" si="94">H187+H188+H189</f>
        <v>2453.2669999999998</v>
      </c>
      <c r="I186" s="7">
        <f t="shared" si="94"/>
        <v>5160.6610000000001</v>
      </c>
      <c r="J186" s="7">
        <f>J187+J188+J189</f>
        <v>5549.3459999999995</v>
      </c>
      <c r="K186" s="10">
        <f t="shared" si="80"/>
        <v>388.68499999999949</v>
      </c>
      <c r="L186" s="16">
        <f t="shared" si="89"/>
        <v>7.5316902234035421</v>
      </c>
      <c r="M186" s="220"/>
      <c r="N186" s="221"/>
      <c r="O186" s="122">
        <f t="shared" si="83"/>
        <v>3096.0789999999997</v>
      </c>
      <c r="P186" s="123">
        <f t="shared" si="84"/>
        <v>126.20228454546529</v>
      </c>
      <c r="Q186" s="114"/>
      <c r="S186">
        <f t="shared" si="71"/>
        <v>1594.99</v>
      </c>
      <c r="T186" s="44">
        <f>E186+апр!I179</f>
        <v>3187.0800000000004</v>
      </c>
      <c r="U186" s="30">
        <f>F186+апр!J179</f>
        <v>0</v>
      </c>
    </row>
    <row r="187" spans="1:21" ht="17.25" customHeight="1">
      <c r="A187" s="8" t="s">
        <v>166</v>
      </c>
      <c r="B187" s="9" t="s">
        <v>170</v>
      </c>
      <c r="C187" s="8" t="s">
        <v>4</v>
      </c>
      <c r="D187" s="10">
        <v>61.292999999999999</v>
      </c>
      <c r="E187" s="8">
        <v>61.332999999999998</v>
      </c>
      <c r="F187" s="8"/>
      <c r="G187" s="10">
        <f t="shared" si="78"/>
        <v>-61.332999999999998</v>
      </c>
      <c r="H187" s="10">
        <f>D187+август!H185</f>
        <v>691.31200000000001</v>
      </c>
      <c r="I187" s="8">
        <f>E187+август!I185</f>
        <v>551.99699999999984</v>
      </c>
      <c r="J187" s="54">
        <v>798.73400000000004</v>
      </c>
      <c r="K187" s="10">
        <f t="shared" si="80"/>
        <v>246.73700000000019</v>
      </c>
      <c r="L187" s="16">
        <f t="shared" si="89"/>
        <v>44.698974813268961</v>
      </c>
      <c r="M187" s="220"/>
      <c r="N187" s="221"/>
      <c r="O187" s="122">
        <f t="shared" si="83"/>
        <v>107.42200000000003</v>
      </c>
      <c r="P187" s="123">
        <f t="shared" si="84"/>
        <v>15.538859444071566</v>
      </c>
      <c r="Q187" s="114"/>
      <c r="S187">
        <f t="shared" si="71"/>
        <v>306.46499999999997</v>
      </c>
      <c r="T187" s="44">
        <f>E187+апр!I180</f>
        <v>306.66499999999996</v>
      </c>
      <c r="U187" s="30">
        <f>F187+апр!J180</f>
        <v>0</v>
      </c>
    </row>
    <row r="188" spans="1:21" ht="17.25" customHeight="1">
      <c r="A188" s="8" t="s">
        <v>167</v>
      </c>
      <c r="B188" s="9" t="s">
        <v>171</v>
      </c>
      <c r="C188" s="8" t="s">
        <v>4</v>
      </c>
      <c r="D188" s="10">
        <v>168.477</v>
      </c>
      <c r="E188" s="8">
        <v>486.83300000000003</v>
      </c>
      <c r="F188" s="8"/>
      <c r="G188" s="10">
        <f t="shared" si="78"/>
        <v>-486.83300000000003</v>
      </c>
      <c r="H188" s="10">
        <f>D188+август!H186</f>
        <v>1152.453</v>
      </c>
      <c r="I188" s="8">
        <f>E188+август!I186</f>
        <v>3894.6640000000002</v>
      </c>
      <c r="J188" s="54">
        <v>3831.7649999999999</v>
      </c>
      <c r="K188" s="10">
        <f t="shared" si="80"/>
        <v>-62.899000000000342</v>
      </c>
      <c r="L188" s="16">
        <f t="shared" si="89"/>
        <v>-1.6150045292739075</v>
      </c>
      <c r="M188" s="227" t="s">
        <v>300</v>
      </c>
      <c r="N188" s="228"/>
      <c r="O188" s="122">
        <f t="shared" si="83"/>
        <v>2679.3119999999999</v>
      </c>
      <c r="P188" s="123">
        <f t="shared" si="84"/>
        <v>232.48774570416319</v>
      </c>
      <c r="Q188" s="116"/>
      <c r="S188">
        <f t="shared" si="71"/>
        <v>842.38499999999999</v>
      </c>
      <c r="T188" s="44">
        <f>E188+апр!I181</f>
        <v>2434.165</v>
      </c>
      <c r="U188" s="30">
        <f>F188+апр!J181</f>
        <v>0</v>
      </c>
    </row>
    <row r="189" spans="1:21" ht="17.25" customHeight="1">
      <c r="A189" s="8" t="s">
        <v>267</v>
      </c>
      <c r="B189" s="9" t="s">
        <v>172</v>
      </c>
      <c r="C189" s="8" t="s">
        <v>4</v>
      </c>
      <c r="D189" s="10">
        <v>89.227999999999994</v>
      </c>
      <c r="E189" s="10">
        <v>89.25</v>
      </c>
      <c r="F189" s="8"/>
      <c r="G189" s="10">
        <f t="shared" si="78"/>
        <v>-89.25</v>
      </c>
      <c r="H189" s="10">
        <f>D189+август!H187</f>
        <v>609.50199999999995</v>
      </c>
      <c r="I189" s="8">
        <f>E189+август!I187</f>
        <v>714</v>
      </c>
      <c r="J189" s="54">
        <v>918.84699999999998</v>
      </c>
      <c r="K189" s="10">
        <f t="shared" si="80"/>
        <v>204.84699999999998</v>
      </c>
      <c r="L189" s="16">
        <f t="shared" si="89"/>
        <v>28.69005602240896</v>
      </c>
      <c r="M189" s="227" t="s">
        <v>300</v>
      </c>
      <c r="N189" s="228"/>
      <c r="O189" s="122">
        <f t="shared" si="83"/>
        <v>309.34500000000003</v>
      </c>
      <c r="P189" s="123">
        <f t="shared" si="84"/>
        <v>50.753730094404951</v>
      </c>
      <c r="Q189" s="116"/>
      <c r="S189">
        <f t="shared" si="71"/>
        <v>446.14</v>
      </c>
      <c r="T189" s="44">
        <f>E189+апр!I182</f>
        <v>446.25</v>
      </c>
      <c r="U189" s="30">
        <f>F189+апр!J182</f>
        <v>0</v>
      </c>
    </row>
    <row r="190" spans="1:21" ht="53.25" customHeight="1">
      <c r="A190" s="8" t="s">
        <v>168</v>
      </c>
      <c r="B190" s="9" t="s">
        <v>174</v>
      </c>
      <c r="C190" s="8" t="s">
        <v>4</v>
      </c>
      <c r="D190" s="10">
        <v>95.709000000000003</v>
      </c>
      <c r="E190" s="8">
        <v>93.167000000000002</v>
      </c>
      <c r="F190" s="8">
        <v>118.56</v>
      </c>
      <c r="G190" s="10">
        <f t="shared" si="78"/>
        <v>25.393000000000001</v>
      </c>
      <c r="H190" s="10">
        <f>D190+август!H188</f>
        <v>479.10599999999999</v>
      </c>
      <c r="I190" s="8">
        <f>E190+август!I188</f>
        <v>745.33600000000013</v>
      </c>
      <c r="J190" s="54">
        <f>F190+август!J188</f>
        <v>826.21900000000005</v>
      </c>
      <c r="K190" s="10">
        <f t="shared" si="80"/>
        <v>80.882999999999925</v>
      </c>
      <c r="L190" s="16">
        <f t="shared" si="89"/>
        <v>10.851884250861344</v>
      </c>
      <c r="M190" s="222" t="s">
        <v>303</v>
      </c>
      <c r="N190" s="223"/>
      <c r="O190" s="122">
        <f t="shared" si="83"/>
        <v>347.11300000000006</v>
      </c>
      <c r="P190" s="123">
        <f t="shared" si="84"/>
        <v>72.45014673162099</v>
      </c>
      <c r="Q190" s="115"/>
      <c r="S190">
        <f t="shared" si="71"/>
        <v>478.54500000000002</v>
      </c>
      <c r="T190" s="44">
        <f>E190+апр!I183</f>
        <v>465.83500000000004</v>
      </c>
      <c r="U190" s="30">
        <f>F190+апр!J183</f>
        <v>433.23400000000004</v>
      </c>
    </row>
    <row r="191" spans="1:21" ht="33" customHeight="1">
      <c r="A191" s="175" t="s">
        <v>173</v>
      </c>
      <c r="B191" s="6" t="s">
        <v>176</v>
      </c>
      <c r="C191" s="175" t="s">
        <v>4</v>
      </c>
      <c r="D191" s="7">
        <f t="shared" ref="D191:F191" si="95">D192+D193+D194</f>
        <v>50.518000000000001</v>
      </c>
      <c r="E191" s="7">
        <v>50.5</v>
      </c>
      <c r="F191" s="7">
        <f t="shared" si="95"/>
        <v>0</v>
      </c>
      <c r="G191" s="10">
        <f t="shared" si="78"/>
        <v>-50.5</v>
      </c>
      <c r="H191" s="7">
        <f t="shared" ref="H191:I191" si="96">H192+H193+H194</f>
        <v>470.89199999999994</v>
      </c>
      <c r="I191" s="7">
        <f t="shared" si="96"/>
        <v>0</v>
      </c>
      <c r="J191" s="7">
        <f>J192+J193+J194</f>
        <v>636.77299999999991</v>
      </c>
      <c r="K191" s="10">
        <f t="shared" si="80"/>
        <v>636.77299999999991</v>
      </c>
      <c r="L191" s="16" t="e">
        <f t="shared" si="89"/>
        <v>#DIV/0!</v>
      </c>
      <c r="M191" s="229" t="s">
        <v>293</v>
      </c>
      <c r="N191" s="230"/>
      <c r="O191" s="122">
        <f t="shared" si="83"/>
        <v>165.88099999999997</v>
      </c>
      <c r="P191" s="123">
        <f t="shared" si="84"/>
        <v>35.226973488613098</v>
      </c>
      <c r="Q191" s="179"/>
      <c r="R191" s="7">
        <f>R192+R193+R194</f>
        <v>343.50800000000004</v>
      </c>
      <c r="S191">
        <f t="shared" si="71"/>
        <v>252.59</v>
      </c>
      <c r="T191" s="44">
        <f>E191+апр!I184</f>
        <v>252.5</v>
      </c>
      <c r="U191" s="30">
        <f>F191+апр!J184</f>
        <v>0</v>
      </c>
    </row>
    <row r="192" spans="1:21" ht="17.25" customHeight="1">
      <c r="A192" s="8" t="s">
        <v>268</v>
      </c>
      <c r="B192" s="9" t="s">
        <v>177</v>
      </c>
      <c r="C192" s="8" t="s">
        <v>4</v>
      </c>
      <c r="D192" s="10">
        <v>19.254000000000001</v>
      </c>
      <c r="E192" s="8"/>
      <c r="F192" s="10"/>
      <c r="G192" s="10">
        <f t="shared" si="78"/>
        <v>0</v>
      </c>
      <c r="H192" s="10">
        <f>D192+август!H190</f>
        <v>189.51599999999996</v>
      </c>
      <c r="I192" s="8">
        <f>E192+август!I190</f>
        <v>0</v>
      </c>
      <c r="J192" s="54">
        <v>260.24</v>
      </c>
      <c r="K192" s="10">
        <f t="shared" si="80"/>
        <v>260.24</v>
      </c>
      <c r="L192" s="16"/>
      <c r="M192" s="220"/>
      <c r="N192" s="221"/>
      <c r="O192" s="122">
        <f t="shared" si="83"/>
        <v>70.724000000000046</v>
      </c>
      <c r="P192" s="123">
        <f t="shared" si="84"/>
        <v>37.318221152831455</v>
      </c>
      <c r="Q192" s="174"/>
      <c r="R192" s="10">
        <v>130.12</v>
      </c>
      <c r="S192">
        <f t="shared" si="71"/>
        <v>96.27000000000001</v>
      </c>
      <c r="T192" s="44">
        <f>E192+апр!I185</f>
        <v>0</v>
      </c>
      <c r="U192" s="30">
        <f>F192+апр!J185</f>
        <v>0</v>
      </c>
    </row>
    <row r="193" spans="1:21" ht="17.25" customHeight="1">
      <c r="A193" s="8" t="s">
        <v>269</v>
      </c>
      <c r="B193" s="9" t="s">
        <v>178</v>
      </c>
      <c r="C193" s="8" t="s">
        <v>4</v>
      </c>
      <c r="D193" s="10">
        <v>8.7639999999999993</v>
      </c>
      <c r="E193" s="8"/>
      <c r="F193" s="8"/>
      <c r="G193" s="10">
        <f t="shared" si="78"/>
        <v>0</v>
      </c>
      <c r="H193" s="10">
        <f>D193+август!H191</f>
        <v>78.875999999999976</v>
      </c>
      <c r="I193" s="8">
        <f>E193+август!I191</f>
        <v>0</v>
      </c>
      <c r="J193" s="54">
        <v>35.484000000000002</v>
      </c>
      <c r="K193" s="10">
        <f t="shared" si="80"/>
        <v>35.484000000000002</v>
      </c>
      <c r="L193" s="16"/>
      <c r="M193" s="220"/>
      <c r="N193" s="221"/>
      <c r="O193" s="122">
        <f t="shared" si="83"/>
        <v>-43.391999999999975</v>
      </c>
      <c r="P193" s="123">
        <f t="shared" si="84"/>
        <v>-55.012931690247967</v>
      </c>
      <c r="Q193" s="174"/>
      <c r="R193" s="8">
        <v>15.369</v>
      </c>
      <c r="S193">
        <f t="shared" si="71"/>
        <v>43.819999999999993</v>
      </c>
      <c r="T193" s="44">
        <f>E193+апр!I186</f>
        <v>0</v>
      </c>
      <c r="U193" s="30">
        <f>F193+апр!J186</f>
        <v>0</v>
      </c>
    </row>
    <row r="194" spans="1:21" ht="17.25" customHeight="1">
      <c r="A194" s="8" t="s">
        <v>270</v>
      </c>
      <c r="B194" s="9" t="s">
        <v>179</v>
      </c>
      <c r="C194" s="8" t="s">
        <v>4</v>
      </c>
      <c r="D194" s="10">
        <v>22.5</v>
      </c>
      <c r="E194" s="8"/>
      <c r="F194" s="8"/>
      <c r="G194" s="10">
        <f t="shared" si="78"/>
        <v>0</v>
      </c>
      <c r="H194" s="10">
        <f>D194+август!H192</f>
        <v>202.5</v>
      </c>
      <c r="I194" s="8">
        <f>E194+август!I192</f>
        <v>0</v>
      </c>
      <c r="J194" s="54">
        <v>341.04899999999998</v>
      </c>
      <c r="K194" s="10">
        <f t="shared" si="80"/>
        <v>341.04899999999998</v>
      </c>
      <c r="L194" s="16"/>
      <c r="M194" s="220"/>
      <c r="N194" s="221"/>
      <c r="O194" s="122">
        <f t="shared" si="83"/>
        <v>138.54899999999998</v>
      </c>
      <c r="P194" s="123">
        <f t="shared" si="84"/>
        <v>68.419259259259249</v>
      </c>
      <c r="Q194" s="174"/>
      <c r="R194" s="8">
        <v>198.01900000000001</v>
      </c>
      <c r="S194">
        <f t="shared" si="71"/>
        <v>112.5</v>
      </c>
      <c r="T194" s="44">
        <f>E194+апр!I187</f>
        <v>0</v>
      </c>
      <c r="U194" s="30">
        <f>F194+апр!J187</f>
        <v>0</v>
      </c>
    </row>
    <row r="195" spans="1:21" ht="17.25" customHeight="1">
      <c r="A195" s="175" t="s">
        <v>175</v>
      </c>
      <c r="B195" s="6" t="s">
        <v>180</v>
      </c>
      <c r="C195" s="175" t="s">
        <v>4</v>
      </c>
      <c r="D195" s="7">
        <f>D196+D197+D198+D199+D204+D205+D206+D207+D211</f>
        <v>186.78400000000005</v>
      </c>
      <c r="E195" s="7">
        <f>E196+E197+E198+E199+E204+E205+E206+E207+E211</f>
        <v>193.416</v>
      </c>
      <c r="F195" s="7">
        <f>F196+F197+F198+F199+F204+F205+F206+F207+F211</f>
        <v>30.616000000000003</v>
      </c>
      <c r="G195" s="10">
        <f t="shared" si="78"/>
        <v>-162.79999999999998</v>
      </c>
      <c r="H195" s="7">
        <f>H196+H197+H198+H199+H204+H205+H206+H207+H211</f>
        <v>1670.3590000000004</v>
      </c>
      <c r="I195" s="7">
        <f>I196+I197+I198+I199+I204+I205+I206+I207+I211</f>
        <v>1740.6689999999996</v>
      </c>
      <c r="J195" s="7">
        <f>J196+J197+J198+J199+J204+J205+J206+J207+J211+J212+J208</f>
        <v>4946.0070000000005</v>
      </c>
      <c r="K195" s="10">
        <f t="shared" si="80"/>
        <v>3205.3380000000006</v>
      </c>
      <c r="L195" s="16">
        <f t="shared" si="89"/>
        <v>184.14402738257542</v>
      </c>
      <c r="M195" s="226"/>
      <c r="N195" s="221"/>
      <c r="O195" s="122">
        <f t="shared" si="83"/>
        <v>3275.6480000000001</v>
      </c>
      <c r="P195" s="123">
        <f t="shared" si="84"/>
        <v>196.10443024523468</v>
      </c>
      <c r="Q195" s="114"/>
      <c r="S195">
        <f t="shared" si="71"/>
        <v>933.9200000000003</v>
      </c>
      <c r="T195" s="44">
        <f>E195+апр!I188</f>
        <v>967.07999999999993</v>
      </c>
      <c r="U195" s="30">
        <f>F195+апр!J188</f>
        <v>455.93099999999998</v>
      </c>
    </row>
    <row r="196" spans="1:21" ht="17.25" customHeight="1">
      <c r="A196" s="18" t="s">
        <v>271</v>
      </c>
      <c r="B196" s="9" t="s">
        <v>181</v>
      </c>
      <c r="C196" s="8" t="s">
        <v>4</v>
      </c>
      <c r="D196" s="10">
        <v>0</v>
      </c>
      <c r="E196" s="8"/>
      <c r="F196" s="8"/>
      <c r="G196" s="10">
        <f t="shared" si="78"/>
        <v>0</v>
      </c>
      <c r="H196" s="10">
        <f>D196+август!H194</f>
        <v>7.4550000000000001</v>
      </c>
      <c r="I196" s="8">
        <f>E196+август!I194</f>
        <v>0</v>
      </c>
      <c r="J196" s="54">
        <f>F196+август!J194</f>
        <v>0</v>
      </c>
      <c r="K196" s="10">
        <f t="shared" si="80"/>
        <v>0</v>
      </c>
      <c r="L196" s="16"/>
      <c r="M196" s="220"/>
      <c r="N196" s="221"/>
      <c r="O196" s="122">
        <f t="shared" si="83"/>
        <v>-7.4550000000000001</v>
      </c>
      <c r="P196" s="123">
        <f t="shared" si="84"/>
        <v>-100</v>
      </c>
      <c r="Q196" s="114"/>
      <c r="S196">
        <f t="shared" si="71"/>
        <v>0</v>
      </c>
      <c r="T196" s="44">
        <f>E196+апр!I189</f>
        <v>0</v>
      </c>
      <c r="U196" s="30">
        <f>F196+апр!J189</f>
        <v>0</v>
      </c>
    </row>
    <row r="197" spans="1:21" ht="17.25" customHeight="1">
      <c r="A197" s="18" t="s">
        <v>272</v>
      </c>
      <c r="B197" s="9" t="s">
        <v>182</v>
      </c>
      <c r="C197" s="8" t="s">
        <v>4</v>
      </c>
      <c r="D197" s="10">
        <v>15.651</v>
      </c>
      <c r="E197" s="10">
        <v>22.25</v>
      </c>
      <c r="F197" s="55">
        <v>26.213000000000001</v>
      </c>
      <c r="G197" s="10">
        <f t="shared" si="78"/>
        <v>3.963000000000001</v>
      </c>
      <c r="H197" s="10">
        <v>141.30000000000001</v>
      </c>
      <c r="I197" s="8">
        <f>E197+август!I195</f>
        <v>200.25</v>
      </c>
      <c r="J197" s="54">
        <f>F197+август!J195</f>
        <v>234.05800000000002</v>
      </c>
      <c r="K197" s="10">
        <f t="shared" si="80"/>
        <v>33.808000000000021</v>
      </c>
      <c r="L197" s="16">
        <f t="shared" si="89"/>
        <v>16.882896379525604</v>
      </c>
      <c r="M197" s="220"/>
      <c r="N197" s="221"/>
      <c r="O197" s="122">
        <f t="shared" si="83"/>
        <v>92.75800000000001</v>
      </c>
      <c r="P197" s="123">
        <f t="shared" si="84"/>
        <v>65.646142958244866</v>
      </c>
      <c r="Q197" s="114"/>
      <c r="S197">
        <f t="shared" si="71"/>
        <v>78.254999999999995</v>
      </c>
      <c r="T197" s="44">
        <f>E197+апр!I190</f>
        <v>111.25</v>
      </c>
      <c r="U197" s="30">
        <f>F197+апр!J190</f>
        <v>157.56800000000001</v>
      </c>
    </row>
    <row r="198" spans="1:21" ht="33.75" customHeight="1">
      <c r="A198" s="18" t="s">
        <v>273</v>
      </c>
      <c r="B198" s="9" t="s">
        <v>237</v>
      </c>
      <c r="C198" s="8" t="s">
        <v>4</v>
      </c>
      <c r="D198" s="10">
        <v>1.4910000000000001</v>
      </c>
      <c r="E198" s="10">
        <v>1.5</v>
      </c>
      <c r="F198" s="54">
        <v>3.6</v>
      </c>
      <c r="G198" s="10">
        <f t="shared" si="78"/>
        <v>2.1</v>
      </c>
      <c r="H198" s="10">
        <v>13.5</v>
      </c>
      <c r="I198" s="8">
        <f>E198+август!I196</f>
        <v>13.5</v>
      </c>
      <c r="J198" s="54">
        <f>F198+август!J196</f>
        <v>16.690000000000001</v>
      </c>
      <c r="K198" s="10">
        <f t="shared" si="80"/>
        <v>3.1900000000000013</v>
      </c>
      <c r="L198" s="16">
        <f t="shared" si="89"/>
        <v>23.62962962962964</v>
      </c>
      <c r="M198" s="220"/>
      <c r="N198" s="221"/>
      <c r="O198" s="122">
        <f t="shared" si="83"/>
        <v>3.1900000000000013</v>
      </c>
      <c r="P198" s="123">
        <f t="shared" si="84"/>
        <v>23.62962962962964</v>
      </c>
      <c r="Q198" s="114"/>
      <c r="S198">
        <f t="shared" si="71"/>
        <v>7.4550000000000001</v>
      </c>
      <c r="T198" s="44">
        <f>E198+апр!I191</f>
        <v>7.5</v>
      </c>
      <c r="U198" s="30">
        <f>F198+апр!J191</f>
        <v>12.69</v>
      </c>
    </row>
    <row r="199" spans="1:21" ht="36.75" customHeight="1">
      <c r="A199" s="18" t="s">
        <v>274</v>
      </c>
      <c r="B199" s="9" t="s">
        <v>183</v>
      </c>
      <c r="C199" s="8" t="s">
        <v>4</v>
      </c>
      <c r="D199" s="10">
        <f t="shared" ref="D199:F199" si="97">D200+D201+D202+D203</f>
        <v>149.55900000000003</v>
      </c>
      <c r="E199" s="10">
        <f t="shared" si="97"/>
        <v>149.583</v>
      </c>
      <c r="F199" s="10">
        <f t="shared" si="97"/>
        <v>0</v>
      </c>
      <c r="G199" s="10">
        <f t="shared" si="78"/>
        <v>-149.583</v>
      </c>
      <c r="H199" s="10">
        <v>1346.4</v>
      </c>
      <c r="I199" s="10">
        <f t="shared" ref="I199:J199" si="98">I200+I201+I202+I203</f>
        <v>1346.2469999999996</v>
      </c>
      <c r="J199" s="10">
        <f t="shared" si="98"/>
        <v>589.34</v>
      </c>
      <c r="K199" s="10">
        <f t="shared" si="80"/>
        <v>-756.90699999999958</v>
      </c>
      <c r="L199" s="16">
        <f t="shared" si="89"/>
        <v>-56.223486477592878</v>
      </c>
      <c r="M199" s="220"/>
      <c r="N199" s="221"/>
      <c r="O199" s="122">
        <f t="shared" si="83"/>
        <v>-757.06000000000006</v>
      </c>
      <c r="P199" s="123">
        <f t="shared" si="84"/>
        <v>-56.228461081402259</v>
      </c>
      <c r="Q199" s="114"/>
      <c r="S199">
        <f t="shared" si="71"/>
        <v>747.79500000000007</v>
      </c>
      <c r="T199" s="44">
        <f>E199+апр!I192</f>
        <v>747.91499999999996</v>
      </c>
      <c r="U199" s="30">
        <f>F199+апр!J192</f>
        <v>274.28100000000001</v>
      </c>
    </row>
    <row r="200" spans="1:21" ht="74.25" customHeight="1">
      <c r="A200" s="8" t="s">
        <v>275</v>
      </c>
      <c r="B200" s="9" t="s">
        <v>184</v>
      </c>
      <c r="C200" s="8" t="s">
        <v>4</v>
      </c>
      <c r="D200" s="10">
        <v>33.363999999999997</v>
      </c>
      <c r="E200" s="8">
        <v>33.332999999999998</v>
      </c>
      <c r="F200" s="55"/>
      <c r="G200" s="10">
        <f t="shared" si="78"/>
        <v>-33.332999999999998</v>
      </c>
      <c r="H200" s="10">
        <f>D200+август!H198</f>
        <v>300.27599999999995</v>
      </c>
      <c r="I200" s="8">
        <f>E200+август!I198</f>
        <v>299.99699999999996</v>
      </c>
      <c r="J200" s="54">
        <v>252.40600000000001</v>
      </c>
      <c r="K200" s="10">
        <f t="shared" si="80"/>
        <v>-47.590999999999951</v>
      </c>
      <c r="L200" s="16">
        <f t="shared" si="89"/>
        <v>-15.863825304919702</v>
      </c>
      <c r="M200" s="220"/>
      <c r="N200" s="221"/>
      <c r="O200" s="122">
        <f t="shared" si="83"/>
        <v>-47.869999999999948</v>
      </c>
      <c r="P200" s="123">
        <f t="shared" si="84"/>
        <v>-15.942000026642141</v>
      </c>
      <c r="Q200" s="114"/>
      <c r="S200">
        <f t="shared" si="71"/>
        <v>166.82</v>
      </c>
      <c r="T200" s="44">
        <f>E200+апр!I193</f>
        <v>166.66499999999999</v>
      </c>
      <c r="U200" s="30">
        <f>F200+апр!J193</f>
        <v>189.47499999999999</v>
      </c>
    </row>
    <row r="201" spans="1:21" ht="93" customHeight="1">
      <c r="A201" s="8" t="s">
        <v>276</v>
      </c>
      <c r="B201" s="9" t="s">
        <v>238</v>
      </c>
      <c r="C201" s="8" t="s">
        <v>4</v>
      </c>
      <c r="D201" s="10">
        <v>89.792000000000002</v>
      </c>
      <c r="E201" s="8">
        <v>89.832999999999998</v>
      </c>
      <c r="F201" s="55"/>
      <c r="G201" s="10">
        <f t="shared" si="78"/>
        <v>-89.832999999999998</v>
      </c>
      <c r="H201" s="10">
        <f>D201+август!H199</f>
        <v>808.12800000000016</v>
      </c>
      <c r="I201" s="8">
        <f>E201+август!I199</f>
        <v>808.49699999999984</v>
      </c>
      <c r="J201" s="54">
        <f>15.261+47.237</f>
        <v>62.498000000000005</v>
      </c>
      <c r="K201" s="10">
        <f t="shared" si="80"/>
        <v>-745.9989999999998</v>
      </c>
      <c r="L201" s="16">
        <f t="shared" si="89"/>
        <v>-92.269853815165661</v>
      </c>
      <c r="M201" s="220"/>
      <c r="N201" s="221"/>
      <c r="O201" s="122">
        <f t="shared" si="83"/>
        <v>-745.63000000000011</v>
      </c>
      <c r="P201" s="123">
        <f t="shared" si="84"/>
        <v>-92.266324146669831</v>
      </c>
      <c r="Q201" s="114"/>
      <c r="S201">
        <f t="shared" si="71"/>
        <v>448.96000000000004</v>
      </c>
      <c r="T201" s="44">
        <f>E201+апр!I194</f>
        <v>449.16499999999996</v>
      </c>
      <c r="U201" s="30">
        <f>F201+апр!J194</f>
        <v>0</v>
      </c>
    </row>
    <row r="202" spans="1:21" ht="90.75" customHeight="1">
      <c r="A202" s="8" t="s">
        <v>277</v>
      </c>
      <c r="B202" s="9" t="s">
        <v>185</v>
      </c>
      <c r="C202" s="8" t="s">
        <v>4</v>
      </c>
      <c r="D202" s="10">
        <v>7.9660000000000002</v>
      </c>
      <c r="E202" s="8">
        <v>8</v>
      </c>
      <c r="F202" s="55"/>
      <c r="G202" s="10">
        <f t="shared" si="78"/>
        <v>-8</v>
      </c>
      <c r="H202" s="10">
        <f>D202+август!H200</f>
        <v>71.694000000000003</v>
      </c>
      <c r="I202" s="8">
        <f>E202+август!I200</f>
        <v>72</v>
      </c>
      <c r="J202" s="54">
        <v>117.959</v>
      </c>
      <c r="K202" s="10">
        <f t="shared" si="80"/>
        <v>45.959000000000003</v>
      </c>
      <c r="L202" s="16">
        <f t="shared" si="89"/>
        <v>63.831944444444446</v>
      </c>
      <c r="M202" s="220"/>
      <c r="N202" s="221"/>
      <c r="O202" s="122">
        <f t="shared" si="83"/>
        <v>46.265000000000001</v>
      </c>
      <c r="P202" s="123">
        <f t="shared" si="84"/>
        <v>64.531202053170418</v>
      </c>
      <c r="Q202" s="114"/>
      <c r="S202">
        <f t="shared" si="71"/>
        <v>39.83</v>
      </c>
      <c r="T202" s="44">
        <f>E202+апр!I195</f>
        <v>40</v>
      </c>
      <c r="U202" s="30">
        <f>F202+апр!J195</f>
        <v>15.260999999999999</v>
      </c>
    </row>
    <row r="203" spans="1:21" ht="37.5" customHeight="1">
      <c r="A203" s="8" t="s">
        <v>278</v>
      </c>
      <c r="B203" s="9" t="s">
        <v>186</v>
      </c>
      <c r="C203" s="8" t="s">
        <v>4</v>
      </c>
      <c r="D203" s="10">
        <v>18.437000000000001</v>
      </c>
      <c r="E203" s="8">
        <v>18.417000000000002</v>
      </c>
      <c r="F203" s="55"/>
      <c r="G203" s="10">
        <f t="shared" si="78"/>
        <v>-18.417000000000002</v>
      </c>
      <c r="H203" s="10">
        <f>D203+август!H201</f>
        <v>165.93300000000002</v>
      </c>
      <c r="I203" s="8">
        <f>E203+август!I201</f>
        <v>165.75300000000001</v>
      </c>
      <c r="J203" s="54">
        <v>156.477</v>
      </c>
      <c r="K203" s="10">
        <f t="shared" si="80"/>
        <v>-9.2760000000000105</v>
      </c>
      <c r="L203" s="16">
        <f t="shared" si="89"/>
        <v>-5.5962788003837094</v>
      </c>
      <c r="M203" s="220"/>
      <c r="N203" s="221"/>
      <c r="O203" s="122">
        <f t="shared" si="83"/>
        <v>-9.4560000000000173</v>
      </c>
      <c r="P203" s="123">
        <f t="shared" si="84"/>
        <v>-5.6986856140731597</v>
      </c>
      <c r="Q203" s="114"/>
      <c r="S203">
        <f t="shared" si="71"/>
        <v>92.185000000000002</v>
      </c>
      <c r="T203" s="44">
        <f>E203+апр!I196</f>
        <v>92.085000000000008</v>
      </c>
      <c r="U203" s="30">
        <f>F203+апр!J196</f>
        <v>69.545000000000002</v>
      </c>
    </row>
    <row r="204" spans="1:21" ht="17.25" customHeight="1">
      <c r="A204" s="18" t="s">
        <v>279</v>
      </c>
      <c r="B204" s="26" t="s">
        <v>187</v>
      </c>
      <c r="C204" s="8" t="s">
        <v>4</v>
      </c>
      <c r="D204" s="10">
        <v>15.818</v>
      </c>
      <c r="E204" s="8">
        <v>15.833</v>
      </c>
      <c r="F204" s="8"/>
      <c r="G204" s="10">
        <f t="shared" si="78"/>
        <v>-15.833</v>
      </c>
      <c r="H204" s="10">
        <f>D204+август!H202</f>
        <v>142.36199999999999</v>
      </c>
      <c r="I204" s="8">
        <f>E204+август!I202</f>
        <v>142.422</v>
      </c>
      <c r="J204" s="54">
        <f>F204+август!J202</f>
        <v>0</v>
      </c>
      <c r="K204" s="10">
        <f t="shared" si="80"/>
        <v>-142.422</v>
      </c>
      <c r="L204" s="16">
        <f t="shared" si="89"/>
        <v>-100</v>
      </c>
      <c r="M204" s="220"/>
      <c r="N204" s="221"/>
      <c r="O204" s="122">
        <f t="shared" si="83"/>
        <v>-142.36199999999999</v>
      </c>
      <c r="P204" s="123">
        <f t="shared" si="84"/>
        <v>-100</v>
      </c>
      <c r="Q204" s="114"/>
      <c r="S204">
        <f t="shared" si="71"/>
        <v>79.09</v>
      </c>
      <c r="T204" s="44">
        <f>E204+апр!I197</f>
        <v>79.165000000000006</v>
      </c>
      <c r="U204" s="30">
        <f>F204+апр!J197</f>
        <v>0</v>
      </c>
    </row>
    <row r="205" spans="1:21" ht="17.25" customHeight="1">
      <c r="A205" s="18"/>
      <c r="B205" s="26" t="s">
        <v>125</v>
      </c>
      <c r="C205" s="8" t="s">
        <v>4</v>
      </c>
      <c r="D205" s="10">
        <v>0.34200000000000003</v>
      </c>
      <c r="E205" s="8">
        <v>0.33300000000000002</v>
      </c>
      <c r="F205" s="8"/>
      <c r="G205" s="10">
        <f t="shared" si="78"/>
        <v>-0.33300000000000002</v>
      </c>
      <c r="H205" s="10">
        <v>3.65</v>
      </c>
      <c r="I205" s="8">
        <f>E205+август!I203</f>
        <v>2.9970000000000003</v>
      </c>
      <c r="J205" s="54">
        <f>F205+август!J203</f>
        <v>0</v>
      </c>
      <c r="K205" s="10">
        <f t="shared" si="80"/>
        <v>-2.9970000000000003</v>
      </c>
      <c r="L205" s="16">
        <f t="shared" si="89"/>
        <v>-100</v>
      </c>
      <c r="M205" s="220"/>
      <c r="N205" s="221"/>
      <c r="O205" s="122">
        <f t="shared" si="83"/>
        <v>-3.65</v>
      </c>
      <c r="P205" s="123">
        <f t="shared" si="84"/>
        <v>-100</v>
      </c>
      <c r="Q205" s="114"/>
      <c r="S205">
        <f t="shared" si="71"/>
        <v>1.7100000000000002</v>
      </c>
      <c r="T205" s="44">
        <f>E205+апр!I198</f>
        <v>1.665</v>
      </c>
      <c r="U205" s="30">
        <f>F205+апр!J198</f>
        <v>0</v>
      </c>
    </row>
    <row r="206" spans="1:21" ht="17.25" customHeight="1">
      <c r="A206" s="18" t="s">
        <v>280</v>
      </c>
      <c r="B206" s="26" t="s">
        <v>188</v>
      </c>
      <c r="C206" s="8" t="s">
        <v>4</v>
      </c>
      <c r="D206" s="10">
        <v>0</v>
      </c>
      <c r="E206" s="8"/>
      <c r="F206" s="8"/>
      <c r="G206" s="10">
        <f t="shared" si="78"/>
        <v>0</v>
      </c>
      <c r="H206" s="10">
        <f>D206+август!H204</f>
        <v>0</v>
      </c>
      <c r="I206" s="8">
        <f>E206+август!I204</f>
        <v>0</v>
      </c>
      <c r="J206" s="54">
        <f>F206+август!J204</f>
        <v>0</v>
      </c>
      <c r="K206" s="10">
        <f t="shared" si="80"/>
        <v>0</v>
      </c>
      <c r="L206" s="16"/>
      <c r="M206" s="220"/>
      <c r="N206" s="221"/>
      <c r="O206" s="122">
        <f t="shared" si="83"/>
        <v>0</v>
      </c>
      <c r="P206" s="123" t="e">
        <f t="shared" si="84"/>
        <v>#DIV/0!</v>
      </c>
      <c r="Q206" s="114"/>
      <c r="S206">
        <f t="shared" si="71"/>
        <v>0</v>
      </c>
      <c r="T206" s="44">
        <f>E206+апр!I199</f>
        <v>0</v>
      </c>
      <c r="U206" s="30">
        <f>F206+апр!J199</f>
        <v>0</v>
      </c>
    </row>
    <row r="207" spans="1:21" ht="27" customHeight="1">
      <c r="A207" s="18" t="s">
        <v>281</v>
      </c>
      <c r="B207" s="26" t="s">
        <v>189</v>
      </c>
      <c r="C207" s="8" t="s">
        <v>4</v>
      </c>
      <c r="D207" s="10">
        <v>3.923</v>
      </c>
      <c r="E207" s="8">
        <v>3.9169999999999998</v>
      </c>
      <c r="F207" s="10">
        <v>0.80300000000000005</v>
      </c>
      <c r="G207" s="10">
        <f t="shared" si="78"/>
        <v>-3.1139999999999999</v>
      </c>
      <c r="H207" s="10">
        <f>D207+август!H205</f>
        <v>15.692</v>
      </c>
      <c r="I207" s="8">
        <f>E207+август!I205</f>
        <v>35.253000000000007</v>
      </c>
      <c r="J207" s="54">
        <f>F207+август!J205</f>
        <v>15.41</v>
      </c>
      <c r="K207" s="10">
        <f t="shared" si="80"/>
        <v>-19.843000000000007</v>
      </c>
      <c r="L207" s="16">
        <f t="shared" si="89"/>
        <v>-56.287408163844219</v>
      </c>
      <c r="M207" s="222" t="s">
        <v>289</v>
      </c>
      <c r="N207" s="223"/>
      <c r="O207" s="122">
        <f t="shared" si="83"/>
        <v>-0.28200000000000003</v>
      </c>
      <c r="P207" s="123">
        <f t="shared" si="84"/>
        <v>-1.7970940606678563</v>
      </c>
      <c r="Q207" s="115"/>
      <c r="S207">
        <f t="shared" si="71"/>
        <v>19.615000000000002</v>
      </c>
      <c r="T207" s="44">
        <f>E207+апр!I200</f>
        <v>19.585000000000001</v>
      </c>
      <c r="U207" s="30">
        <f>F207+апр!J200</f>
        <v>11.392000000000001</v>
      </c>
    </row>
    <row r="208" spans="1:21" ht="17.25" hidden="1" customHeight="1">
      <c r="A208" s="18" t="s">
        <v>282</v>
      </c>
      <c r="B208" s="26" t="s">
        <v>225</v>
      </c>
      <c r="C208" s="8" t="s">
        <v>4</v>
      </c>
      <c r="D208" s="10">
        <v>0</v>
      </c>
      <c r="E208" s="8"/>
      <c r="F208" s="8">
        <v>1924.15</v>
      </c>
      <c r="G208" s="10">
        <f t="shared" si="78"/>
        <v>1924.15</v>
      </c>
      <c r="H208" s="10">
        <f>D208+август!H206</f>
        <v>0</v>
      </c>
      <c r="I208" s="8">
        <f>E208+август!I206</f>
        <v>0</v>
      </c>
      <c r="J208" s="54">
        <v>3759.1840000000002</v>
      </c>
      <c r="K208" s="10">
        <f t="shared" si="80"/>
        <v>3759.1840000000002</v>
      </c>
      <c r="L208" s="16" t="e">
        <f>K208/I208*100</f>
        <v>#DIV/0!</v>
      </c>
      <c r="M208" s="222" t="s">
        <v>290</v>
      </c>
      <c r="N208" s="223"/>
      <c r="O208" s="122">
        <f t="shared" si="83"/>
        <v>3759.1840000000002</v>
      </c>
      <c r="P208" s="123" t="e">
        <f t="shared" si="84"/>
        <v>#DIV/0!</v>
      </c>
      <c r="Q208" s="115"/>
      <c r="S208">
        <f t="shared" ref="S208:S226" si="99">D208*5</f>
        <v>0</v>
      </c>
      <c r="T208" s="44">
        <f>E208+апр!I201</f>
        <v>0</v>
      </c>
      <c r="U208" s="30">
        <f>F208+апр!J201</f>
        <v>1924.15</v>
      </c>
    </row>
    <row r="209" spans="1:22" ht="17.25" customHeight="1">
      <c r="A209" s="18" t="s">
        <v>283</v>
      </c>
      <c r="B209" s="26" t="s">
        <v>228</v>
      </c>
      <c r="C209" s="8" t="s">
        <v>4</v>
      </c>
      <c r="D209" s="10">
        <v>0</v>
      </c>
      <c r="E209" s="8"/>
      <c r="F209" s="8"/>
      <c r="G209" s="10">
        <f t="shared" si="78"/>
        <v>0</v>
      </c>
      <c r="H209" s="10">
        <f>D209+август!H207</f>
        <v>0</v>
      </c>
      <c r="I209" s="8">
        <f>E209+август!I207</f>
        <v>0</v>
      </c>
      <c r="J209" s="54">
        <f>F209+август!J207</f>
        <v>0</v>
      </c>
      <c r="K209" s="10">
        <f t="shared" si="80"/>
        <v>0</v>
      </c>
      <c r="L209" s="16" t="e">
        <f t="shared" si="89"/>
        <v>#DIV/0!</v>
      </c>
      <c r="M209" s="222" t="s">
        <v>290</v>
      </c>
      <c r="N209" s="223"/>
      <c r="O209" s="122">
        <f t="shared" si="83"/>
        <v>0</v>
      </c>
      <c r="P209" s="123" t="e">
        <f t="shared" si="84"/>
        <v>#DIV/0!</v>
      </c>
      <c r="Q209" s="115"/>
      <c r="S209">
        <f t="shared" si="99"/>
        <v>0</v>
      </c>
      <c r="T209" s="44">
        <f>E209+апр!I202</f>
        <v>0</v>
      </c>
      <c r="U209" s="30">
        <f>F209+апр!J202</f>
        <v>0</v>
      </c>
    </row>
    <row r="210" spans="1:22" ht="34.5" customHeight="1">
      <c r="A210" s="18" t="s">
        <v>284</v>
      </c>
      <c r="B210" s="26" t="s">
        <v>231</v>
      </c>
      <c r="C210" s="8" t="s">
        <v>4</v>
      </c>
      <c r="D210" s="10">
        <v>0</v>
      </c>
      <c r="E210" s="8"/>
      <c r="F210" s="8"/>
      <c r="G210" s="10">
        <f t="shared" si="78"/>
        <v>0</v>
      </c>
      <c r="H210" s="10">
        <f>D210+август!H208</f>
        <v>0</v>
      </c>
      <c r="I210" s="8">
        <f>E210+август!I208</f>
        <v>0</v>
      </c>
      <c r="J210" s="54">
        <f>F210+август!J208</f>
        <v>0</v>
      </c>
      <c r="K210" s="10">
        <f t="shared" si="80"/>
        <v>0</v>
      </c>
      <c r="L210" s="16" t="e">
        <f t="shared" si="89"/>
        <v>#DIV/0!</v>
      </c>
      <c r="M210" s="222" t="s">
        <v>290</v>
      </c>
      <c r="N210" s="223"/>
      <c r="O210" s="122">
        <f t="shared" si="83"/>
        <v>0</v>
      </c>
      <c r="P210" s="123" t="e">
        <f t="shared" si="84"/>
        <v>#DIV/0!</v>
      </c>
      <c r="Q210" s="115"/>
      <c r="S210">
        <f t="shared" si="99"/>
        <v>0</v>
      </c>
      <c r="T210" s="44">
        <f>E210+апр!I203</f>
        <v>0</v>
      </c>
      <c r="U210" s="30">
        <f>F210+апр!J203</f>
        <v>0</v>
      </c>
    </row>
    <row r="211" spans="1:22" ht="17.25" customHeight="1">
      <c r="A211" s="18" t="s">
        <v>282</v>
      </c>
      <c r="B211" s="26" t="s">
        <v>230</v>
      </c>
      <c r="C211" s="8" t="s">
        <v>4</v>
      </c>
      <c r="D211" s="10">
        <v>0</v>
      </c>
      <c r="E211" s="8"/>
      <c r="F211" s="8"/>
      <c r="G211" s="10">
        <f t="shared" si="78"/>
        <v>0</v>
      </c>
      <c r="H211" s="10">
        <f>D211</f>
        <v>0</v>
      </c>
      <c r="I211" s="8">
        <f>E211+август!I209</f>
        <v>0</v>
      </c>
      <c r="J211" s="54">
        <f>F211+август!J209</f>
        <v>0</v>
      </c>
      <c r="K211" s="10">
        <f t="shared" si="80"/>
        <v>0</v>
      </c>
      <c r="L211" s="16"/>
      <c r="M211" s="220"/>
      <c r="N211" s="221"/>
      <c r="O211" s="122">
        <f t="shared" si="83"/>
        <v>0</v>
      </c>
      <c r="P211" s="123" t="e">
        <f t="shared" si="84"/>
        <v>#DIV/0!</v>
      </c>
      <c r="Q211" s="114"/>
      <c r="S211">
        <f t="shared" si="99"/>
        <v>0</v>
      </c>
      <c r="T211" s="44">
        <f>E211+апр!I204</f>
        <v>0</v>
      </c>
      <c r="U211" s="30">
        <f>F211+апр!J204</f>
        <v>0</v>
      </c>
    </row>
    <row r="212" spans="1:22" ht="39" customHeight="1">
      <c r="A212" s="18"/>
      <c r="B212" s="26" t="s">
        <v>343</v>
      </c>
      <c r="C212" s="8" t="s">
        <v>4</v>
      </c>
      <c r="D212" s="10"/>
      <c r="E212" s="8"/>
      <c r="F212" s="8"/>
      <c r="G212" s="10"/>
      <c r="H212" s="10"/>
      <c r="I212" s="8"/>
      <c r="J212" s="54">
        <v>331.32499999999999</v>
      </c>
      <c r="K212" s="10"/>
      <c r="L212" s="16"/>
      <c r="M212" s="173"/>
      <c r="N212" s="174"/>
      <c r="O212" s="122"/>
      <c r="P212" s="123"/>
      <c r="Q212" s="114"/>
      <c r="T212" s="44"/>
      <c r="U212" s="30"/>
    </row>
    <row r="213" spans="1:22" ht="21" customHeight="1">
      <c r="A213" s="175" t="s">
        <v>190</v>
      </c>
      <c r="B213" s="6" t="s">
        <v>191</v>
      </c>
      <c r="C213" s="175" t="s">
        <v>4</v>
      </c>
      <c r="D213" s="7">
        <f>D8+D145</f>
        <v>76555.231</v>
      </c>
      <c r="E213" s="21">
        <f>E8+E145</f>
        <v>71086.831999999995</v>
      </c>
      <c r="F213" s="7">
        <f>F8+F145</f>
        <v>88586.505999999994</v>
      </c>
      <c r="G213" s="10">
        <f t="shared" ref="G213:G221" si="100">F213-E213</f>
        <v>17499.673999999999</v>
      </c>
      <c r="H213" s="7">
        <f>H8+H145</f>
        <v>678244.51017322927</v>
      </c>
      <c r="I213" s="7">
        <f>I8+I145</f>
        <v>638379.2187806177</v>
      </c>
      <c r="J213" s="7">
        <f>J8+J145</f>
        <v>708625.49849999999</v>
      </c>
      <c r="K213" s="10">
        <f t="shared" ref="K213:K221" si="101">J213-I213</f>
        <v>70246.279719382292</v>
      </c>
      <c r="L213" s="16">
        <f t="shared" ref="L213:L221" si="102">K213/I213*100</f>
        <v>11.003848128634461</v>
      </c>
      <c r="M213" s="220"/>
      <c r="N213" s="221"/>
      <c r="O213" s="122">
        <f>J213-H213</f>
        <v>30380.988326770719</v>
      </c>
      <c r="P213" s="123">
        <f t="shared" si="84"/>
        <v>4.479356319303073</v>
      </c>
      <c r="Q213" s="114"/>
      <c r="R213" s="30"/>
      <c r="S213">
        <f t="shared" si="99"/>
        <v>382776.15500000003</v>
      </c>
      <c r="T213" s="44">
        <f>E213+апр!I205</f>
        <v>355434.16</v>
      </c>
      <c r="U213" s="30">
        <f>F213+апр!J205</f>
        <v>371571.15449999989</v>
      </c>
    </row>
    <row r="214" spans="1:22" ht="17.25" customHeight="1">
      <c r="A214" s="175" t="s">
        <v>192</v>
      </c>
      <c r="B214" s="6" t="s">
        <v>193</v>
      </c>
      <c r="C214" s="175" t="s">
        <v>4</v>
      </c>
      <c r="D214" s="7">
        <v>1469.992</v>
      </c>
      <c r="E214" s="175">
        <v>1470.0830000000001</v>
      </c>
      <c r="F214" s="21">
        <f>F217-F213</f>
        <v>10685.689519999985</v>
      </c>
      <c r="G214" s="16">
        <f t="shared" si="100"/>
        <v>9215.6065199999848</v>
      </c>
      <c r="H214" s="10">
        <f>D214+август!H212</f>
        <v>13229.928</v>
      </c>
      <c r="I214" s="8">
        <f>E214+август!I212</f>
        <v>13230.747000000003</v>
      </c>
      <c r="J214" s="54">
        <f>F214+август!J212</f>
        <v>84592.809579999928</v>
      </c>
      <c r="K214" s="10">
        <f t="shared" si="101"/>
        <v>71362.062579999925</v>
      </c>
      <c r="L214" s="16">
        <f t="shared" si="102"/>
        <v>539.36533273593636</v>
      </c>
      <c r="M214" s="220"/>
      <c r="N214" s="221"/>
      <c r="O214" s="122">
        <f t="shared" si="83"/>
        <v>71362.881579999928</v>
      </c>
      <c r="P214" s="123">
        <f t="shared" si="84"/>
        <v>539.40491271003089</v>
      </c>
      <c r="Q214" s="114"/>
      <c r="S214">
        <f>D214*5</f>
        <v>7349.96</v>
      </c>
      <c r="T214" s="44">
        <f>E214+апр!I206</f>
        <v>7350.4150000000009</v>
      </c>
      <c r="U214" s="30">
        <f>F214+апр!J206</f>
        <v>18348.409059999962</v>
      </c>
    </row>
    <row r="215" spans="1:22" ht="17.25" customHeight="1">
      <c r="A215" s="175" t="s">
        <v>194</v>
      </c>
      <c r="B215" s="6" t="s">
        <v>195</v>
      </c>
      <c r="C215" s="175" t="s">
        <v>4</v>
      </c>
      <c r="D215" s="7">
        <f>D213+D214</f>
        <v>78025.222999999998</v>
      </c>
      <c r="E215" s="21">
        <f>E213+E214</f>
        <v>72556.914999999994</v>
      </c>
      <c r="F215" s="7">
        <f>F213+F214</f>
        <v>99272.195519999979</v>
      </c>
      <c r="G215" s="16">
        <f t="shared" si="100"/>
        <v>26715.280519999986</v>
      </c>
      <c r="H215" s="7">
        <f>H213+H214</f>
        <v>691474.43817322922</v>
      </c>
      <c r="I215" s="7">
        <f>I213+I214</f>
        <v>651609.96578061767</v>
      </c>
      <c r="J215" s="7">
        <f>J213+J214</f>
        <v>793218.30807999987</v>
      </c>
      <c r="K215" s="10">
        <f t="shared" si="101"/>
        <v>141608.3422993822</v>
      </c>
      <c r="L215" s="16">
        <f t="shared" si="102"/>
        <v>21.732071290490136</v>
      </c>
      <c r="M215" s="220"/>
      <c r="N215" s="221"/>
      <c r="O215" s="122">
        <f t="shared" si="83"/>
        <v>101743.86990677065</v>
      </c>
      <c r="P215" s="123">
        <f t="shared" si="84"/>
        <v>14.714046433236568</v>
      </c>
      <c r="Q215" s="114"/>
      <c r="S215">
        <f t="shared" si="99"/>
        <v>390126.11499999999</v>
      </c>
      <c r="T215" s="44">
        <f>E215+апр!I207</f>
        <v>362784.57499999995</v>
      </c>
      <c r="U215" s="30">
        <f>F215+апр!J207</f>
        <v>389919.56355999981</v>
      </c>
    </row>
    <row r="216" spans="1:22" ht="17.25" customHeight="1">
      <c r="A216" s="224" t="s">
        <v>196</v>
      </c>
      <c r="B216" s="225" t="s">
        <v>197</v>
      </c>
      <c r="C216" s="175" t="s">
        <v>114</v>
      </c>
      <c r="D216" s="7">
        <v>559.39200000000005</v>
      </c>
      <c r="E216" s="175">
        <v>523.61</v>
      </c>
      <c r="F216" s="175">
        <v>719.78099999999995</v>
      </c>
      <c r="G216" s="10">
        <f t="shared" si="100"/>
        <v>196.17099999999994</v>
      </c>
      <c r="H216" s="10">
        <f>D216+август!H214</f>
        <v>5034.5279999999993</v>
      </c>
      <c r="I216" s="8">
        <f>E216+август!I214</f>
        <v>4712.49</v>
      </c>
      <c r="J216" s="54">
        <f>F216+август!J214</f>
        <v>5624.8990000000003</v>
      </c>
      <c r="K216" s="10">
        <f t="shared" si="101"/>
        <v>912.40900000000056</v>
      </c>
      <c r="L216" s="16">
        <f t="shared" si="102"/>
        <v>19.361505276403783</v>
      </c>
      <c r="M216" s="220"/>
      <c r="N216" s="221"/>
      <c r="O216" s="122">
        <f t="shared" si="83"/>
        <v>590.371000000001</v>
      </c>
      <c r="P216" s="123">
        <f t="shared" si="84"/>
        <v>11.726441882933237</v>
      </c>
      <c r="Q216" s="114"/>
      <c r="S216">
        <f t="shared" si="99"/>
        <v>2796.96</v>
      </c>
      <c r="T216" s="44">
        <f>E216+апр!I208</f>
        <v>2618.0500000000002</v>
      </c>
      <c r="U216" s="30">
        <f>F216+апр!J208</f>
        <v>2827.143</v>
      </c>
    </row>
    <row r="217" spans="1:22" ht="17.25" customHeight="1">
      <c r="A217" s="224"/>
      <c r="B217" s="225"/>
      <c r="C217" s="175" t="s">
        <v>4</v>
      </c>
      <c r="D217" s="7">
        <f>D215</f>
        <v>78025.222999999998</v>
      </c>
      <c r="E217" s="21">
        <f>E215</f>
        <v>72556.914999999994</v>
      </c>
      <c r="F217" s="175">
        <f>F221*F216</f>
        <v>99272.195519999979</v>
      </c>
      <c r="G217" s="16">
        <f t="shared" si="100"/>
        <v>26715.280519999986</v>
      </c>
      <c r="H217" s="10">
        <f>D217+август!H215</f>
        <v>702227.00699999998</v>
      </c>
      <c r="I217" s="7">
        <f>I215</f>
        <v>651609.96578061767</v>
      </c>
      <c r="J217" s="175">
        <f>J221*J216</f>
        <v>793218.30807999987</v>
      </c>
      <c r="K217" s="10">
        <f t="shared" si="101"/>
        <v>141608.3422993822</v>
      </c>
      <c r="L217" s="16">
        <f t="shared" si="102"/>
        <v>21.732071290490136</v>
      </c>
      <c r="M217" s="220"/>
      <c r="N217" s="221"/>
      <c r="O217" s="122">
        <f t="shared" si="83"/>
        <v>90991.301079999888</v>
      </c>
      <c r="P217" s="123">
        <f t="shared" si="84"/>
        <v>12.957533699640219</v>
      </c>
      <c r="Q217" s="114"/>
      <c r="S217">
        <f t="shared" si="99"/>
        <v>390126.11499999999</v>
      </c>
      <c r="T217" s="44">
        <f>E217+апр!I209</f>
        <v>362784.57499999995</v>
      </c>
      <c r="U217" s="30">
        <f>F217+апр!J209</f>
        <v>389919.56355999981</v>
      </c>
    </row>
    <row r="218" spans="1:22" ht="17.25" customHeight="1">
      <c r="A218" s="175" t="s">
        <v>198</v>
      </c>
      <c r="B218" s="176" t="s">
        <v>199</v>
      </c>
      <c r="C218" s="175" t="s">
        <v>114</v>
      </c>
      <c r="D218" s="7">
        <v>761.69899999999996</v>
      </c>
      <c r="E218" s="21">
        <v>713</v>
      </c>
      <c r="F218" s="7">
        <v>999.83</v>
      </c>
      <c r="G218" s="10">
        <f t="shared" si="100"/>
        <v>286.83000000000004</v>
      </c>
      <c r="H218" s="10">
        <f>D218+август!H216</f>
        <v>6855.2909999999983</v>
      </c>
      <c r="I218" s="8">
        <f>E218+август!I216</f>
        <v>6417</v>
      </c>
      <c r="J218" s="10">
        <f>F218+август!J216</f>
        <v>6967.6019999999999</v>
      </c>
      <c r="K218" s="10">
        <f t="shared" si="101"/>
        <v>550.60199999999986</v>
      </c>
      <c r="L218" s="16">
        <f t="shared" si="102"/>
        <v>8.5803646563814837</v>
      </c>
      <c r="M218" s="220"/>
      <c r="N218" s="221"/>
      <c r="O218" s="122">
        <f t="shared" ref="O218:O221" si="103">J218-H218</f>
        <v>112.31100000000151</v>
      </c>
      <c r="P218" s="123">
        <f t="shared" ref="P218:P221" si="104">O218/H218*100</f>
        <v>1.6383111964175052</v>
      </c>
      <c r="Q218" s="114"/>
      <c r="S218">
        <f t="shared" si="99"/>
        <v>3808.4949999999999</v>
      </c>
      <c r="T218" s="44">
        <f>E218+апр!I210</f>
        <v>3565</v>
      </c>
      <c r="U218" s="30">
        <f>F218+апр!J210</f>
        <v>3653.5120000000002</v>
      </c>
    </row>
    <row r="219" spans="1:22" ht="17.25" customHeight="1">
      <c r="A219" s="224" t="s">
        <v>200</v>
      </c>
      <c r="B219" s="225" t="s">
        <v>201</v>
      </c>
      <c r="C219" s="175" t="s">
        <v>202</v>
      </c>
      <c r="D219" s="21">
        <f>D220/D218*100</f>
        <v>26.559966600980168</v>
      </c>
      <c r="E219" s="21">
        <f>E220/E218*100</f>
        <v>26.562412342215985</v>
      </c>
      <c r="F219" s="21">
        <f>F220/F218*100</f>
        <v>28.009661642479227</v>
      </c>
      <c r="G219" s="10">
        <f t="shared" si="100"/>
        <v>1.4472493002632412</v>
      </c>
      <c r="H219" s="21">
        <f>H220/H218*100</f>
        <v>26.559966600980168</v>
      </c>
      <c r="I219" s="21">
        <f>I220/I218*100</f>
        <v>26.562412342215993</v>
      </c>
      <c r="J219" s="21">
        <f>J220/J218*100</f>
        <v>19.270661556156618</v>
      </c>
      <c r="K219" s="10">
        <f t="shared" si="101"/>
        <v>-7.2917507860593744</v>
      </c>
      <c r="L219" s="16">
        <f t="shared" si="102"/>
        <v>-27.451387668094057</v>
      </c>
      <c r="M219" s="220"/>
      <c r="N219" s="221"/>
      <c r="O219" s="122">
        <f t="shared" si="103"/>
        <v>-7.2893050448235499</v>
      </c>
      <c r="P219" s="123">
        <f t="shared" si="104"/>
        <v>-27.444707120055433</v>
      </c>
      <c r="Q219" s="114"/>
      <c r="S219">
        <f t="shared" si="99"/>
        <v>132.79983300490085</v>
      </c>
      <c r="T219" s="44">
        <f>E219+апр!I211</f>
        <v>53.124824684431971</v>
      </c>
      <c r="U219" s="30">
        <f>F219+апр!J211</f>
        <v>48.596906082468649</v>
      </c>
    </row>
    <row r="220" spans="1:22" ht="17.25" customHeight="1">
      <c r="A220" s="224"/>
      <c r="B220" s="225"/>
      <c r="C220" s="175" t="s">
        <v>114</v>
      </c>
      <c r="D220" s="7">
        <f>D218-D216</f>
        <v>202.3069999999999</v>
      </c>
      <c r="E220" s="7">
        <f>E218-E216</f>
        <v>189.39</v>
      </c>
      <c r="F220" s="7">
        <f>F218-F216</f>
        <v>280.04900000000009</v>
      </c>
      <c r="G220" s="10">
        <f t="shared" si="100"/>
        <v>90.659000000000106</v>
      </c>
      <c r="H220" s="7">
        <f>H218-H216</f>
        <v>1820.762999999999</v>
      </c>
      <c r="I220" s="7">
        <f>I218-I216</f>
        <v>1704.5100000000002</v>
      </c>
      <c r="J220" s="7">
        <f>J218-J216</f>
        <v>1342.7029999999995</v>
      </c>
      <c r="K220" s="10">
        <f t="shared" si="101"/>
        <v>-361.8070000000007</v>
      </c>
      <c r="L220" s="16">
        <f t="shared" si="102"/>
        <v>-21.226452176871984</v>
      </c>
      <c r="M220" s="220"/>
      <c r="N220" s="221"/>
      <c r="O220" s="122">
        <f t="shared" si="103"/>
        <v>-478.05999999999949</v>
      </c>
      <c r="P220" s="123">
        <f t="shared" si="104"/>
        <v>-26.256025633209802</v>
      </c>
      <c r="Q220" s="114"/>
      <c r="S220">
        <f t="shared" si="99"/>
        <v>1011.5349999999995</v>
      </c>
      <c r="T220" s="44">
        <f>E220+апр!I212</f>
        <v>946.94999999999993</v>
      </c>
      <c r="U220" s="30">
        <f>F220+апр!J212</f>
        <v>826.36900000000026</v>
      </c>
    </row>
    <row r="221" spans="1:22" s="1" customFormat="1" ht="21" customHeight="1">
      <c r="A221" s="175" t="s">
        <v>203</v>
      </c>
      <c r="B221" s="6" t="s">
        <v>204</v>
      </c>
      <c r="C221" s="175" t="s">
        <v>205</v>
      </c>
      <c r="D221" s="21">
        <f>D215/D216</f>
        <v>139.48219316686686</v>
      </c>
      <c r="E221" s="21">
        <f>E217/E216</f>
        <v>138.57052959263572</v>
      </c>
      <c r="F221" s="175">
        <v>137.91999999999999</v>
      </c>
      <c r="G221" s="10">
        <f t="shared" si="100"/>
        <v>-0.65052959263573484</v>
      </c>
      <c r="H221" s="21">
        <f>H215/H216</f>
        <v>137.34642814047896</v>
      </c>
      <c r="I221" s="21">
        <f>I215/I216</f>
        <v>138.27296520111824</v>
      </c>
      <c r="J221" s="21">
        <f>J215/J216</f>
        <v>141.01912017975786</v>
      </c>
      <c r="K221" s="10">
        <f t="shared" si="101"/>
        <v>2.7461549786396233</v>
      </c>
      <c r="L221" s="16">
        <f t="shared" si="102"/>
        <v>1.9860389734503319</v>
      </c>
      <c r="M221" s="220"/>
      <c r="N221" s="221"/>
      <c r="O221" s="122">
        <f t="shared" si="103"/>
        <v>3.6726920392788998</v>
      </c>
      <c r="P221" s="123">
        <f t="shared" si="104"/>
        <v>2.6740353491555258</v>
      </c>
      <c r="Q221" s="114"/>
      <c r="R221"/>
      <c r="S221">
        <f t="shared" si="99"/>
        <v>697.41096583433432</v>
      </c>
      <c r="T221" s="44">
        <f>E221+апр!I213</f>
        <v>277.14105918527144</v>
      </c>
      <c r="U221" s="30">
        <f>F221+апр!J213</f>
        <v>275.84000047452685</v>
      </c>
      <c r="V221"/>
    </row>
    <row r="222" spans="1:22" ht="17.25" customHeight="1">
      <c r="A222" s="8"/>
      <c r="B222" s="9" t="s">
        <v>206</v>
      </c>
      <c r="C222" s="8"/>
      <c r="D222" s="21"/>
      <c r="E222" s="8"/>
      <c r="F222" s="8"/>
      <c r="G222" s="8"/>
      <c r="H222" s="10"/>
      <c r="I222" s="8"/>
      <c r="J222" s="10"/>
      <c r="K222" s="8"/>
      <c r="L222" s="16"/>
      <c r="M222" s="220"/>
      <c r="N222" s="221"/>
      <c r="O222" s="114"/>
      <c r="P222" s="114"/>
      <c r="Q222" s="114"/>
      <c r="S222">
        <f t="shared" si="99"/>
        <v>0</v>
      </c>
      <c r="T222" s="44">
        <f>E222+апр!I214</f>
        <v>0</v>
      </c>
      <c r="U222" s="30">
        <f>F222+апр!J214</f>
        <v>0</v>
      </c>
    </row>
    <row r="223" spans="1:22" ht="35.25" customHeight="1">
      <c r="A223" s="8">
        <v>7</v>
      </c>
      <c r="B223" s="9" t="s">
        <v>207</v>
      </c>
      <c r="C223" s="8" t="s">
        <v>208</v>
      </c>
      <c r="D223" s="14">
        <f>D224+D225</f>
        <v>253</v>
      </c>
      <c r="E223" s="14">
        <f t="shared" ref="E223:G223" si="105">E224+E225</f>
        <v>0</v>
      </c>
      <c r="F223" s="14">
        <f t="shared" si="105"/>
        <v>0</v>
      </c>
      <c r="G223" s="14">
        <f t="shared" si="105"/>
        <v>0</v>
      </c>
      <c r="H223" s="14">
        <f>H224+H225</f>
        <v>253</v>
      </c>
      <c r="I223" s="14">
        <f t="shared" ref="I223:K223" si="106">I224+I225</f>
        <v>0</v>
      </c>
      <c r="J223" s="14">
        <f t="shared" si="106"/>
        <v>172</v>
      </c>
      <c r="K223" s="14">
        <f t="shared" si="106"/>
        <v>0</v>
      </c>
      <c r="L223" s="16"/>
      <c r="M223" s="220"/>
      <c r="N223" s="221"/>
      <c r="O223" s="114"/>
      <c r="P223" s="114"/>
      <c r="Q223" s="114"/>
      <c r="S223">
        <f t="shared" si="99"/>
        <v>1265</v>
      </c>
      <c r="T223" s="44">
        <f>E223+апр!I215</f>
        <v>0</v>
      </c>
      <c r="U223" s="30">
        <f>F223+апр!J215</f>
        <v>172</v>
      </c>
    </row>
    <row r="224" spans="1:22" ht="17.25" customHeight="1">
      <c r="A224" s="18" t="s">
        <v>209</v>
      </c>
      <c r="B224" s="9" t="s">
        <v>210</v>
      </c>
      <c r="C224" s="8" t="s">
        <v>208</v>
      </c>
      <c r="D224" s="14">
        <v>236</v>
      </c>
      <c r="E224" s="8"/>
      <c r="F224" s="8"/>
      <c r="G224" s="8"/>
      <c r="H224" s="14">
        <v>236</v>
      </c>
      <c r="I224" s="8"/>
      <c r="J224" s="8">
        <v>164</v>
      </c>
      <c r="K224" s="8"/>
      <c r="L224" s="16"/>
      <c r="M224" s="220"/>
      <c r="N224" s="221"/>
      <c r="O224" s="114"/>
      <c r="P224" s="114"/>
      <c r="Q224" s="114"/>
      <c r="S224">
        <f t="shared" si="99"/>
        <v>1180</v>
      </c>
      <c r="T224" s="44">
        <f>E224+апр!I216</f>
        <v>0</v>
      </c>
      <c r="U224" s="30">
        <f>F224+апр!J216</f>
        <v>164</v>
      </c>
    </row>
    <row r="225" spans="1:21" ht="17.25" customHeight="1">
      <c r="A225" s="18" t="s">
        <v>211</v>
      </c>
      <c r="B225" s="9" t="s">
        <v>212</v>
      </c>
      <c r="C225" s="8" t="s">
        <v>208</v>
      </c>
      <c r="D225" s="14">
        <v>17</v>
      </c>
      <c r="E225" s="8"/>
      <c r="F225" s="8"/>
      <c r="G225" s="8"/>
      <c r="H225" s="14">
        <v>17</v>
      </c>
      <c r="I225" s="8"/>
      <c r="J225" s="8">
        <v>8</v>
      </c>
      <c r="K225" s="8"/>
      <c r="L225" s="16"/>
      <c r="M225" s="220"/>
      <c r="N225" s="221"/>
      <c r="O225" s="114"/>
      <c r="P225" s="114"/>
      <c r="Q225" s="114"/>
      <c r="S225">
        <f t="shared" si="99"/>
        <v>85</v>
      </c>
      <c r="T225" s="44">
        <f>E225+апр!I217</f>
        <v>0</v>
      </c>
      <c r="U225" s="30">
        <f>F225+апр!J217</f>
        <v>8</v>
      </c>
    </row>
    <row r="226" spans="1:21" ht="36" customHeight="1">
      <c r="A226" s="18" t="s">
        <v>213</v>
      </c>
      <c r="B226" s="9" t="s">
        <v>214</v>
      </c>
      <c r="C226" s="8" t="s">
        <v>16</v>
      </c>
      <c r="D226" s="14">
        <f>(D88+D152)/D223*1000</f>
        <v>86746.573122529648</v>
      </c>
      <c r="E226" s="8"/>
      <c r="F226" s="8"/>
      <c r="G226" s="8"/>
      <c r="H226" s="14">
        <f>(H88+H152)/H223*1000/8</f>
        <v>97589.894762845841</v>
      </c>
      <c r="I226" s="8"/>
      <c r="J226" s="14">
        <f>(J88+J152)/J223*1000/6</f>
        <v>174053.48643410855</v>
      </c>
      <c r="K226" s="8"/>
      <c r="L226" s="16"/>
      <c r="M226" s="220"/>
      <c r="N226" s="221"/>
      <c r="O226" s="114"/>
      <c r="P226" s="114"/>
      <c r="Q226" s="114"/>
      <c r="S226">
        <f t="shared" si="99"/>
        <v>433732.86561264825</v>
      </c>
      <c r="T226" s="44">
        <f>E226+апр!I218</f>
        <v>0</v>
      </c>
      <c r="U226" s="30">
        <f>F226+апр!J218</f>
        <v>113361.80523255812</v>
      </c>
    </row>
    <row r="227" spans="1:21" ht="17.25" customHeight="1">
      <c r="A227" s="18" t="s">
        <v>215</v>
      </c>
      <c r="B227" s="9" t="s">
        <v>210</v>
      </c>
      <c r="C227" s="8" t="s">
        <v>16</v>
      </c>
      <c r="D227" s="14">
        <f>D88/D224*1000</f>
        <v>84883.580508474581</v>
      </c>
      <c r="E227" s="8"/>
      <c r="F227" s="8"/>
      <c r="G227" s="8"/>
      <c r="H227" s="14">
        <f>H88/H224*1000/7</f>
        <v>109136.03208232443</v>
      </c>
      <c r="I227" s="8"/>
      <c r="J227" s="14">
        <f>J88/J224*1000/6</f>
        <v>169551.55182926831</v>
      </c>
      <c r="K227" s="8"/>
      <c r="L227" s="16"/>
      <c r="M227" s="220"/>
      <c r="N227" s="221"/>
      <c r="O227" s="114"/>
      <c r="P227" s="114"/>
      <c r="Q227" s="114"/>
      <c r="T227" s="44">
        <f>E227+апр!I219</f>
        <v>0</v>
      </c>
      <c r="U227" s="30">
        <f>F227+апр!J219</f>
        <v>110632.42835365853</v>
      </c>
    </row>
    <row r="228" spans="1:21" ht="17.25" customHeight="1">
      <c r="A228" s="18" t="s">
        <v>216</v>
      </c>
      <c r="B228" s="9" t="s">
        <v>212</v>
      </c>
      <c r="C228" s="8" t="s">
        <v>16</v>
      </c>
      <c r="D228" s="14">
        <f>D152/D225*1000</f>
        <v>112609.29411764705</v>
      </c>
      <c r="E228" s="8"/>
      <c r="F228" s="8"/>
      <c r="G228" s="8"/>
      <c r="H228" s="10"/>
      <c r="I228" s="8"/>
      <c r="J228" s="14">
        <f>J152/J225*1000/6</f>
        <v>266343.14583333331</v>
      </c>
      <c r="K228" s="8"/>
      <c r="L228" s="16"/>
      <c r="M228" s="220"/>
      <c r="N228" s="221"/>
      <c r="O228" s="114"/>
      <c r="P228" s="114"/>
      <c r="Q228" s="114"/>
      <c r="T228" s="44">
        <f>E228+апр!I220</f>
        <v>0</v>
      </c>
      <c r="U228" s="30">
        <f>F228+апр!J220</f>
        <v>169314.03125</v>
      </c>
    </row>
    <row r="229" spans="1:21" ht="18.75">
      <c r="A229" s="29"/>
      <c r="B229" s="29"/>
      <c r="C229" s="29"/>
      <c r="D229" s="29"/>
      <c r="E229" s="29"/>
      <c r="F229" s="29"/>
      <c r="G229" s="29"/>
      <c r="H229" s="29">
        <f>H228*I225*12/1000</f>
        <v>0</v>
      </c>
      <c r="I229" s="29">
        <f>H226*I224*12/1000</f>
        <v>0</v>
      </c>
      <c r="J229" s="29"/>
      <c r="K229" s="29"/>
      <c r="L229" s="29"/>
      <c r="M229" s="29"/>
      <c r="N229" s="29">
        <f>H229+I229</f>
        <v>0</v>
      </c>
      <c r="O229" s="29"/>
      <c r="P229" s="29"/>
      <c r="Q229" s="29"/>
    </row>
    <row r="230" spans="1:21" ht="18.75">
      <c r="A230" s="29"/>
      <c r="B230" s="29"/>
      <c r="C230" s="29"/>
      <c r="D230" s="29"/>
      <c r="E230" s="29"/>
      <c r="F230" s="29"/>
      <c r="G230" s="29"/>
      <c r="H230" s="29">
        <v>607.40800000000002</v>
      </c>
      <c r="I230" s="29">
        <v>9999.5409999999993</v>
      </c>
      <c r="J230" s="29"/>
      <c r="K230" s="29"/>
      <c r="L230" s="29"/>
      <c r="M230" s="29"/>
      <c r="N230" s="29"/>
      <c r="O230" s="29"/>
      <c r="P230" s="29"/>
      <c r="Q230" s="29"/>
    </row>
    <row r="231" spans="1:21" ht="18.75">
      <c r="A231" s="29"/>
      <c r="B231" s="29"/>
      <c r="C231" s="29"/>
      <c r="D231" s="29"/>
      <c r="E231" s="29"/>
      <c r="F231" s="29"/>
      <c r="G231" s="29"/>
      <c r="H231" s="29">
        <v>953.40200000000004</v>
      </c>
      <c r="I231" s="29">
        <v>10043.467000000001</v>
      </c>
      <c r="J231" s="29"/>
      <c r="K231" s="29"/>
      <c r="L231" s="29"/>
      <c r="M231" s="29"/>
      <c r="N231" s="29"/>
      <c r="O231" s="29"/>
      <c r="P231" s="29"/>
      <c r="Q231" s="29"/>
    </row>
    <row r="232" spans="1:21" ht="18.75">
      <c r="A232" s="29"/>
      <c r="B232" s="29"/>
      <c r="C232" s="29"/>
      <c r="D232" s="29"/>
      <c r="E232" s="29"/>
      <c r="F232" s="29"/>
      <c r="G232" s="29"/>
      <c r="H232" s="29"/>
      <c r="I232" s="29">
        <f>888.772+371.175+148.47</f>
        <v>1408.4170000000001</v>
      </c>
      <c r="J232" s="29"/>
      <c r="K232" s="29"/>
      <c r="L232" s="29"/>
      <c r="M232" s="29"/>
      <c r="N232" s="29"/>
      <c r="O232" s="29"/>
      <c r="P232" s="29"/>
      <c r="Q232" s="29"/>
    </row>
    <row r="233" spans="1:21" ht="18.75">
      <c r="A233" s="29"/>
      <c r="B233" s="29"/>
      <c r="C233" s="29"/>
      <c r="D233" s="29"/>
      <c r="E233" s="29"/>
      <c r="F233" s="29"/>
      <c r="G233" s="29"/>
      <c r="H233" s="29">
        <f>SUM(H229:H231)</f>
        <v>1560.81</v>
      </c>
      <c r="I233" s="29">
        <f>SUM(I229:I232)</f>
        <v>21451.425000000003</v>
      </c>
      <c r="J233" s="29"/>
      <c r="K233" s="29"/>
      <c r="L233" s="29"/>
      <c r="M233" s="29"/>
      <c r="N233" s="29">
        <f>SUM(H233:M233)</f>
        <v>23012.235000000004</v>
      </c>
      <c r="O233" s="29"/>
      <c r="P233" s="29"/>
      <c r="Q233" s="29"/>
    </row>
    <row r="234" spans="1:21" ht="72.75" customHeight="1">
      <c r="A234" s="29"/>
      <c r="B234" s="29" t="s">
        <v>295</v>
      </c>
      <c r="C234" s="29"/>
      <c r="D234" s="29"/>
      <c r="E234" s="29"/>
      <c r="F234" s="29"/>
      <c r="G234" s="29"/>
      <c r="H234" s="29"/>
      <c r="I234" s="29" t="s">
        <v>296</v>
      </c>
      <c r="J234" s="29"/>
      <c r="K234" s="29"/>
      <c r="L234" s="29"/>
      <c r="M234" s="29"/>
      <c r="N234" s="29"/>
      <c r="O234" s="29"/>
      <c r="P234" s="29"/>
      <c r="Q234" s="29"/>
    </row>
    <row r="235" spans="1:21" ht="9" customHeight="1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</row>
    <row r="236" spans="1:21" ht="52.5" hidden="1" customHeight="1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</row>
    <row r="237" spans="1:21" ht="15.75" hidden="1" customHeight="1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</row>
    <row r="238" spans="1:21" ht="27" hidden="1" customHeight="1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</row>
    <row r="239" spans="1:21" ht="30" customHeight="1">
      <c r="A239" s="29"/>
      <c r="B239" s="29" t="s">
        <v>233</v>
      </c>
      <c r="C239" s="29"/>
      <c r="D239" s="29"/>
      <c r="E239" s="29"/>
      <c r="F239" s="29"/>
      <c r="G239" s="29"/>
      <c r="H239" s="29"/>
      <c r="I239" s="29" t="s">
        <v>234</v>
      </c>
      <c r="J239" s="29"/>
      <c r="K239" s="29"/>
      <c r="L239" s="29"/>
      <c r="M239" s="29"/>
      <c r="N239" s="29"/>
      <c r="O239" s="29"/>
      <c r="P239" s="29"/>
      <c r="Q239" s="29"/>
    </row>
    <row r="240" spans="1:21" ht="28.5" customHeight="1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</row>
    <row r="241" spans="1:8" ht="4.5" hidden="1" customHeight="1">
      <c r="B241" s="3" t="s">
        <v>233</v>
      </c>
      <c r="C241" s="3"/>
      <c r="D241" s="3"/>
      <c r="E241" s="3"/>
      <c r="F241" s="3"/>
      <c r="G241" s="3"/>
      <c r="H241" t="s">
        <v>234</v>
      </c>
    </row>
    <row r="242" spans="1:8" ht="16.5" customHeight="1">
      <c r="B242" s="4"/>
      <c r="C242" s="2"/>
      <c r="D242" s="2"/>
      <c r="E242" s="2"/>
      <c r="F242" s="2"/>
      <c r="G242" s="2"/>
    </row>
    <row r="243" spans="1:8" ht="15.75">
      <c r="A243" s="2"/>
      <c r="B243" s="2"/>
      <c r="C243" s="2"/>
      <c r="D243" s="2"/>
      <c r="E243" s="2"/>
      <c r="F243" s="2"/>
      <c r="G243" s="2"/>
    </row>
    <row r="244" spans="1:8" ht="15.75">
      <c r="A244" s="2"/>
      <c r="B244" s="2"/>
      <c r="C244" s="2"/>
      <c r="D244" s="2"/>
      <c r="E244" s="2"/>
      <c r="F244" s="2"/>
      <c r="G244" s="2"/>
    </row>
    <row r="245" spans="1:8" ht="15.75">
      <c r="A245" s="2"/>
      <c r="B245" s="2"/>
      <c r="C245" s="2"/>
      <c r="D245" s="2"/>
      <c r="E245" s="2"/>
      <c r="F245" s="2"/>
      <c r="G245" s="2"/>
    </row>
    <row r="246" spans="1:8" ht="15.75">
      <c r="A246" s="4" t="s">
        <v>235</v>
      </c>
      <c r="B246" s="2"/>
      <c r="C246" s="2"/>
      <c r="D246" s="2"/>
      <c r="E246" s="2"/>
      <c r="F246" s="2"/>
      <c r="G246" s="2"/>
    </row>
    <row r="247" spans="1:8" ht="15.75">
      <c r="A247" s="2"/>
      <c r="B247" s="2"/>
      <c r="C247" s="2"/>
      <c r="D247" s="2"/>
      <c r="E247" s="2"/>
      <c r="F247" s="2"/>
      <c r="G247" s="2"/>
    </row>
  </sheetData>
  <mergeCells count="224">
    <mergeCell ref="A1:N1"/>
    <mergeCell ref="A2:N2"/>
    <mergeCell ref="A3:C3"/>
    <mergeCell ref="A4:A6"/>
    <mergeCell ref="B4:B6"/>
    <mergeCell ref="C4:C6"/>
    <mergeCell ref="D4:G4"/>
    <mergeCell ref="H4:L4"/>
    <mergeCell ref="M4:N6"/>
    <mergeCell ref="D5:D6"/>
    <mergeCell ref="K5:K6"/>
    <mergeCell ref="L5:L6"/>
    <mergeCell ref="O5:O6"/>
    <mergeCell ref="P5:P6"/>
    <mergeCell ref="M7:N7"/>
    <mergeCell ref="M8:N8"/>
    <mergeCell ref="E5:E6"/>
    <mergeCell ref="F5:F6"/>
    <mergeCell ref="G5:G6"/>
    <mergeCell ref="H5:H6"/>
    <mergeCell ref="I5:I6"/>
    <mergeCell ref="J5:J6"/>
    <mergeCell ref="M15:N15"/>
    <mergeCell ref="M16:N16"/>
    <mergeCell ref="M17:N17"/>
    <mergeCell ref="M18:N18"/>
    <mergeCell ref="M19:N19"/>
    <mergeCell ref="M20:N20"/>
    <mergeCell ref="M9:N9"/>
    <mergeCell ref="M10:N10"/>
    <mergeCell ref="M11:N11"/>
    <mergeCell ref="M12:N12"/>
    <mergeCell ref="M13:N13"/>
    <mergeCell ref="M14:N14"/>
    <mergeCell ref="M27:N27"/>
    <mergeCell ref="M28:N28"/>
    <mergeCell ref="M29:N29"/>
    <mergeCell ref="M30:N30"/>
    <mergeCell ref="M31:N31"/>
    <mergeCell ref="M32:N32"/>
    <mergeCell ref="M21:N21"/>
    <mergeCell ref="M22:N22"/>
    <mergeCell ref="M23:N23"/>
    <mergeCell ref="M24:N24"/>
    <mergeCell ref="M25:N25"/>
    <mergeCell ref="M26:N26"/>
    <mergeCell ref="M39:N39"/>
    <mergeCell ref="M40:N40"/>
    <mergeCell ref="M41:N41"/>
    <mergeCell ref="M42:N43"/>
    <mergeCell ref="M44:N44"/>
    <mergeCell ref="M45:N45"/>
    <mergeCell ref="M33:N33"/>
    <mergeCell ref="M34:N34"/>
    <mergeCell ref="M35:N35"/>
    <mergeCell ref="M36:N36"/>
    <mergeCell ref="M37:N37"/>
    <mergeCell ref="M38:N38"/>
    <mergeCell ref="M52:N52"/>
    <mergeCell ref="M53:N53"/>
    <mergeCell ref="M54:N54"/>
    <mergeCell ref="M55:N55"/>
    <mergeCell ref="M56:N56"/>
    <mergeCell ref="M57:N58"/>
    <mergeCell ref="M46:N46"/>
    <mergeCell ref="M47:N47"/>
    <mergeCell ref="M48:N48"/>
    <mergeCell ref="M49:N49"/>
    <mergeCell ref="M50:N50"/>
    <mergeCell ref="M51:N51"/>
    <mergeCell ref="M66:N66"/>
    <mergeCell ref="M67:N67"/>
    <mergeCell ref="M68:N68"/>
    <mergeCell ref="M69:N70"/>
    <mergeCell ref="M71:N71"/>
    <mergeCell ref="M72:N72"/>
    <mergeCell ref="M59:N59"/>
    <mergeCell ref="M60:N61"/>
    <mergeCell ref="M62:N62"/>
    <mergeCell ref="M63:N63"/>
    <mergeCell ref="M64:N64"/>
    <mergeCell ref="M65:N65"/>
    <mergeCell ref="M79:N79"/>
    <mergeCell ref="M80:N80"/>
    <mergeCell ref="M81:N81"/>
    <mergeCell ref="M82:N82"/>
    <mergeCell ref="M83:N83"/>
    <mergeCell ref="M84:N85"/>
    <mergeCell ref="M73:N73"/>
    <mergeCell ref="M74:N74"/>
    <mergeCell ref="M75:N75"/>
    <mergeCell ref="M76:N76"/>
    <mergeCell ref="M77:N77"/>
    <mergeCell ref="M78:N78"/>
    <mergeCell ref="M95:N95"/>
    <mergeCell ref="M96:N96"/>
    <mergeCell ref="M97:N97"/>
    <mergeCell ref="M98:N98"/>
    <mergeCell ref="M99:N99"/>
    <mergeCell ref="M100:N100"/>
    <mergeCell ref="M86:N86"/>
    <mergeCell ref="M87:N87"/>
    <mergeCell ref="M88:N88"/>
    <mergeCell ref="M89:N89"/>
    <mergeCell ref="M93:N93"/>
    <mergeCell ref="M94:N94"/>
    <mergeCell ref="M107:N107"/>
    <mergeCell ref="M108:N108"/>
    <mergeCell ref="M109:N109"/>
    <mergeCell ref="M110:N110"/>
    <mergeCell ref="M111:N111"/>
    <mergeCell ref="M112:N112"/>
    <mergeCell ref="M101:N101"/>
    <mergeCell ref="M102:N102"/>
    <mergeCell ref="M103:N103"/>
    <mergeCell ref="M104:N104"/>
    <mergeCell ref="M105:N105"/>
    <mergeCell ref="M106:N106"/>
    <mergeCell ref="M119:N119"/>
    <mergeCell ref="M120:N120"/>
    <mergeCell ref="M121:N121"/>
    <mergeCell ref="M122:N122"/>
    <mergeCell ref="M123:N123"/>
    <mergeCell ref="M124:N124"/>
    <mergeCell ref="M113:N113"/>
    <mergeCell ref="M114:N114"/>
    <mergeCell ref="M115:N115"/>
    <mergeCell ref="M116:N116"/>
    <mergeCell ref="M117:N117"/>
    <mergeCell ref="M118:N118"/>
    <mergeCell ref="M131:N131"/>
    <mergeCell ref="M132:N132"/>
    <mergeCell ref="M133:N133"/>
    <mergeCell ref="M134:N134"/>
    <mergeCell ref="M135:N135"/>
    <mergeCell ref="M145:N145"/>
    <mergeCell ref="M125:N125"/>
    <mergeCell ref="M126:N126"/>
    <mergeCell ref="M127:N127"/>
    <mergeCell ref="M128:N128"/>
    <mergeCell ref="M129:N129"/>
    <mergeCell ref="M130:N130"/>
    <mergeCell ref="M152:N152"/>
    <mergeCell ref="M153:N153"/>
    <mergeCell ref="M157:N157"/>
    <mergeCell ref="M158:N158"/>
    <mergeCell ref="M159:N159"/>
    <mergeCell ref="M160:N160"/>
    <mergeCell ref="M146:N146"/>
    <mergeCell ref="M147:N147"/>
    <mergeCell ref="M148:N148"/>
    <mergeCell ref="M149:N149"/>
    <mergeCell ref="M150:N150"/>
    <mergeCell ref="M151:N151"/>
    <mergeCell ref="M167:N167"/>
    <mergeCell ref="M168:N168"/>
    <mergeCell ref="M169:N169"/>
    <mergeCell ref="M170:N170"/>
    <mergeCell ref="M171:N171"/>
    <mergeCell ref="M172:N172"/>
    <mergeCell ref="M161:N161"/>
    <mergeCell ref="M162:N162"/>
    <mergeCell ref="M163:N163"/>
    <mergeCell ref="M164:N164"/>
    <mergeCell ref="M165:N165"/>
    <mergeCell ref="M166:N166"/>
    <mergeCell ref="M179:N179"/>
    <mergeCell ref="M180:N180"/>
    <mergeCell ref="M181:N181"/>
    <mergeCell ref="M182:N182"/>
    <mergeCell ref="M183:N183"/>
    <mergeCell ref="M184:N184"/>
    <mergeCell ref="M173:N173"/>
    <mergeCell ref="M174:N174"/>
    <mergeCell ref="M175:N175"/>
    <mergeCell ref="M176:N176"/>
    <mergeCell ref="M177:N177"/>
    <mergeCell ref="M178:N178"/>
    <mergeCell ref="M192:N192"/>
    <mergeCell ref="M193:N193"/>
    <mergeCell ref="M194:N194"/>
    <mergeCell ref="M195:N195"/>
    <mergeCell ref="M196:N196"/>
    <mergeCell ref="M197:N197"/>
    <mergeCell ref="M186:N186"/>
    <mergeCell ref="M187:N187"/>
    <mergeCell ref="M188:N188"/>
    <mergeCell ref="M189:N189"/>
    <mergeCell ref="M190:N190"/>
    <mergeCell ref="M191:N191"/>
    <mergeCell ref="M204:N204"/>
    <mergeCell ref="M205:N205"/>
    <mergeCell ref="M206:N206"/>
    <mergeCell ref="M207:N207"/>
    <mergeCell ref="M208:N208"/>
    <mergeCell ref="M209:N209"/>
    <mergeCell ref="M198:N198"/>
    <mergeCell ref="M199:N199"/>
    <mergeCell ref="M200:N200"/>
    <mergeCell ref="M201:N201"/>
    <mergeCell ref="M202:N202"/>
    <mergeCell ref="M203:N203"/>
    <mergeCell ref="M210:N210"/>
    <mergeCell ref="M211:N211"/>
    <mergeCell ref="M213:N213"/>
    <mergeCell ref="M214:N214"/>
    <mergeCell ref="M215:N215"/>
    <mergeCell ref="A216:A217"/>
    <mergeCell ref="B216:B217"/>
    <mergeCell ref="M216:N216"/>
    <mergeCell ref="M217:N217"/>
    <mergeCell ref="M228:N228"/>
    <mergeCell ref="M222:N222"/>
    <mergeCell ref="M223:N223"/>
    <mergeCell ref="M224:N224"/>
    <mergeCell ref="M225:N225"/>
    <mergeCell ref="M226:N226"/>
    <mergeCell ref="M227:N227"/>
    <mergeCell ref="M218:N218"/>
    <mergeCell ref="A219:A220"/>
    <mergeCell ref="B219:B220"/>
    <mergeCell ref="M219:N219"/>
    <mergeCell ref="M220:N220"/>
    <mergeCell ref="M221:N221"/>
  </mergeCells>
  <pageMargins left="0" right="0" top="0.94488188976377963" bottom="0.39370078740157483" header="0.31496062992125984" footer="0.31496062992125984"/>
  <pageSetup paperSize="9" scale="78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S239"/>
  <sheetViews>
    <sheetView workbookViewId="0">
      <pane xSplit="10" ySplit="15" topLeftCell="K197" activePane="bottomRight" state="frozen"/>
      <selection pane="topRight" activeCell="J1" sqref="J1"/>
      <selection pane="bottomLeft" activeCell="A16" sqref="A16"/>
      <selection pane="bottomRight" activeCell="H197" sqref="H197"/>
    </sheetView>
  </sheetViews>
  <sheetFormatPr defaultRowHeight="15"/>
  <cols>
    <col min="1" max="1" width="8.85546875" customWidth="1"/>
    <col min="2" max="2" width="38.42578125" customWidth="1"/>
    <col min="3" max="3" width="13.140625" customWidth="1"/>
    <col min="4" max="4" width="14.5703125" customWidth="1"/>
    <col min="5" max="5" width="13" customWidth="1"/>
    <col min="6" max="6" width="14.5703125" style="60" customWidth="1"/>
    <col min="7" max="7" width="12.5703125" customWidth="1"/>
    <col min="8" max="8" width="15" customWidth="1"/>
    <col min="9" max="9" width="14.7109375" style="60" customWidth="1"/>
    <col min="10" max="10" width="15.85546875" customWidth="1"/>
    <col min="11" max="11" width="12.140625" customWidth="1"/>
    <col min="12" max="12" width="10.7109375" customWidth="1"/>
    <col min="13" max="13" width="14.85546875" hidden="1" customWidth="1"/>
    <col min="14" max="14" width="15.5703125" hidden="1" customWidth="1"/>
    <col min="15" max="15" width="20" customWidth="1"/>
    <col min="16" max="16" width="17.28515625" customWidth="1"/>
    <col min="17" max="17" width="13.28515625" customWidth="1"/>
    <col min="18" max="18" width="11.140625" customWidth="1"/>
    <col min="19" max="19" width="11.85546875" customWidth="1"/>
  </cols>
  <sheetData>
    <row r="1" spans="1:15" ht="54" customHeight="1">
      <c r="A1" s="241" t="s">
        <v>226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</row>
    <row r="2" spans="1:15" ht="42.75" customHeight="1">
      <c r="A2" s="242" t="s">
        <v>314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</row>
    <row r="3" spans="1:15" ht="1.5" customHeight="1">
      <c r="A3" s="243"/>
      <c r="B3" s="243"/>
      <c r="C3" s="243"/>
      <c r="D3" s="51"/>
      <c r="E3" s="51"/>
      <c r="F3" s="56"/>
      <c r="G3" s="51"/>
      <c r="H3" s="29"/>
      <c r="I3" s="29"/>
      <c r="J3" s="29"/>
      <c r="K3" s="29"/>
      <c r="L3" s="29"/>
      <c r="M3" s="29"/>
      <c r="N3" s="29"/>
    </row>
    <row r="4" spans="1:15" ht="18.75">
      <c r="A4" s="244" t="s">
        <v>0</v>
      </c>
      <c r="B4" s="247" t="s">
        <v>1</v>
      </c>
      <c r="C4" s="244" t="s">
        <v>217</v>
      </c>
      <c r="D4" s="250" t="s">
        <v>304</v>
      </c>
      <c r="E4" s="251"/>
      <c r="F4" s="251"/>
      <c r="G4" s="252"/>
      <c r="H4" s="250" t="s">
        <v>227</v>
      </c>
      <c r="I4" s="251"/>
      <c r="J4" s="251"/>
      <c r="K4" s="251"/>
      <c r="L4" s="252"/>
      <c r="M4" s="253" t="s">
        <v>239</v>
      </c>
      <c r="N4" s="254"/>
    </row>
    <row r="5" spans="1:15" ht="15" customHeight="1">
      <c r="A5" s="245"/>
      <c r="B5" s="248"/>
      <c r="C5" s="245"/>
      <c r="D5" s="237" t="s">
        <v>305</v>
      </c>
      <c r="E5" s="237" t="s">
        <v>306</v>
      </c>
      <c r="F5" s="237" t="s">
        <v>229</v>
      </c>
      <c r="G5" s="237" t="s">
        <v>219</v>
      </c>
      <c r="H5" s="237" t="s">
        <v>305</v>
      </c>
      <c r="I5" s="237" t="s">
        <v>306</v>
      </c>
      <c r="J5" s="237" t="s">
        <v>229</v>
      </c>
      <c r="K5" s="237" t="s">
        <v>219</v>
      </c>
      <c r="L5" s="237" t="s">
        <v>236</v>
      </c>
      <c r="M5" s="255"/>
      <c r="N5" s="256"/>
    </row>
    <row r="6" spans="1:15" ht="41.25" customHeight="1">
      <c r="A6" s="246"/>
      <c r="B6" s="249"/>
      <c r="C6" s="246"/>
      <c r="D6" s="238"/>
      <c r="E6" s="238"/>
      <c r="F6" s="238"/>
      <c r="G6" s="238"/>
      <c r="H6" s="238"/>
      <c r="I6" s="238"/>
      <c r="J6" s="238"/>
      <c r="K6" s="238"/>
      <c r="L6" s="238"/>
      <c r="M6" s="257"/>
      <c r="N6" s="258"/>
    </row>
    <row r="7" spans="1:15" ht="15.75" customHeight="1">
      <c r="A7" s="35">
        <v>1</v>
      </c>
      <c r="B7" s="35">
        <v>2</v>
      </c>
      <c r="C7" s="35">
        <v>3</v>
      </c>
      <c r="D7" s="35"/>
      <c r="E7" s="35"/>
      <c r="F7" s="35"/>
      <c r="G7" s="35"/>
      <c r="H7" s="35">
        <v>4</v>
      </c>
      <c r="I7" s="35">
        <v>5</v>
      </c>
      <c r="J7" s="35">
        <v>6</v>
      </c>
      <c r="K7" s="35"/>
      <c r="L7" s="35">
        <v>7</v>
      </c>
      <c r="M7" s="239">
        <v>8</v>
      </c>
      <c r="N7" s="240"/>
    </row>
    <row r="8" spans="1:15" ht="39" customHeight="1">
      <c r="A8" s="47" t="s">
        <v>2</v>
      </c>
      <c r="B8" s="6" t="s">
        <v>3</v>
      </c>
      <c r="C8" s="47" t="s">
        <v>4</v>
      </c>
      <c r="D8" s="7">
        <f>D9+D87+D93+D95+D97</f>
        <v>73170.115000000005</v>
      </c>
      <c r="E8" s="21">
        <f>E9+E87+E93+E95+E97</f>
        <v>68097.582999999999</v>
      </c>
      <c r="F8" s="7">
        <f>F9+F87+F93+F95+F97</f>
        <v>71512.053999999989</v>
      </c>
      <c r="G8" s="7">
        <f>F8-E8</f>
        <v>3414.4709999999905</v>
      </c>
      <c r="H8" s="7">
        <f>H9+H87+H93+H95+H97</f>
        <v>146340.23000000001</v>
      </c>
      <c r="I8" s="21">
        <f>I9+I87+I93+I95+I97</f>
        <v>136195.166</v>
      </c>
      <c r="J8" s="7">
        <f>J9+J87+J93+J95+J97</f>
        <v>137664.95999999999</v>
      </c>
      <c r="K8" s="7">
        <f>J8-I8</f>
        <v>1469.7939999999944</v>
      </c>
      <c r="L8" s="21">
        <f>K8/I8*100</f>
        <v>1.0791822082730855</v>
      </c>
      <c r="M8" s="220"/>
      <c r="N8" s="221"/>
      <c r="O8" s="30">
        <f>F8+ян!J8</f>
        <v>137664.95999999999</v>
      </c>
    </row>
    <row r="9" spans="1:15" ht="17.25" customHeight="1">
      <c r="A9" s="47" t="s">
        <v>5</v>
      </c>
      <c r="B9" s="6" t="s">
        <v>6</v>
      </c>
      <c r="C9" s="47" t="s">
        <v>4</v>
      </c>
      <c r="D9" s="7">
        <f>D10+D37+D72</f>
        <v>35732.106</v>
      </c>
      <c r="E9" s="21">
        <f>E10+E37+E72</f>
        <v>32135.084000000003</v>
      </c>
      <c r="F9" s="7">
        <f>F10+F37+F72</f>
        <v>38537.226999999999</v>
      </c>
      <c r="G9" s="7">
        <f>F9-E9</f>
        <v>6402.1429999999964</v>
      </c>
      <c r="H9" s="7">
        <f>H10+H37+H72</f>
        <v>71464.212</v>
      </c>
      <c r="I9" s="21">
        <f>I10+I37+I72</f>
        <v>64270.168000000005</v>
      </c>
      <c r="J9" s="7">
        <f>J10+J37+J72</f>
        <v>73869.754000000001</v>
      </c>
      <c r="K9" s="21">
        <f>J9-I9</f>
        <v>9599.5859999999957</v>
      </c>
      <c r="L9" s="21">
        <f>K9/I9*100</f>
        <v>14.936301395695736</v>
      </c>
      <c r="M9" s="220"/>
      <c r="N9" s="221"/>
    </row>
    <row r="10" spans="1:15" ht="17.25" customHeight="1">
      <c r="A10" s="8" t="s">
        <v>7</v>
      </c>
      <c r="B10" s="9" t="s">
        <v>8</v>
      </c>
      <c r="C10" s="8" t="s">
        <v>4</v>
      </c>
      <c r="D10" s="10">
        <f>D11+D30+D35</f>
        <v>7601.0440000000008</v>
      </c>
      <c r="E10" s="10">
        <f>E11+E30+E35</f>
        <v>5895.3339999999998</v>
      </c>
      <c r="F10" s="10">
        <f>F11+F30+F35</f>
        <v>12717.638000000001</v>
      </c>
      <c r="G10" s="10">
        <f>F10-E10</f>
        <v>6822.304000000001</v>
      </c>
      <c r="H10" s="10">
        <f>H11+H30+H35</f>
        <v>15202.088000000002</v>
      </c>
      <c r="I10" s="10">
        <f>I11+I30+I35</f>
        <v>11790.668</v>
      </c>
      <c r="J10" s="10">
        <f>J11+J30+J35</f>
        <v>16883.266</v>
      </c>
      <c r="K10" s="10">
        <f>J10-I10</f>
        <v>5092.598</v>
      </c>
      <c r="L10" s="16">
        <f>K10/I10*100</f>
        <v>43.191768269617974</v>
      </c>
      <c r="M10" s="220"/>
      <c r="N10" s="221"/>
    </row>
    <row r="11" spans="1:15" ht="17.25" customHeight="1">
      <c r="A11" s="8" t="s">
        <v>9</v>
      </c>
      <c r="B11" s="9" t="s">
        <v>10</v>
      </c>
      <c r="C11" s="8" t="s">
        <v>4</v>
      </c>
      <c r="D11" s="10">
        <f>D12+D15+D18+D21+D24+D27</f>
        <v>5032.2450000000008</v>
      </c>
      <c r="E11" s="8">
        <v>4970.0829999999996</v>
      </c>
      <c r="F11" s="10">
        <f>F12+F15+F18+F21+F24+F27</f>
        <v>4240.8809999999994</v>
      </c>
      <c r="G11" s="10">
        <f t="shared" ref="G11:G74" si="0">F11-E11</f>
        <v>-729.20200000000023</v>
      </c>
      <c r="H11" s="10">
        <f>H12+H15+H18+H21+H24+H27</f>
        <v>10064.490000000002</v>
      </c>
      <c r="I11" s="8">
        <f>E11+ян!I11</f>
        <v>9940.1659999999993</v>
      </c>
      <c r="J11" s="10">
        <f>J12+J15+J18+J21+J24+J27</f>
        <v>7264.86</v>
      </c>
      <c r="K11" s="10">
        <f t="shared" ref="K11:K74" si="1">J11-I11</f>
        <v>-2675.3059999999996</v>
      </c>
      <c r="L11" s="16">
        <f t="shared" ref="L11:L72" si="2">K11/I11*100</f>
        <v>-26.914097812853427</v>
      </c>
      <c r="M11" s="220"/>
      <c r="N11" s="221"/>
    </row>
    <row r="12" spans="1:15" ht="18.75" customHeight="1">
      <c r="A12" s="8" t="s">
        <v>11</v>
      </c>
      <c r="B12" s="9" t="s">
        <v>12</v>
      </c>
      <c r="C12" s="8" t="s">
        <v>4</v>
      </c>
      <c r="D12" s="10">
        <v>852.13199999999995</v>
      </c>
      <c r="E12" s="8"/>
      <c r="F12" s="55">
        <v>607.14300000000003</v>
      </c>
      <c r="G12" s="10">
        <f t="shared" si="0"/>
        <v>607.14300000000003</v>
      </c>
      <c r="H12" s="10">
        <f>D12+ян!H12</f>
        <v>1704.2639999999999</v>
      </c>
      <c r="I12" s="8"/>
      <c r="J12" s="8">
        <f>F12+ян!J12</f>
        <v>1125.0360000000001</v>
      </c>
      <c r="K12" s="10">
        <f t="shared" si="1"/>
        <v>1125.0360000000001</v>
      </c>
      <c r="L12" s="16"/>
      <c r="M12" s="222" t="s">
        <v>297</v>
      </c>
      <c r="N12" s="223"/>
    </row>
    <row r="13" spans="1:15" ht="17.25" customHeight="1">
      <c r="A13" s="8"/>
      <c r="B13" s="12" t="s">
        <v>13</v>
      </c>
      <c r="C13" s="13" t="s">
        <v>14</v>
      </c>
      <c r="D13" s="14">
        <v>3667</v>
      </c>
      <c r="E13" s="13"/>
      <c r="F13" s="8">
        <v>2000</v>
      </c>
      <c r="G13" s="10">
        <f t="shared" si="0"/>
        <v>2000</v>
      </c>
      <c r="H13" s="10">
        <f>D13+ян!H13</f>
        <v>7334</v>
      </c>
      <c r="I13" s="8"/>
      <c r="J13" s="8">
        <f>F13+ян!J13</f>
        <v>3706</v>
      </c>
      <c r="K13" s="10">
        <f t="shared" si="1"/>
        <v>3706</v>
      </c>
      <c r="L13" s="16"/>
      <c r="M13" s="220"/>
      <c r="N13" s="221"/>
    </row>
    <row r="14" spans="1:15" ht="17.25" customHeight="1">
      <c r="A14" s="15"/>
      <c r="B14" s="12" t="s">
        <v>15</v>
      </c>
      <c r="C14" s="13" t="s">
        <v>16</v>
      </c>
      <c r="D14" s="16">
        <f>D12/D13*1000</f>
        <v>232.37851104445048</v>
      </c>
      <c r="E14" s="16"/>
      <c r="F14" s="16">
        <f t="shared" ref="F14" si="3">F12/F13*1000</f>
        <v>303.57150000000001</v>
      </c>
      <c r="G14" s="10">
        <f t="shared" si="0"/>
        <v>303.57150000000001</v>
      </c>
      <c r="H14" s="16">
        <f>H12/H13*1000</f>
        <v>232.37851104445048</v>
      </c>
      <c r="I14" s="16"/>
      <c r="J14" s="16">
        <f t="shared" ref="J14" si="4">J12/J13*1000</f>
        <v>303.57150566648676</v>
      </c>
      <c r="K14" s="10">
        <f t="shared" si="1"/>
        <v>303.57150566648676</v>
      </c>
      <c r="L14" s="16"/>
      <c r="M14" s="220"/>
      <c r="N14" s="221"/>
    </row>
    <row r="15" spans="1:15" ht="17.25" customHeight="1">
      <c r="A15" s="8" t="s">
        <v>17</v>
      </c>
      <c r="B15" s="9" t="s">
        <v>18</v>
      </c>
      <c r="C15" s="8" t="s">
        <v>4</v>
      </c>
      <c r="D15" s="10">
        <v>2808.576</v>
      </c>
      <c r="E15" s="8"/>
      <c r="F15" s="54">
        <v>2358.1179999999999</v>
      </c>
      <c r="G15" s="10">
        <f t="shared" si="0"/>
        <v>2358.1179999999999</v>
      </c>
      <c r="H15" s="10">
        <f>D15+ян!H15</f>
        <v>5617.152</v>
      </c>
      <c r="I15" s="8"/>
      <c r="J15" s="8">
        <f>F15+ян!J15</f>
        <v>3894.0039999999999</v>
      </c>
      <c r="K15" s="10">
        <f t="shared" si="1"/>
        <v>3894.0039999999999</v>
      </c>
      <c r="L15" s="16"/>
      <c r="M15" s="220"/>
      <c r="N15" s="221"/>
    </row>
    <row r="16" spans="1:15" ht="17.25" customHeight="1">
      <c r="A16" s="8"/>
      <c r="B16" s="12" t="s">
        <v>13</v>
      </c>
      <c r="C16" s="13" t="s">
        <v>14</v>
      </c>
      <c r="D16" s="14">
        <v>15000</v>
      </c>
      <c r="E16" s="13"/>
      <c r="F16" s="8">
        <v>18656</v>
      </c>
      <c r="G16" s="10">
        <f t="shared" si="0"/>
        <v>18656</v>
      </c>
      <c r="H16" s="10">
        <f>D16+ян!H16</f>
        <v>30000</v>
      </c>
      <c r="I16" s="8"/>
      <c r="J16" s="8">
        <f>F16+ян!J16</f>
        <v>30807</v>
      </c>
      <c r="K16" s="10">
        <f t="shared" si="1"/>
        <v>30807</v>
      </c>
      <c r="L16" s="16"/>
      <c r="M16" s="220"/>
      <c r="N16" s="221"/>
    </row>
    <row r="17" spans="1:14" ht="17.25" customHeight="1">
      <c r="A17" s="8"/>
      <c r="B17" s="12" t="s">
        <v>15</v>
      </c>
      <c r="C17" s="13" t="s">
        <v>16</v>
      </c>
      <c r="D17" s="16">
        <f>D15/D16*1000</f>
        <v>187.23840000000001</v>
      </c>
      <c r="E17" s="16"/>
      <c r="F17" s="16">
        <f t="shared" ref="F17" si="5">F15/F16*1000</f>
        <v>126.39997855917667</v>
      </c>
      <c r="G17" s="10">
        <f t="shared" si="0"/>
        <v>126.39997855917667</v>
      </c>
      <c r="H17" s="16">
        <f>H15/H16*1000</f>
        <v>187.23840000000001</v>
      </c>
      <c r="I17" s="8"/>
      <c r="J17" s="13"/>
      <c r="K17" s="10">
        <f t="shared" si="1"/>
        <v>0</v>
      </c>
      <c r="L17" s="16"/>
      <c r="M17" s="220"/>
      <c r="N17" s="221"/>
    </row>
    <row r="18" spans="1:14" ht="17.25" customHeight="1">
      <c r="A18" s="8" t="s">
        <v>19</v>
      </c>
      <c r="B18" s="9" t="s">
        <v>20</v>
      </c>
      <c r="C18" s="8" t="s">
        <v>4</v>
      </c>
      <c r="D18" s="10">
        <v>241.64599999999999</v>
      </c>
      <c r="E18" s="8"/>
      <c r="F18" s="10"/>
      <c r="G18" s="10">
        <f t="shared" si="0"/>
        <v>0</v>
      </c>
      <c r="H18" s="10">
        <f>D18+ян!H18</f>
        <v>483.29199999999997</v>
      </c>
      <c r="I18" s="8"/>
      <c r="J18" s="10">
        <f>F18+ян!J18</f>
        <v>88</v>
      </c>
      <c r="K18" s="10">
        <f t="shared" si="1"/>
        <v>88</v>
      </c>
      <c r="L18" s="16"/>
      <c r="M18" s="220"/>
      <c r="N18" s="221"/>
    </row>
    <row r="19" spans="1:14" ht="17.25" customHeight="1">
      <c r="A19" s="8"/>
      <c r="B19" s="12" t="s">
        <v>13</v>
      </c>
      <c r="C19" s="13" t="s">
        <v>14</v>
      </c>
      <c r="D19" s="14">
        <v>1025</v>
      </c>
      <c r="E19" s="13"/>
      <c r="F19" s="8"/>
      <c r="G19" s="10">
        <f t="shared" si="0"/>
        <v>0</v>
      </c>
      <c r="H19" s="10">
        <f>D19+ян!H19</f>
        <v>2050</v>
      </c>
      <c r="I19" s="8"/>
      <c r="J19" s="14">
        <f>F19+ян!J19</f>
        <v>200</v>
      </c>
      <c r="K19" s="10">
        <f t="shared" si="1"/>
        <v>200</v>
      </c>
      <c r="L19" s="16"/>
      <c r="M19" s="220"/>
      <c r="N19" s="221"/>
    </row>
    <row r="20" spans="1:14" ht="17.25" customHeight="1">
      <c r="A20" s="8"/>
      <c r="B20" s="12" t="s">
        <v>15</v>
      </c>
      <c r="C20" s="13" t="s">
        <v>16</v>
      </c>
      <c r="D20" s="16">
        <f>D18/D19*1000</f>
        <v>235.75219512195119</v>
      </c>
      <c r="E20" s="13"/>
      <c r="F20" s="8"/>
      <c r="G20" s="10">
        <f t="shared" si="0"/>
        <v>0</v>
      </c>
      <c r="H20" s="16">
        <f>H18/H19*1000</f>
        <v>235.75219512195119</v>
      </c>
      <c r="I20" s="8"/>
      <c r="J20" s="58"/>
      <c r="K20" s="10">
        <f t="shared" si="1"/>
        <v>0</v>
      </c>
      <c r="L20" s="16"/>
      <c r="M20" s="220"/>
      <c r="N20" s="221"/>
    </row>
    <row r="21" spans="1:14" ht="17.25" customHeight="1">
      <c r="A21" s="8" t="s">
        <v>21</v>
      </c>
      <c r="B21" s="9" t="s">
        <v>22</v>
      </c>
      <c r="C21" s="8" t="s">
        <v>4</v>
      </c>
      <c r="D21" s="10">
        <v>750.73</v>
      </c>
      <c r="E21" s="8"/>
      <c r="F21" s="54">
        <v>1275.6199999999999</v>
      </c>
      <c r="G21" s="10">
        <f t="shared" si="0"/>
        <v>1275.6199999999999</v>
      </c>
      <c r="H21" s="10">
        <f>D21+ян!H21</f>
        <v>1501.46</v>
      </c>
      <c r="I21" s="8"/>
      <c r="J21" s="10">
        <f>F21+ян!J21</f>
        <v>2157.8199999999997</v>
      </c>
      <c r="K21" s="10">
        <f t="shared" si="1"/>
        <v>2157.8199999999997</v>
      </c>
      <c r="L21" s="16"/>
      <c r="M21" s="220"/>
      <c r="N21" s="221"/>
    </row>
    <row r="22" spans="1:14" ht="17.25" customHeight="1">
      <c r="A22" s="8"/>
      <c r="B22" s="12" t="s">
        <v>13</v>
      </c>
      <c r="C22" s="13" t="s">
        <v>14</v>
      </c>
      <c r="D22" s="14">
        <v>5883</v>
      </c>
      <c r="E22" s="13"/>
      <c r="F22" s="8">
        <v>7390</v>
      </c>
      <c r="G22" s="10">
        <f t="shared" si="0"/>
        <v>7390</v>
      </c>
      <c r="H22" s="10">
        <f>D22+ян!H22</f>
        <v>11766</v>
      </c>
      <c r="I22" s="8"/>
      <c r="J22" s="14">
        <f>F22+ян!J22</f>
        <v>12290</v>
      </c>
      <c r="K22" s="10">
        <f t="shared" si="1"/>
        <v>12290</v>
      </c>
      <c r="L22" s="16"/>
      <c r="M22" s="220"/>
      <c r="N22" s="221"/>
    </row>
    <row r="23" spans="1:14" ht="17.25" customHeight="1">
      <c r="A23" s="8"/>
      <c r="B23" s="12" t="s">
        <v>15</v>
      </c>
      <c r="C23" s="13" t="s">
        <v>16</v>
      </c>
      <c r="D23" s="16">
        <f>D21/D22*1000</f>
        <v>127.61006289308177</v>
      </c>
      <c r="E23" s="16" t="e">
        <f t="shared" ref="E23:F23" si="6">E21/E22*1000</f>
        <v>#DIV/0!</v>
      </c>
      <c r="F23" s="16">
        <f t="shared" si="6"/>
        <v>172.61434370771312</v>
      </c>
      <c r="G23" s="10" t="e">
        <f t="shared" si="0"/>
        <v>#DIV/0!</v>
      </c>
      <c r="H23" s="16">
        <f>H21/H22*1000</f>
        <v>127.61006289308177</v>
      </c>
      <c r="I23" s="8"/>
      <c r="J23" s="13"/>
      <c r="K23" s="10">
        <f t="shared" si="1"/>
        <v>0</v>
      </c>
      <c r="L23" s="16"/>
      <c r="M23" s="220"/>
      <c r="N23" s="221"/>
    </row>
    <row r="24" spans="1:14" ht="17.25" customHeight="1">
      <c r="A24" s="8" t="s">
        <v>23</v>
      </c>
      <c r="B24" s="9" t="s">
        <v>24</v>
      </c>
      <c r="C24" s="8" t="s">
        <v>4</v>
      </c>
      <c r="D24" s="10">
        <v>165.005</v>
      </c>
      <c r="E24" s="8"/>
      <c r="F24" s="8"/>
      <c r="G24" s="10">
        <f t="shared" si="0"/>
        <v>0</v>
      </c>
      <c r="H24" s="10">
        <f>D24+ян!H24</f>
        <v>330.01</v>
      </c>
      <c r="I24" s="8"/>
      <c r="J24" s="8">
        <f>F24+ян!J24</f>
        <v>0</v>
      </c>
      <c r="K24" s="10">
        <f t="shared" si="1"/>
        <v>0</v>
      </c>
      <c r="L24" s="16"/>
      <c r="M24" s="220"/>
      <c r="N24" s="221"/>
    </row>
    <row r="25" spans="1:14" ht="17.25" customHeight="1">
      <c r="A25" s="8"/>
      <c r="B25" s="12" t="s">
        <v>13</v>
      </c>
      <c r="C25" s="13" t="s">
        <v>14</v>
      </c>
      <c r="D25" s="14">
        <v>251</v>
      </c>
      <c r="E25" s="13"/>
      <c r="F25" s="8"/>
      <c r="G25" s="10">
        <f t="shared" si="0"/>
        <v>0</v>
      </c>
      <c r="H25" s="10">
        <f>D25+ян!H25</f>
        <v>502</v>
      </c>
      <c r="I25" s="8"/>
      <c r="J25" s="8">
        <f>F25+ян!J25</f>
        <v>0</v>
      </c>
      <c r="K25" s="10">
        <f t="shared" si="1"/>
        <v>0</v>
      </c>
      <c r="L25" s="16"/>
      <c r="M25" s="220"/>
      <c r="N25" s="221"/>
    </row>
    <row r="26" spans="1:14" ht="17.25" customHeight="1">
      <c r="A26" s="8"/>
      <c r="B26" s="12" t="s">
        <v>15</v>
      </c>
      <c r="C26" s="13" t="s">
        <v>16</v>
      </c>
      <c r="D26" s="16">
        <f>D24/D25*1000</f>
        <v>657.39043824701196</v>
      </c>
      <c r="E26" s="16"/>
      <c r="F26" s="16"/>
      <c r="G26" s="10">
        <f t="shared" si="0"/>
        <v>0</v>
      </c>
      <c r="H26" s="16">
        <f>H24/H25*1000</f>
        <v>657.39043824701196</v>
      </c>
      <c r="I26" s="16"/>
      <c r="J26" s="16"/>
      <c r="K26" s="10"/>
      <c r="L26" s="16"/>
      <c r="M26" s="220"/>
      <c r="N26" s="221"/>
    </row>
    <row r="27" spans="1:14" ht="17.25" customHeight="1">
      <c r="A27" s="8" t="s">
        <v>23</v>
      </c>
      <c r="B27" s="9" t="s">
        <v>25</v>
      </c>
      <c r="C27" s="8" t="s">
        <v>4</v>
      </c>
      <c r="D27" s="10">
        <v>214.15600000000001</v>
      </c>
      <c r="E27" s="8"/>
      <c r="F27" s="8"/>
      <c r="G27" s="10">
        <f t="shared" si="0"/>
        <v>0</v>
      </c>
      <c r="H27" s="10">
        <f>D27+ян!H27</f>
        <v>428.31200000000001</v>
      </c>
      <c r="I27" s="8"/>
      <c r="J27" s="8">
        <f>F27+ян!J27</f>
        <v>0</v>
      </c>
      <c r="K27" s="10">
        <f t="shared" si="1"/>
        <v>0</v>
      </c>
      <c r="L27" s="16"/>
      <c r="M27" s="220"/>
      <c r="N27" s="221"/>
    </row>
    <row r="28" spans="1:14" ht="17.25" customHeight="1">
      <c r="A28" s="8"/>
      <c r="B28" s="12" t="s">
        <v>13</v>
      </c>
      <c r="C28" s="13" t="s">
        <v>14</v>
      </c>
      <c r="D28" s="14">
        <v>238</v>
      </c>
      <c r="E28" s="13"/>
      <c r="F28" s="8"/>
      <c r="G28" s="10">
        <f t="shared" si="0"/>
        <v>0</v>
      </c>
      <c r="H28" s="10">
        <f>D28+ян!H28</f>
        <v>476</v>
      </c>
      <c r="I28" s="8"/>
      <c r="J28" s="8">
        <f>F28+ян!J28</f>
        <v>0</v>
      </c>
      <c r="K28" s="10">
        <f t="shared" si="1"/>
        <v>0</v>
      </c>
      <c r="L28" s="16"/>
      <c r="M28" s="220"/>
      <c r="N28" s="221"/>
    </row>
    <row r="29" spans="1:14" ht="17.25" customHeight="1">
      <c r="A29" s="8"/>
      <c r="B29" s="12" t="s">
        <v>15</v>
      </c>
      <c r="C29" s="13" t="s">
        <v>16</v>
      </c>
      <c r="D29" s="16">
        <f>D27/D28*1000</f>
        <v>899.81512605042019</v>
      </c>
      <c r="E29" s="13"/>
      <c r="F29" s="8"/>
      <c r="G29" s="10">
        <f t="shared" si="0"/>
        <v>0</v>
      </c>
      <c r="H29" s="16">
        <f>H27/H28*1000</f>
        <v>899.81512605042019</v>
      </c>
      <c r="I29" s="8"/>
      <c r="J29" s="13"/>
      <c r="K29" s="10">
        <f t="shared" si="1"/>
        <v>0</v>
      </c>
      <c r="L29" s="16"/>
      <c r="M29" s="220"/>
      <c r="N29" s="221"/>
    </row>
    <row r="30" spans="1:14" ht="17.25" customHeight="1">
      <c r="A30" s="18" t="s">
        <v>26</v>
      </c>
      <c r="B30" s="9" t="s">
        <v>27</v>
      </c>
      <c r="C30" s="8" t="s">
        <v>4</v>
      </c>
      <c r="D30" s="10">
        <f t="shared" ref="D30:F30" si="7">D31+D32+D33+D34</f>
        <v>2406.0839999999998</v>
      </c>
      <c r="E30" s="8">
        <v>762.50099999999998</v>
      </c>
      <c r="F30" s="10">
        <f t="shared" si="7"/>
        <v>7883.6410000000005</v>
      </c>
      <c r="G30" s="10">
        <f t="shared" si="0"/>
        <v>7121.14</v>
      </c>
      <c r="H30" s="10">
        <f t="shared" ref="H30" si="8">H31+H32+H33+H34</f>
        <v>4812.1679999999997</v>
      </c>
      <c r="I30" s="8">
        <f>E30+ян!I30</f>
        <v>1525.002</v>
      </c>
      <c r="J30" s="10">
        <f t="shared" ref="J30" si="9">J31+J32+J33+J34</f>
        <v>8261.9940000000006</v>
      </c>
      <c r="K30" s="10">
        <f t="shared" si="1"/>
        <v>6736.9920000000002</v>
      </c>
      <c r="L30" s="16">
        <f t="shared" si="2"/>
        <v>441.76938784342576</v>
      </c>
      <c r="M30" s="220"/>
      <c r="N30" s="221"/>
    </row>
    <row r="31" spans="1:14" ht="35.25" customHeight="1">
      <c r="A31" s="18" t="s">
        <v>28</v>
      </c>
      <c r="B31" s="9" t="s">
        <v>29</v>
      </c>
      <c r="C31" s="8" t="s">
        <v>4</v>
      </c>
      <c r="D31" s="10">
        <v>2288.5219999999999</v>
      </c>
      <c r="E31" s="8"/>
      <c r="F31" s="70">
        <f>7803.226+1.113</f>
        <v>7804.3389999999999</v>
      </c>
      <c r="G31" s="10">
        <f t="shared" si="0"/>
        <v>7804.3389999999999</v>
      </c>
      <c r="H31" s="10">
        <f>D31+ян!H31</f>
        <v>4577.0439999999999</v>
      </c>
      <c r="I31" s="8"/>
      <c r="J31" s="8">
        <f>F31+ян!J31</f>
        <v>8052.9780000000001</v>
      </c>
      <c r="K31" s="10">
        <f t="shared" si="1"/>
        <v>8052.9780000000001</v>
      </c>
      <c r="L31" s="16"/>
      <c r="M31" s="220"/>
      <c r="N31" s="221"/>
    </row>
    <row r="32" spans="1:14" ht="51.75" customHeight="1">
      <c r="A32" s="18" t="s">
        <v>30</v>
      </c>
      <c r="B32" s="9" t="s">
        <v>31</v>
      </c>
      <c r="C32" s="8" t="s">
        <v>4</v>
      </c>
      <c r="D32" s="10">
        <v>60.337000000000003</v>
      </c>
      <c r="E32" s="8"/>
      <c r="F32" s="62">
        <v>42.72</v>
      </c>
      <c r="G32" s="10">
        <f t="shared" si="0"/>
        <v>42.72</v>
      </c>
      <c r="H32" s="10">
        <f>D32+ян!H32</f>
        <v>120.67400000000001</v>
      </c>
      <c r="I32" s="8"/>
      <c r="J32" s="8">
        <f>F32+ян!J32</f>
        <v>130.16</v>
      </c>
      <c r="K32" s="10">
        <f t="shared" si="1"/>
        <v>130.16</v>
      </c>
      <c r="L32" s="16"/>
      <c r="M32" s="222" t="s">
        <v>285</v>
      </c>
      <c r="N32" s="223"/>
    </row>
    <row r="33" spans="1:14" ht="17.25" customHeight="1">
      <c r="A33" s="18" t="s">
        <v>32</v>
      </c>
      <c r="B33" s="9" t="s">
        <v>33</v>
      </c>
      <c r="C33" s="8" t="s">
        <v>4</v>
      </c>
      <c r="D33" s="10">
        <v>19.736999999999998</v>
      </c>
      <c r="E33" s="8"/>
      <c r="F33" s="70">
        <v>11.086</v>
      </c>
      <c r="G33" s="10">
        <f t="shared" si="0"/>
        <v>11.086</v>
      </c>
      <c r="H33" s="10">
        <f>D33+ян!H33</f>
        <v>39.473999999999997</v>
      </c>
      <c r="I33" s="8"/>
      <c r="J33" s="8">
        <f>F33+ян!J33</f>
        <v>15.722000000000001</v>
      </c>
      <c r="K33" s="10">
        <f t="shared" si="1"/>
        <v>15.722000000000001</v>
      </c>
      <c r="L33" s="16"/>
      <c r="M33" s="220"/>
      <c r="N33" s="221"/>
    </row>
    <row r="34" spans="1:14" ht="33" customHeight="1">
      <c r="A34" s="18" t="s">
        <v>34</v>
      </c>
      <c r="B34" s="9" t="s">
        <v>35</v>
      </c>
      <c r="C34" s="8" t="s">
        <v>4</v>
      </c>
      <c r="D34" s="10">
        <v>37.488</v>
      </c>
      <c r="E34" s="8"/>
      <c r="F34" s="70">
        <v>25.495999999999999</v>
      </c>
      <c r="G34" s="10">
        <f t="shared" si="0"/>
        <v>25.495999999999999</v>
      </c>
      <c r="H34" s="10">
        <f>D34+ян!H34</f>
        <v>74.975999999999999</v>
      </c>
      <c r="I34" s="8"/>
      <c r="J34" s="8">
        <f>F34+ян!J34</f>
        <v>63.134</v>
      </c>
      <c r="K34" s="10">
        <f t="shared" si="1"/>
        <v>63.134</v>
      </c>
      <c r="L34" s="16"/>
      <c r="M34" s="220"/>
      <c r="N34" s="221"/>
    </row>
    <row r="35" spans="1:14" ht="17.25" customHeight="1">
      <c r="A35" s="18" t="s">
        <v>36</v>
      </c>
      <c r="B35" s="9" t="s">
        <v>37</v>
      </c>
      <c r="C35" s="8" t="s">
        <v>4</v>
      </c>
      <c r="D35" s="10">
        <f t="shared" ref="D35:J35" si="10">D36</f>
        <v>162.715</v>
      </c>
      <c r="E35" s="10">
        <f t="shared" si="10"/>
        <v>162.75</v>
      </c>
      <c r="F35" s="10">
        <f t="shared" si="10"/>
        <v>593.11599999999999</v>
      </c>
      <c r="G35" s="10">
        <f t="shared" si="0"/>
        <v>430.36599999999999</v>
      </c>
      <c r="H35" s="10">
        <f t="shared" si="10"/>
        <v>325.43</v>
      </c>
      <c r="I35" s="10">
        <f t="shared" si="10"/>
        <v>325.5</v>
      </c>
      <c r="J35" s="10">
        <f t="shared" si="10"/>
        <v>1356.412</v>
      </c>
      <c r="K35" s="10">
        <f t="shared" si="1"/>
        <v>1030.912</v>
      </c>
      <c r="L35" s="16">
        <f t="shared" si="2"/>
        <v>316.71643625192013</v>
      </c>
      <c r="M35" s="220"/>
      <c r="N35" s="221"/>
    </row>
    <row r="36" spans="1:14" ht="17.25" customHeight="1">
      <c r="A36" s="8" t="s">
        <v>38</v>
      </c>
      <c r="B36" s="9" t="s">
        <v>39</v>
      </c>
      <c r="C36" s="8" t="s">
        <v>4</v>
      </c>
      <c r="D36" s="10">
        <v>162.715</v>
      </c>
      <c r="E36" s="8">
        <v>162.75</v>
      </c>
      <c r="F36" s="8">
        <v>593.11599999999999</v>
      </c>
      <c r="G36" s="10">
        <f t="shared" si="0"/>
        <v>430.36599999999999</v>
      </c>
      <c r="H36" s="10">
        <f>D36+ян!H36</f>
        <v>325.43</v>
      </c>
      <c r="I36" s="8">
        <f>E36+ян!I36</f>
        <v>325.5</v>
      </c>
      <c r="J36" s="8">
        <f>F36+ян!J36</f>
        <v>1356.412</v>
      </c>
      <c r="K36" s="10">
        <f t="shared" si="1"/>
        <v>1030.912</v>
      </c>
      <c r="L36" s="16">
        <f t="shared" si="2"/>
        <v>316.71643625192013</v>
      </c>
      <c r="M36" s="220"/>
      <c r="N36" s="221"/>
    </row>
    <row r="37" spans="1:14" ht="17.25" customHeight="1">
      <c r="A37" s="18" t="s">
        <v>40</v>
      </c>
      <c r="B37" s="9" t="s">
        <v>41</v>
      </c>
      <c r="C37" s="8" t="s">
        <v>4</v>
      </c>
      <c r="D37" s="10">
        <f>D38+D41+D48+D51</f>
        <v>1613.3909999999998</v>
      </c>
      <c r="E37" s="8">
        <v>1933.0830000000001</v>
      </c>
      <c r="F37" s="10">
        <f>F38+F41+F48+F51</f>
        <v>2568.9139999999998</v>
      </c>
      <c r="G37" s="10">
        <f t="shared" si="0"/>
        <v>635.83099999999968</v>
      </c>
      <c r="H37" s="10">
        <f>H38+H41+H48+H51</f>
        <v>3226.7819999999997</v>
      </c>
      <c r="I37" s="8">
        <f>E37+ян!I37</f>
        <v>3866.1660000000002</v>
      </c>
      <c r="J37" s="10">
        <f>J38+J41+J48+J51</f>
        <v>5406.8200000000006</v>
      </c>
      <c r="K37" s="10">
        <f t="shared" si="1"/>
        <v>1540.6540000000005</v>
      </c>
      <c r="L37" s="16">
        <f t="shared" si="2"/>
        <v>39.849659843886691</v>
      </c>
      <c r="M37" s="220"/>
      <c r="N37" s="221"/>
    </row>
    <row r="38" spans="1:14" ht="17.25" customHeight="1">
      <c r="A38" s="18" t="s">
        <v>42</v>
      </c>
      <c r="B38" s="9" t="s">
        <v>43</v>
      </c>
      <c r="C38" s="8" t="s">
        <v>4</v>
      </c>
      <c r="D38" s="10">
        <v>707.32500000000005</v>
      </c>
      <c r="E38" s="8">
        <v>707.33299999999997</v>
      </c>
      <c r="F38" s="70">
        <v>1612.5340000000001</v>
      </c>
      <c r="G38" s="10">
        <f t="shared" si="0"/>
        <v>905.20100000000014</v>
      </c>
      <c r="H38" s="10">
        <f>D38+ян!H38</f>
        <v>1414.65</v>
      </c>
      <c r="I38" s="8">
        <f>E38+ян!I38</f>
        <v>1414.6659999999999</v>
      </c>
      <c r="J38" s="8">
        <f>F38+ян!J38</f>
        <v>3225.0680000000002</v>
      </c>
      <c r="K38" s="10">
        <f t="shared" si="1"/>
        <v>1810.4020000000003</v>
      </c>
      <c r="L38" s="16">
        <f t="shared" si="2"/>
        <v>127.97381148624483</v>
      </c>
      <c r="M38" s="220"/>
      <c r="N38" s="221"/>
    </row>
    <row r="39" spans="1:14" ht="17.25" customHeight="1">
      <c r="A39" s="8"/>
      <c r="B39" s="12" t="s">
        <v>13</v>
      </c>
      <c r="C39" s="13" t="s">
        <v>44</v>
      </c>
      <c r="D39" s="14">
        <v>87</v>
      </c>
      <c r="E39" s="13"/>
      <c r="F39" s="8">
        <v>259</v>
      </c>
      <c r="G39" s="10">
        <f t="shared" si="0"/>
        <v>259</v>
      </c>
      <c r="H39" s="10">
        <f>D39+ян!H39</f>
        <v>174</v>
      </c>
      <c r="I39" s="8"/>
      <c r="J39" s="8">
        <f>F39+ян!J39</f>
        <v>518</v>
      </c>
      <c r="K39" s="10">
        <f t="shared" si="1"/>
        <v>518</v>
      </c>
      <c r="L39" s="16"/>
      <c r="M39" s="220"/>
      <c r="N39" s="221"/>
    </row>
    <row r="40" spans="1:14" ht="17.25" customHeight="1">
      <c r="A40" s="8"/>
      <c r="B40" s="12" t="s">
        <v>15</v>
      </c>
      <c r="C40" s="13" t="s">
        <v>16</v>
      </c>
      <c r="D40" s="16">
        <f>D38/D39*1000</f>
        <v>8130.1724137931051</v>
      </c>
      <c r="E40" s="16"/>
      <c r="F40" s="16">
        <f t="shared" ref="F40" si="11">F38/F39*1000</f>
        <v>6226</v>
      </c>
      <c r="G40" s="10">
        <f t="shared" si="0"/>
        <v>6226</v>
      </c>
      <c r="H40" s="16">
        <f>H38/H39*1000</f>
        <v>8130.1724137931051</v>
      </c>
      <c r="I40" s="16"/>
      <c r="J40" s="16">
        <f t="shared" ref="J40" si="12">J38/J39*1000</f>
        <v>6226</v>
      </c>
      <c r="K40" s="10">
        <f t="shared" si="1"/>
        <v>6226</v>
      </c>
      <c r="L40" s="16"/>
      <c r="M40" s="220"/>
      <c r="N40" s="221"/>
    </row>
    <row r="41" spans="1:14" ht="17.25" customHeight="1">
      <c r="A41" s="18" t="s">
        <v>45</v>
      </c>
      <c r="B41" s="9" t="s">
        <v>46</v>
      </c>
      <c r="C41" s="8" t="s">
        <v>4</v>
      </c>
      <c r="D41" s="10">
        <f t="shared" ref="D41:F41" si="13">D42+D45</f>
        <v>315.00200000000001</v>
      </c>
      <c r="E41" s="10">
        <f t="shared" si="13"/>
        <v>0</v>
      </c>
      <c r="F41" s="10">
        <f t="shared" si="13"/>
        <v>393.98599999999999</v>
      </c>
      <c r="G41" s="10">
        <f t="shared" si="0"/>
        <v>393.98599999999999</v>
      </c>
      <c r="H41" s="10">
        <f t="shared" ref="H41:J41" si="14">H42+H45</f>
        <v>630.00400000000002</v>
      </c>
      <c r="I41" s="10">
        <f t="shared" si="14"/>
        <v>0</v>
      </c>
      <c r="J41" s="10">
        <f t="shared" si="14"/>
        <v>820.59999999999991</v>
      </c>
      <c r="K41" s="10">
        <f t="shared" si="1"/>
        <v>820.59999999999991</v>
      </c>
      <c r="L41" s="16"/>
      <c r="M41" s="220"/>
      <c r="N41" s="221"/>
    </row>
    <row r="42" spans="1:14" ht="16.5" customHeight="1">
      <c r="A42" s="8"/>
      <c r="B42" s="9" t="s">
        <v>47</v>
      </c>
      <c r="C42" s="8" t="s">
        <v>4</v>
      </c>
      <c r="D42" s="10">
        <v>152.298</v>
      </c>
      <c r="E42" s="8"/>
      <c r="F42" s="8"/>
      <c r="G42" s="10">
        <f t="shared" si="0"/>
        <v>0</v>
      </c>
      <c r="H42" s="10">
        <f>D42+ян!H42</f>
        <v>304.596</v>
      </c>
      <c r="I42" s="8"/>
      <c r="J42" s="8">
        <f>F42+ян!J42</f>
        <v>0</v>
      </c>
      <c r="K42" s="10">
        <f t="shared" si="1"/>
        <v>0</v>
      </c>
      <c r="L42" s="16"/>
      <c r="M42" s="233" t="s">
        <v>286</v>
      </c>
      <c r="N42" s="234"/>
    </row>
    <row r="43" spans="1:14" ht="17.25" customHeight="1">
      <c r="A43" s="8"/>
      <c r="B43" s="12" t="s">
        <v>48</v>
      </c>
      <c r="C43" s="13" t="s">
        <v>49</v>
      </c>
      <c r="D43" s="14">
        <v>1917</v>
      </c>
      <c r="E43" s="13"/>
      <c r="F43" s="8"/>
      <c r="G43" s="10">
        <f t="shared" si="0"/>
        <v>0</v>
      </c>
      <c r="H43" s="10">
        <f>D43+ян!H43</f>
        <v>3834</v>
      </c>
      <c r="I43" s="8"/>
      <c r="J43" s="8">
        <f>F43+ян!J43</f>
        <v>0</v>
      </c>
      <c r="K43" s="10">
        <f t="shared" si="1"/>
        <v>0</v>
      </c>
      <c r="L43" s="16"/>
      <c r="M43" s="235"/>
      <c r="N43" s="236"/>
    </row>
    <row r="44" spans="1:14" ht="17.25" customHeight="1">
      <c r="A44" s="8"/>
      <c r="B44" s="12" t="s">
        <v>15</v>
      </c>
      <c r="C44" s="13" t="s">
        <v>16</v>
      </c>
      <c r="D44" s="16">
        <f>D42/D43*1000</f>
        <v>79.44600938967136</v>
      </c>
      <c r="E44" s="13"/>
      <c r="F44" s="8"/>
      <c r="G44" s="10">
        <f t="shared" si="0"/>
        <v>0</v>
      </c>
      <c r="H44" s="16">
        <f>H42/H43*1000</f>
        <v>79.44600938967136</v>
      </c>
      <c r="I44" s="8"/>
      <c r="J44" s="13"/>
      <c r="K44" s="10">
        <f t="shared" si="1"/>
        <v>0</v>
      </c>
      <c r="L44" s="16"/>
      <c r="M44" s="220"/>
      <c r="N44" s="221"/>
    </row>
    <row r="45" spans="1:14" ht="17.25" customHeight="1">
      <c r="A45" s="8"/>
      <c r="B45" s="19" t="s">
        <v>50</v>
      </c>
      <c r="C45" s="8" t="s">
        <v>4</v>
      </c>
      <c r="D45" s="10">
        <v>162.70400000000001</v>
      </c>
      <c r="E45" s="8"/>
      <c r="F45" s="86">
        <v>393.98599999999999</v>
      </c>
      <c r="G45" s="10">
        <f t="shared" si="0"/>
        <v>393.98599999999999</v>
      </c>
      <c r="H45" s="10">
        <f>D45+ян!H45</f>
        <v>325.40800000000002</v>
      </c>
      <c r="I45" s="8">
        <f>E45+ян!I45</f>
        <v>0</v>
      </c>
      <c r="J45" s="8">
        <f>F45+ян!J45</f>
        <v>820.59999999999991</v>
      </c>
      <c r="K45" s="10">
        <f t="shared" si="1"/>
        <v>820.59999999999991</v>
      </c>
      <c r="L45" s="16"/>
      <c r="M45" s="220"/>
      <c r="N45" s="221"/>
    </row>
    <row r="46" spans="1:14" ht="17.25" customHeight="1">
      <c r="A46" s="8"/>
      <c r="B46" s="12" t="s">
        <v>51</v>
      </c>
      <c r="C46" s="13" t="s">
        <v>49</v>
      </c>
      <c r="D46" s="14">
        <v>1417</v>
      </c>
      <c r="E46" s="13"/>
      <c r="F46" s="8">
        <v>2790</v>
      </c>
      <c r="G46" s="10">
        <f t="shared" si="0"/>
        <v>2790</v>
      </c>
      <c r="H46" s="10">
        <f>D46+ян!H46</f>
        <v>2834</v>
      </c>
      <c r="I46" s="8"/>
      <c r="J46" s="8">
        <f>F46+ян!J46</f>
        <v>5703</v>
      </c>
      <c r="K46" s="10">
        <f t="shared" si="1"/>
        <v>5703</v>
      </c>
      <c r="L46" s="16"/>
      <c r="M46" s="220"/>
      <c r="N46" s="221"/>
    </row>
    <row r="47" spans="1:14" ht="17.25" customHeight="1">
      <c r="A47" s="8"/>
      <c r="B47" s="12" t="s">
        <v>15</v>
      </c>
      <c r="C47" s="13" t="s">
        <v>16</v>
      </c>
      <c r="D47" s="16">
        <f>D45/D46*1000</f>
        <v>114.82286520818631</v>
      </c>
      <c r="E47" s="16"/>
      <c r="F47" s="16">
        <f t="shared" ref="F47" si="15">F45/F46*1000</f>
        <v>141.21362007168457</v>
      </c>
      <c r="G47" s="10">
        <f t="shared" si="0"/>
        <v>141.21362007168457</v>
      </c>
      <c r="H47" s="16">
        <f>H45/H46*1000</f>
        <v>114.82286520818631</v>
      </c>
      <c r="I47" s="8"/>
      <c r="J47" s="13"/>
      <c r="K47" s="10">
        <f t="shared" si="1"/>
        <v>0</v>
      </c>
      <c r="L47" s="16"/>
      <c r="M47" s="220"/>
      <c r="N47" s="221"/>
    </row>
    <row r="48" spans="1:14" ht="17.25" customHeight="1">
      <c r="A48" s="18" t="s">
        <v>52</v>
      </c>
      <c r="B48" s="9" t="s">
        <v>53</v>
      </c>
      <c r="C48" s="8" t="s">
        <v>4</v>
      </c>
      <c r="D48" s="10">
        <v>515.60799999999995</v>
      </c>
      <c r="E48" s="8"/>
      <c r="F48" s="55">
        <f>334.82+227.574</f>
        <v>562.39400000000001</v>
      </c>
      <c r="G48" s="10">
        <f t="shared" si="0"/>
        <v>562.39400000000001</v>
      </c>
      <c r="H48" s="10">
        <f>D48+ян!H48</f>
        <v>1031.2159999999999</v>
      </c>
      <c r="I48" s="8"/>
      <c r="J48" s="8">
        <f>F48+ян!J48</f>
        <v>1349.8920000000001</v>
      </c>
      <c r="K48" s="10">
        <f t="shared" si="1"/>
        <v>1349.8920000000001</v>
      </c>
      <c r="L48" s="16"/>
      <c r="M48" s="220"/>
      <c r="N48" s="221"/>
    </row>
    <row r="49" spans="1:14" ht="17.25" customHeight="1">
      <c r="A49" s="8"/>
      <c r="B49" s="12" t="s">
        <v>13</v>
      </c>
      <c r="C49" s="13" t="s">
        <v>49</v>
      </c>
      <c r="D49" s="14">
        <v>5833</v>
      </c>
      <c r="E49" s="13"/>
      <c r="F49" s="8">
        <v>3345</v>
      </c>
      <c r="G49" s="10">
        <f t="shared" si="0"/>
        <v>3345</v>
      </c>
      <c r="H49" s="10">
        <f>D49+ян!H49</f>
        <v>11666</v>
      </c>
      <c r="I49" s="8"/>
      <c r="J49" s="8">
        <f>F49+ян!J49</f>
        <v>8499</v>
      </c>
      <c r="K49" s="10">
        <f t="shared" si="1"/>
        <v>8499</v>
      </c>
      <c r="L49" s="16"/>
      <c r="M49" s="220"/>
      <c r="N49" s="221"/>
    </row>
    <row r="50" spans="1:14" ht="17.25" customHeight="1">
      <c r="A50" s="8"/>
      <c r="B50" s="12" t="s">
        <v>15</v>
      </c>
      <c r="C50" s="13" t="s">
        <v>16</v>
      </c>
      <c r="D50" s="16">
        <f>D48/D49*1000</f>
        <v>88.394993999657117</v>
      </c>
      <c r="E50" s="16"/>
      <c r="F50" s="16">
        <f t="shared" ref="F50" si="16">F48/F49*1000</f>
        <v>168.12974588938715</v>
      </c>
      <c r="G50" s="10">
        <f t="shared" si="0"/>
        <v>168.12974588938715</v>
      </c>
      <c r="H50" s="16">
        <f>H48/H49*1000</f>
        <v>88.394993999657117</v>
      </c>
      <c r="I50" s="8"/>
      <c r="J50" s="13"/>
      <c r="K50" s="10">
        <f t="shared" si="1"/>
        <v>0</v>
      </c>
      <c r="L50" s="16"/>
      <c r="M50" s="220"/>
      <c r="N50" s="221"/>
    </row>
    <row r="51" spans="1:14" ht="17.25" customHeight="1">
      <c r="A51" s="18" t="s">
        <v>54</v>
      </c>
      <c r="B51" s="20" t="s">
        <v>55</v>
      </c>
      <c r="C51" s="8" t="s">
        <v>4</v>
      </c>
      <c r="D51" s="10">
        <f t="shared" ref="D51:F52" si="17">D54+D57+D60+D63+D66+D69</f>
        <v>75.456000000000003</v>
      </c>
      <c r="E51" s="10"/>
      <c r="F51" s="10">
        <f t="shared" si="17"/>
        <v>0</v>
      </c>
      <c r="G51" s="10">
        <f t="shared" si="0"/>
        <v>0</v>
      </c>
      <c r="H51" s="10">
        <f t="shared" ref="H51:H52" si="18">H54+H57+H60+H63+H66+H69</f>
        <v>150.91200000000001</v>
      </c>
      <c r="I51" s="10"/>
      <c r="J51" s="10">
        <f t="shared" ref="J51" si="19">J54+J57+J60+J63+J66+J69</f>
        <v>11.26</v>
      </c>
      <c r="K51" s="10">
        <f t="shared" si="1"/>
        <v>11.26</v>
      </c>
      <c r="L51" s="16"/>
      <c r="M51" s="220"/>
      <c r="N51" s="221"/>
    </row>
    <row r="52" spans="1:14" ht="17.25" customHeight="1">
      <c r="A52" s="8"/>
      <c r="B52" s="19" t="s">
        <v>13</v>
      </c>
      <c r="C52" s="13" t="s">
        <v>49</v>
      </c>
      <c r="D52" s="14">
        <f t="shared" si="17"/>
        <v>177</v>
      </c>
      <c r="E52" s="13"/>
      <c r="F52" s="8"/>
      <c r="G52" s="10">
        <f t="shared" si="0"/>
        <v>0</v>
      </c>
      <c r="H52" s="14">
        <f t="shared" si="18"/>
        <v>354</v>
      </c>
      <c r="I52" s="8"/>
      <c r="J52" s="13"/>
      <c r="K52" s="10">
        <f t="shared" si="1"/>
        <v>0</v>
      </c>
      <c r="L52" s="16"/>
      <c r="M52" s="220"/>
      <c r="N52" s="221"/>
    </row>
    <row r="53" spans="1:14" ht="17.25" customHeight="1">
      <c r="A53" s="8"/>
      <c r="B53" s="19" t="s">
        <v>15</v>
      </c>
      <c r="C53" s="13" t="s">
        <v>16</v>
      </c>
      <c r="D53" s="16">
        <f>D51/D52*1000</f>
        <v>426.30508474576271</v>
      </c>
      <c r="E53" s="13"/>
      <c r="F53" s="8"/>
      <c r="G53" s="10">
        <f t="shared" si="0"/>
        <v>0</v>
      </c>
      <c r="H53" s="16">
        <f>H51/H52*1000</f>
        <v>426.30508474576271</v>
      </c>
      <c r="I53" s="8"/>
      <c r="J53" s="13"/>
      <c r="K53" s="10">
        <f t="shared" si="1"/>
        <v>0</v>
      </c>
      <c r="L53" s="16"/>
      <c r="M53" s="220"/>
      <c r="N53" s="221"/>
    </row>
    <row r="54" spans="1:14" ht="17.25" customHeight="1">
      <c r="A54" s="8"/>
      <c r="B54" s="20" t="s">
        <v>56</v>
      </c>
      <c r="C54" s="8" t="s">
        <v>4</v>
      </c>
      <c r="D54" s="10">
        <v>7.8079999999999998</v>
      </c>
      <c r="E54" s="8"/>
      <c r="F54" s="8"/>
      <c r="G54" s="10">
        <f t="shared" si="0"/>
        <v>0</v>
      </c>
      <c r="H54" s="10">
        <f>D54+ян!H54</f>
        <v>15.616</v>
      </c>
      <c r="I54" s="8"/>
      <c r="J54" s="8">
        <f>F54+ян!J54</f>
        <v>11.26</v>
      </c>
      <c r="K54" s="10">
        <f t="shared" si="1"/>
        <v>11.26</v>
      </c>
      <c r="L54" s="16"/>
      <c r="M54" s="220"/>
      <c r="N54" s="221"/>
    </row>
    <row r="55" spans="1:14" ht="17.25" customHeight="1">
      <c r="A55" s="8"/>
      <c r="B55" s="12" t="s">
        <v>13</v>
      </c>
      <c r="C55" s="13" t="s">
        <v>49</v>
      </c>
      <c r="D55" s="14">
        <v>31</v>
      </c>
      <c r="E55" s="13"/>
      <c r="F55" s="8"/>
      <c r="G55" s="10">
        <f t="shared" si="0"/>
        <v>0</v>
      </c>
      <c r="H55" s="10">
        <f>D55+ян!H55</f>
        <v>62</v>
      </c>
      <c r="I55" s="8"/>
      <c r="J55" s="8">
        <f>F55+ян!J55</f>
        <v>20</v>
      </c>
      <c r="K55" s="10">
        <f t="shared" si="1"/>
        <v>20</v>
      </c>
      <c r="L55" s="16"/>
      <c r="M55" s="220"/>
      <c r="N55" s="221"/>
    </row>
    <row r="56" spans="1:14" ht="17.25" customHeight="1">
      <c r="A56" s="8"/>
      <c r="B56" s="12" t="s">
        <v>15</v>
      </c>
      <c r="C56" s="13" t="s">
        <v>16</v>
      </c>
      <c r="D56" s="16">
        <f>D54/D55*1000</f>
        <v>251.87096774193546</v>
      </c>
      <c r="E56" s="13"/>
      <c r="F56" s="8"/>
      <c r="G56" s="10">
        <f t="shared" si="0"/>
        <v>0</v>
      </c>
      <c r="H56" s="16">
        <f>H54/H55*1000</f>
        <v>251.87096774193546</v>
      </c>
      <c r="I56" s="8"/>
      <c r="J56" s="13"/>
      <c r="K56" s="10">
        <f t="shared" si="1"/>
        <v>0</v>
      </c>
      <c r="L56" s="16"/>
      <c r="M56" s="220"/>
      <c r="N56" s="221"/>
    </row>
    <row r="57" spans="1:14" ht="17.25" customHeight="1">
      <c r="A57" s="8"/>
      <c r="B57" s="20" t="s">
        <v>57</v>
      </c>
      <c r="C57" s="8" t="s">
        <v>4</v>
      </c>
      <c r="D57" s="10">
        <v>13.96</v>
      </c>
      <c r="E57" s="8"/>
      <c r="F57" s="8"/>
      <c r="G57" s="10">
        <f t="shared" si="0"/>
        <v>0</v>
      </c>
      <c r="H57" s="10">
        <f>D57+ян!H57</f>
        <v>27.92</v>
      </c>
      <c r="I57" s="8"/>
      <c r="J57" s="8">
        <f>F57+ян!J57</f>
        <v>0</v>
      </c>
      <c r="K57" s="10">
        <f t="shared" si="1"/>
        <v>0</v>
      </c>
      <c r="L57" s="16"/>
      <c r="M57" s="233" t="s">
        <v>291</v>
      </c>
      <c r="N57" s="234"/>
    </row>
    <row r="58" spans="1:14" ht="17.25" customHeight="1">
      <c r="A58" s="8"/>
      <c r="B58" s="12" t="s">
        <v>13</v>
      </c>
      <c r="C58" s="13" t="s">
        <v>49</v>
      </c>
      <c r="D58" s="14">
        <v>33</v>
      </c>
      <c r="E58" s="13"/>
      <c r="F58" s="8"/>
      <c r="G58" s="10">
        <f t="shared" si="0"/>
        <v>0</v>
      </c>
      <c r="H58" s="10">
        <f>D58+ян!H58</f>
        <v>66</v>
      </c>
      <c r="I58" s="8"/>
      <c r="J58" s="8">
        <f>F58+ян!J58</f>
        <v>0</v>
      </c>
      <c r="K58" s="10">
        <f t="shared" si="1"/>
        <v>0</v>
      </c>
      <c r="L58" s="16"/>
      <c r="M58" s="235"/>
      <c r="N58" s="236"/>
    </row>
    <row r="59" spans="1:14" ht="17.25" customHeight="1">
      <c r="A59" s="8"/>
      <c r="B59" s="12" t="s">
        <v>15</v>
      </c>
      <c r="C59" s="13" t="s">
        <v>16</v>
      </c>
      <c r="D59" s="16">
        <f>D57/D58*1000</f>
        <v>423.03030303030306</v>
      </c>
      <c r="E59" s="13"/>
      <c r="F59" s="8"/>
      <c r="G59" s="10">
        <f t="shared" si="0"/>
        <v>0</v>
      </c>
      <c r="H59" s="16">
        <f>H57/H58*1000</f>
        <v>423.03030303030306</v>
      </c>
      <c r="I59" s="8"/>
      <c r="J59" s="13"/>
      <c r="K59" s="10">
        <f t="shared" si="1"/>
        <v>0</v>
      </c>
      <c r="L59" s="16"/>
      <c r="M59" s="220"/>
      <c r="N59" s="221"/>
    </row>
    <row r="60" spans="1:14" ht="17.25" customHeight="1">
      <c r="A60" s="8"/>
      <c r="B60" s="20" t="s">
        <v>58</v>
      </c>
      <c r="C60" s="8" t="s">
        <v>4</v>
      </c>
      <c r="D60" s="10">
        <v>28.585000000000001</v>
      </c>
      <c r="E60" s="8"/>
      <c r="F60" s="8"/>
      <c r="G60" s="10">
        <f t="shared" si="0"/>
        <v>0</v>
      </c>
      <c r="H60" s="10">
        <f>D60+ян!H60</f>
        <v>57.17</v>
      </c>
      <c r="I60" s="8"/>
      <c r="J60" s="8">
        <f>F60+ян!J60</f>
        <v>0</v>
      </c>
      <c r="K60" s="10">
        <f t="shared" si="1"/>
        <v>0</v>
      </c>
      <c r="L60" s="16"/>
      <c r="M60" s="233" t="s">
        <v>291</v>
      </c>
      <c r="N60" s="234"/>
    </row>
    <row r="61" spans="1:14" ht="17.25" customHeight="1">
      <c r="A61" s="8"/>
      <c r="B61" s="12" t="s">
        <v>13</v>
      </c>
      <c r="C61" s="13" t="s">
        <v>49</v>
      </c>
      <c r="D61" s="14">
        <v>70</v>
      </c>
      <c r="E61" s="13"/>
      <c r="F61" s="8"/>
      <c r="G61" s="10">
        <f t="shared" si="0"/>
        <v>0</v>
      </c>
      <c r="H61" s="10">
        <f>D61+ян!H61</f>
        <v>140</v>
      </c>
      <c r="I61" s="8"/>
      <c r="J61" s="8">
        <f>F61+ян!J61</f>
        <v>0</v>
      </c>
      <c r="K61" s="10">
        <f t="shared" si="1"/>
        <v>0</v>
      </c>
      <c r="L61" s="16"/>
      <c r="M61" s="235"/>
      <c r="N61" s="236"/>
    </row>
    <row r="62" spans="1:14" ht="17.25" customHeight="1">
      <c r="A62" s="8"/>
      <c r="B62" s="12" t="s">
        <v>15</v>
      </c>
      <c r="C62" s="13" t="s">
        <v>16</v>
      </c>
      <c r="D62" s="16">
        <f>D60/D61*1000</f>
        <v>408.35714285714289</v>
      </c>
      <c r="E62" s="13"/>
      <c r="F62" s="8"/>
      <c r="G62" s="10">
        <f t="shared" si="0"/>
        <v>0</v>
      </c>
      <c r="H62" s="16">
        <f>H60/H61*1000</f>
        <v>408.35714285714289</v>
      </c>
      <c r="I62" s="8"/>
      <c r="J62" s="13"/>
      <c r="K62" s="10">
        <f t="shared" si="1"/>
        <v>0</v>
      </c>
      <c r="L62" s="16"/>
      <c r="M62" s="220"/>
      <c r="N62" s="221"/>
    </row>
    <row r="63" spans="1:14" ht="17.25" customHeight="1">
      <c r="A63" s="8"/>
      <c r="B63" s="20" t="s">
        <v>220</v>
      </c>
      <c r="C63" s="8" t="s">
        <v>4</v>
      </c>
      <c r="D63" s="10">
        <v>12.234</v>
      </c>
      <c r="E63" s="8"/>
      <c r="F63" s="8"/>
      <c r="G63" s="10">
        <f t="shared" si="0"/>
        <v>0</v>
      </c>
      <c r="H63" s="10">
        <f>D63+ян!H63</f>
        <v>24.468</v>
      </c>
      <c r="I63" s="8"/>
      <c r="J63" s="8">
        <f>F63+ян!J63</f>
        <v>0</v>
      </c>
      <c r="K63" s="10">
        <f t="shared" si="1"/>
        <v>0</v>
      </c>
      <c r="L63" s="16"/>
      <c r="M63" s="220"/>
      <c r="N63" s="221"/>
    </row>
    <row r="64" spans="1:14" ht="17.25" customHeight="1">
      <c r="A64" s="8"/>
      <c r="B64" s="12" t="s">
        <v>13</v>
      </c>
      <c r="C64" s="13" t="s">
        <v>49</v>
      </c>
      <c r="D64" s="14">
        <v>23</v>
      </c>
      <c r="E64" s="13"/>
      <c r="F64" s="8"/>
      <c r="G64" s="10">
        <f t="shared" si="0"/>
        <v>0</v>
      </c>
      <c r="H64" s="10">
        <f>D64+ян!H64</f>
        <v>46</v>
      </c>
      <c r="I64" s="8"/>
      <c r="J64" s="8">
        <f>F64+ян!J64</f>
        <v>0</v>
      </c>
      <c r="K64" s="10">
        <f t="shared" si="1"/>
        <v>0</v>
      </c>
      <c r="L64" s="16"/>
      <c r="M64" s="220"/>
      <c r="N64" s="221"/>
    </row>
    <row r="65" spans="1:14" ht="17.25" customHeight="1">
      <c r="A65" s="8"/>
      <c r="B65" s="12" t="s">
        <v>15</v>
      </c>
      <c r="C65" s="13" t="s">
        <v>16</v>
      </c>
      <c r="D65" s="16">
        <f>D63/D64*1000</f>
        <v>531.91304347826087</v>
      </c>
      <c r="E65" s="13"/>
      <c r="F65" s="8"/>
      <c r="G65" s="10">
        <f t="shared" si="0"/>
        <v>0</v>
      </c>
      <c r="H65" s="16">
        <f>H63/H64*1000</f>
        <v>531.91304347826087</v>
      </c>
      <c r="I65" s="8"/>
      <c r="J65" s="13"/>
      <c r="K65" s="10">
        <f t="shared" si="1"/>
        <v>0</v>
      </c>
      <c r="L65" s="16"/>
      <c r="M65" s="220"/>
      <c r="N65" s="221"/>
    </row>
    <row r="66" spans="1:14" ht="17.25" customHeight="1">
      <c r="A66" s="8"/>
      <c r="B66" s="9" t="s">
        <v>59</v>
      </c>
      <c r="C66" s="8" t="s">
        <v>4</v>
      </c>
      <c r="D66" s="10">
        <v>2.8610000000000002</v>
      </c>
      <c r="E66" s="8"/>
      <c r="F66" s="8"/>
      <c r="G66" s="10">
        <f t="shared" si="0"/>
        <v>0</v>
      </c>
      <c r="H66" s="10">
        <f>D66+ян!H66</f>
        <v>5.7220000000000004</v>
      </c>
      <c r="I66" s="8"/>
      <c r="J66" s="8">
        <f>F66+ян!J66</f>
        <v>0</v>
      </c>
      <c r="K66" s="10">
        <f t="shared" si="1"/>
        <v>0</v>
      </c>
      <c r="L66" s="16"/>
      <c r="M66" s="220"/>
      <c r="N66" s="221"/>
    </row>
    <row r="67" spans="1:14" ht="17.25" customHeight="1">
      <c r="A67" s="8"/>
      <c r="B67" s="12" t="s">
        <v>13</v>
      </c>
      <c r="C67" s="13" t="s">
        <v>49</v>
      </c>
      <c r="D67" s="14">
        <v>2</v>
      </c>
      <c r="E67" s="13"/>
      <c r="F67" s="8"/>
      <c r="G67" s="10">
        <f t="shared" si="0"/>
        <v>0</v>
      </c>
      <c r="H67" s="10">
        <f>D67+ян!H67</f>
        <v>4</v>
      </c>
      <c r="I67" s="8"/>
      <c r="J67" s="8">
        <f>F67+ян!J67</f>
        <v>0</v>
      </c>
      <c r="K67" s="10">
        <f t="shared" si="1"/>
        <v>0</v>
      </c>
      <c r="L67" s="16"/>
      <c r="M67" s="220"/>
      <c r="N67" s="221"/>
    </row>
    <row r="68" spans="1:14" ht="17.25" customHeight="1">
      <c r="A68" s="8"/>
      <c r="B68" s="12" t="s">
        <v>15</v>
      </c>
      <c r="C68" s="13" t="s">
        <v>16</v>
      </c>
      <c r="D68" s="16">
        <f>D66/D67*1000</f>
        <v>1430.5</v>
      </c>
      <c r="E68" s="13"/>
      <c r="F68" s="8"/>
      <c r="G68" s="10">
        <f t="shared" si="0"/>
        <v>0</v>
      </c>
      <c r="H68" s="16">
        <f>H66/H67*1000</f>
        <v>1430.5</v>
      </c>
      <c r="I68" s="8"/>
      <c r="J68" s="13"/>
      <c r="K68" s="10">
        <f t="shared" si="1"/>
        <v>0</v>
      </c>
      <c r="L68" s="16"/>
      <c r="M68" s="220"/>
      <c r="N68" s="221"/>
    </row>
    <row r="69" spans="1:14" ht="17.25" customHeight="1">
      <c r="A69" s="8"/>
      <c r="B69" s="20" t="s">
        <v>60</v>
      </c>
      <c r="C69" s="8" t="s">
        <v>4</v>
      </c>
      <c r="D69" s="10">
        <v>10.007999999999999</v>
      </c>
      <c r="E69" s="8"/>
      <c r="F69" s="8"/>
      <c r="G69" s="10">
        <f t="shared" si="0"/>
        <v>0</v>
      </c>
      <c r="H69" s="10">
        <f>D69+ян!H69</f>
        <v>20.015999999999998</v>
      </c>
      <c r="I69" s="8"/>
      <c r="J69" s="8">
        <f>F69+ян!J69</f>
        <v>0</v>
      </c>
      <c r="K69" s="10">
        <f t="shared" si="1"/>
        <v>0</v>
      </c>
      <c r="L69" s="16"/>
      <c r="M69" s="233" t="s">
        <v>292</v>
      </c>
      <c r="N69" s="234"/>
    </row>
    <row r="70" spans="1:14" ht="17.25" customHeight="1">
      <c r="A70" s="8"/>
      <c r="B70" s="12" t="s">
        <v>13</v>
      </c>
      <c r="C70" s="13" t="s">
        <v>61</v>
      </c>
      <c r="D70" s="14">
        <v>18</v>
      </c>
      <c r="E70" s="13"/>
      <c r="F70" s="8"/>
      <c r="G70" s="10">
        <f t="shared" si="0"/>
        <v>0</v>
      </c>
      <c r="H70" s="10">
        <f>D70+ян!H70</f>
        <v>36</v>
      </c>
      <c r="I70" s="8"/>
      <c r="J70" s="8">
        <f>F70+ян!J70</f>
        <v>0</v>
      </c>
      <c r="K70" s="10">
        <f t="shared" si="1"/>
        <v>0</v>
      </c>
      <c r="L70" s="16"/>
      <c r="M70" s="235"/>
      <c r="N70" s="236"/>
    </row>
    <row r="71" spans="1:14" ht="17.25" customHeight="1">
      <c r="A71" s="8"/>
      <c r="B71" s="12" t="s">
        <v>15</v>
      </c>
      <c r="C71" s="13" t="s">
        <v>16</v>
      </c>
      <c r="D71" s="16">
        <f>D69/D70*1000</f>
        <v>555.99999999999989</v>
      </c>
      <c r="E71" s="13"/>
      <c r="F71" s="8"/>
      <c r="G71" s="10">
        <f t="shared" si="0"/>
        <v>0</v>
      </c>
      <c r="H71" s="16">
        <f>H69/H70*1000</f>
        <v>555.99999999999989</v>
      </c>
      <c r="I71" s="8"/>
      <c r="J71" s="13"/>
      <c r="K71" s="10">
        <f t="shared" si="1"/>
        <v>0</v>
      </c>
      <c r="L71" s="16"/>
      <c r="M71" s="220"/>
      <c r="N71" s="221"/>
    </row>
    <row r="72" spans="1:14" ht="17.25" customHeight="1">
      <c r="A72" s="18" t="s">
        <v>62</v>
      </c>
      <c r="B72" s="20" t="s">
        <v>63</v>
      </c>
      <c r="C72" s="8" t="s">
        <v>4</v>
      </c>
      <c r="D72" s="10">
        <f>D73</f>
        <v>26517.671000000002</v>
      </c>
      <c r="E72" s="8">
        <v>24306.667000000001</v>
      </c>
      <c r="F72" s="10">
        <f>F73</f>
        <v>23250.674999999999</v>
      </c>
      <c r="G72" s="10">
        <f t="shared" si="0"/>
        <v>-1055.992000000002</v>
      </c>
      <c r="H72" s="10">
        <f>H73</f>
        <v>53035.342000000004</v>
      </c>
      <c r="I72" s="8">
        <f>E72+ян!I72</f>
        <v>48613.334000000003</v>
      </c>
      <c r="J72" s="8">
        <f>F72+ян!J72</f>
        <v>51579.667999999998</v>
      </c>
      <c r="K72" s="10">
        <f t="shared" si="1"/>
        <v>2966.3339999999953</v>
      </c>
      <c r="L72" s="16">
        <f t="shared" si="2"/>
        <v>6.1018937726015565</v>
      </c>
      <c r="M72" s="220"/>
      <c r="N72" s="221"/>
    </row>
    <row r="73" spans="1:14" ht="17.25" customHeight="1">
      <c r="A73" s="8"/>
      <c r="B73" s="28" t="s">
        <v>64</v>
      </c>
      <c r="C73" s="8" t="s">
        <v>4</v>
      </c>
      <c r="D73" s="10">
        <f>D75+D78+D81+D84</f>
        <v>26517.671000000002</v>
      </c>
      <c r="E73" s="10">
        <f t="shared" ref="E73:F73" si="20">E75+E78+E81+E84</f>
        <v>0</v>
      </c>
      <c r="F73" s="62">
        <f t="shared" si="20"/>
        <v>23250.674999999999</v>
      </c>
      <c r="G73" s="10">
        <f t="shared" si="0"/>
        <v>23250.674999999999</v>
      </c>
      <c r="H73" s="10">
        <f>H75+H78+H81+H84</f>
        <v>53035.342000000004</v>
      </c>
      <c r="I73" s="10">
        <f t="shared" ref="I73:J73" si="21">I75+I78+I81+I84</f>
        <v>0</v>
      </c>
      <c r="J73" s="10">
        <f t="shared" si="21"/>
        <v>51579.67</v>
      </c>
      <c r="K73" s="10">
        <f t="shared" si="1"/>
        <v>51579.67</v>
      </c>
      <c r="L73" s="16"/>
      <c r="M73" s="220"/>
      <c r="N73" s="221"/>
    </row>
    <row r="74" spans="1:14" ht="17.25" customHeight="1">
      <c r="A74" s="8"/>
      <c r="B74" s="28" t="s">
        <v>65</v>
      </c>
      <c r="C74" s="22" t="s">
        <v>66</v>
      </c>
      <c r="D74" s="14">
        <f t="shared" ref="D74:F74" si="22">D76+D79+D82+D85</f>
        <v>1280770</v>
      </c>
      <c r="E74" s="14">
        <f t="shared" si="22"/>
        <v>0</v>
      </c>
      <c r="F74" s="14">
        <f t="shared" si="22"/>
        <v>1130570.46</v>
      </c>
      <c r="G74" s="14">
        <f t="shared" si="0"/>
        <v>1130570.46</v>
      </c>
      <c r="H74" s="14">
        <f t="shared" ref="H74" si="23">H76+H79+H82+H85</f>
        <v>2561540</v>
      </c>
      <c r="I74" s="59"/>
      <c r="J74" s="22"/>
      <c r="K74" s="10">
        <f t="shared" si="1"/>
        <v>0</v>
      </c>
      <c r="L74" s="16"/>
      <c r="M74" s="220"/>
      <c r="N74" s="221"/>
    </row>
    <row r="75" spans="1:14" ht="36" customHeight="1">
      <c r="A75" s="8"/>
      <c r="B75" s="12" t="s">
        <v>67</v>
      </c>
      <c r="C75" s="8" t="s">
        <v>4</v>
      </c>
      <c r="D75" s="10">
        <v>1338.4829999999999</v>
      </c>
      <c r="E75" s="8"/>
      <c r="F75" s="8">
        <f>2164.728-F142</f>
        <v>2164.7280000000001</v>
      </c>
      <c r="G75" s="10">
        <f t="shared" ref="G75:G138" si="24">F75-E75</f>
        <v>2164.7280000000001</v>
      </c>
      <c r="H75" s="10">
        <f>D75+ян!H75</f>
        <v>2676.9659999999999</v>
      </c>
      <c r="I75" s="8"/>
      <c r="J75" s="8">
        <f>F75+ян!J75</f>
        <v>4546.2950000000001</v>
      </c>
      <c r="K75" s="10">
        <f t="shared" ref="K75:K139" si="25">J75-I75</f>
        <v>4546.2950000000001</v>
      </c>
      <c r="L75" s="16"/>
      <c r="M75" s="220"/>
      <c r="N75" s="221"/>
    </row>
    <row r="76" spans="1:14" ht="17.25" customHeight="1">
      <c r="A76" s="8"/>
      <c r="B76" s="12" t="s">
        <v>68</v>
      </c>
      <c r="C76" s="22" t="s">
        <v>66</v>
      </c>
      <c r="D76" s="14">
        <v>68465</v>
      </c>
      <c r="E76" s="22"/>
      <c r="F76" s="59">
        <f>109606.46-F143</f>
        <v>109606.46</v>
      </c>
      <c r="G76" s="14">
        <f t="shared" si="24"/>
        <v>109606.46</v>
      </c>
      <c r="H76" s="10">
        <f>D76+ян!H76</f>
        <v>136930</v>
      </c>
      <c r="I76" s="59"/>
      <c r="J76" s="8">
        <f>F76+ян!J76</f>
        <v>240074.25</v>
      </c>
      <c r="K76" s="10">
        <f t="shared" si="25"/>
        <v>240074.25</v>
      </c>
      <c r="L76" s="16"/>
      <c r="M76" s="220"/>
      <c r="N76" s="221"/>
    </row>
    <row r="77" spans="1:14" ht="17.25" customHeight="1">
      <c r="A77" s="8"/>
      <c r="B77" s="12" t="s">
        <v>15</v>
      </c>
      <c r="C77" s="13" t="s">
        <v>16</v>
      </c>
      <c r="D77" s="16">
        <f>D75/D76*1000</f>
        <v>19.54988680347623</v>
      </c>
      <c r="E77" s="16"/>
      <c r="F77" s="16">
        <f t="shared" ref="F77" si="26">F75/F76*1000</f>
        <v>19.750003786273179</v>
      </c>
      <c r="G77" s="10">
        <f t="shared" si="24"/>
        <v>19.750003786273179</v>
      </c>
      <c r="H77" s="16">
        <f>H75/H76*1000</f>
        <v>19.54988680347623</v>
      </c>
      <c r="I77" s="8"/>
      <c r="J77" s="13"/>
      <c r="K77" s="10">
        <f t="shared" si="25"/>
        <v>0</v>
      </c>
      <c r="L77" s="16"/>
      <c r="M77" s="220"/>
      <c r="N77" s="221"/>
    </row>
    <row r="78" spans="1:14" ht="55.5" customHeight="1">
      <c r="A78" s="8"/>
      <c r="B78" s="12" t="s">
        <v>69</v>
      </c>
      <c r="C78" s="8" t="s">
        <v>4</v>
      </c>
      <c r="D78" s="10">
        <v>1253.6469999999999</v>
      </c>
      <c r="E78" s="8"/>
      <c r="F78" s="8">
        <v>1568.11</v>
      </c>
      <c r="G78" s="10">
        <f t="shared" si="24"/>
        <v>1568.11</v>
      </c>
      <c r="H78" s="10">
        <f>D78+ян!H78</f>
        <v>2507.2939999999999</v>
      </c>
      <c r="I78" s="8"/>
      <c r="J78" s="8">
        <f>F78+ян!J78</f>
        <v>3265.6639999999998</v>
      </c>
      <c r="K78" s="10">
        <f t="shared" si="25"/>
        <v>3265.6639999999998</v>
      </c>
      <c r="L78" s="16"/>
      <c r="M78" s="220"/>
      <c r="N78" s="221"/>
    </row>
    <row r="79" spans="1:14" ht="17.25" customHeight="1">
      <c r="A79" s="8"/>
      <c r="B79" s="12" t="s">
        <v>68</v>
      </c>
      <c r="C79" s="22" t="s">
        <v>66</v>
      </c>
      <c r="D79" s="14">
        <v>63799</v>
      </c>
      <c r="E79" s="22"/>
      <c r="F79" s="59">
        <v>79398</v>
      </c>
      <c r="G79" s="10">
        <f t="shared" si="24"/>
        <v>79398</v>
      </c>
      <c r="H79" s="10">
        <f>D79+ян!H79</f>
        <v>127598</v>
      </c>
      <c r="I79" s="59"/>
      <c r="J79" s="8">
        <f>F79+ян!J79</f>
        <v>165438</v>
      </c>
      <c r="K79" s="10">
        <f t="shared" si="25"/>
        <v>165438</v>
      </c>
      <c r="L79" s="16"/>
      <c r="M79" s="220"/>
      <c r="N79" s="221"/>
    </row>
    <row r="80" spans="1:14" ht="17.25" customHeight="1">
      <c r="A80" s="8"/>
      <c r="B80" s="12" t="s">
        <v>15</v>
      </c>
      <c r="C80" s="13" t="s">
        <v>16</v>
      </c>
      <c r="D80" s="16">
        <f>D78/D79*1000</f>
        <v>19.649947491339987</v>
      </c>
      <c r="E80" s="16"/>
      <c r="F80" s="16">
        <f t="shared" ref="F80" si="27">F78/F79*1000</f>
        <v>19.749993702612155</v>
      </c>
      <c r="G80" s="10">
        <f t="shared" si="24"/>
        <v>19.749993702612155</v>
      </c>
      <c r="H80" s="16">
        <f>H78/H79*1000</f>
        <v>19.649947491339987</v>
      </c>
      <c r="I80" s="8"/>
      <c r="J80" s="13"/>
      <c r="K80" s="10">
        <f t="shared" si="25"/>
        <v>0</v>
      </c>
      <c r="L80" s="16"/>
      <c r="M80" s="220"/>
      <c r="N80" s="221"/>
    </row>
    <row r="81" spans="1:14" ht="36" customHeight="1">
      <c r="A81" s="8"/>
      <c r="B81" s="12" t="s">
        <v>70</v>
      </c>
      <c r="C81" s="8" t="s">
        <v>4</v>
      </c>
      <c r="D81" s="10">
        <v>3651.203</v>
      </c>
      <c r="E81" s="8"/>
      <c r="F81" s="8">
        <v>3165.6880000000001</v>
      </c>
      <c r="G81" s="10">
        <f t="shared" si="24"/>
        <v>3165.6880000000001</v>
      </c>
      <c r="H81" s="10">
        <f>D81+ян!H81</f>
        <v>7302.4059999999999</v>
      </c>
      <c r="I81" s="8"/>
      <c r="J81" s="8">
        <f>F81+ян!J81</f>
        <v>7464.0389999999998</v>
      </c>
      <c r="K81" s="10">
        <f t="shared" si="25"/>
        <v>7464.0389999999998</v>
      </c>
      <c r="L81" s="16"/>
      <c r="M81" s="220"/>
      <c r="N81" s="221"/>
    </row>
    <row r="82" spans="1:14" ht="17.25" customHeight="1">
      <c r="A82" s="8"/>
      <c r="B82" s="12" t="s">
        <v>68</v>
      </c>
      <c r="C82" s="22" t="s">
        <v>66</v>
      </c>
      <c r="D82" s="14">
        <v>185812</v>
      </c>
      <c r="E82" s="22"/>
      <c r="F82" s="59">
        <v>160288</v>
      </c>
      <c r="G82" s="14">
        <f t="shared" si="24"/>
        <v>160288</v>
      </c>
      <c r="H82" s="10">
        <f>D82+ян!H82</f>
        <v>371624</v>
      </c>
      <c r="I82" s="59"/>
      <c r="J82" s="8">
        <f>F82+ян!J82</f>
        <v>377926</v>
      </c>
      <c r="K82" s="10">
        <f t="shared" si="25"/>
        <v>377926</v>
      </c>
      <c r="L82" s="16"/>
      <c r="M82" s="220"/>
      <c r="N82" s="221"/>
    </row>
    <row r="83" spans="1:14" ht="17.25" customHeight="1">
      <c r="A83" s="8"/>
      <c r="B83" s="12" t="s">
        <v>15</v>
      </c>
      <c r="C83" s="13" t="s">
        <v>16</v>
      </c>
      <c r="D83" s="16">
        <f>D81/D82*1000</f>
        <v>19.64998493100553</v>
      </c>
      <c r="E83" s="16"/>
      <c r="F83" s="16">
        <f t="shared" ref="F83" si="28">F81/F82*1000</f>
        <v>19.75</v>
      </c>
      <c r="G83" s="10">
        <f t="shared" si="24"/>
        <v>19.75</v>
      </c>
      <c r="H83" s="16">
        <f>H81/H82*1000</f>
        <v>19.64998493100553</v>
      </c>
      <c r="I83" s="8"/>
      <c r="J83" s="13"/>
      <c r="K83" s="10">
        <f t="shared" si="25"/>
        <v>0</v>
      </c>
      <c r="L83" s="16"/>
      <c r="M83" s="220"/>
      <c r="N83" s="221"/>
    </row>
    <row r="84" spans="1:14" ht="17.25" customHeight="1">
      <c r="A84" s="8"/>
      <c r="B84" s="12" t="s">
        <v>71</v>
      </c>
      <c r="C84" s="8" t="s">
        <v>4</v>
      </c>
      <c r="D84" s="10">
        <v>20274.338</v>
      </c>
      <c r="E84" s="8"/>
      <c r="F84" s="8">
        <v>16352.148999999999</v>
      </c>
      <c r="G84" s="10">
        <f t="shared" si="24"/>
        <v>16352.148999999999</v>
      </c>
      <c r="H84" s="10">
        <f>D84+ян!H84</f>
        <v>40548.675999999999</v>
      </c>
      <c r="I84" s="8"/>
      <c r="J84" s="8">
        <f>F84+ян!J84</f>
        <v>36303.671999999999</v>
      </c>
      <c r="K84" s="10">
        <f t="shared" si="25"/>
        <v>36303.671999999999</v>
      </c>
      <c r="L84" s="16"/>
      <c r="M84" s="233" t="s">
        <v>297</v>
      </c>
      <c r="N84" s="234"/>
    </row>
    <row r="85" spans="1:14" ht="26.25" customHeight="1">
      <c r="A85" s="8"/>
      <c r="B85" s="12" t="s">
        <v>68</v>
      </c>
      <c r="C85" s="22" t="s">
        <v>66</v>
      </c>
      <c r="D85" s="14">
        <v>962694</v>
      </c>
      <c r="E85" s="22"/>
      <c r="F85" s="59">
        <v>781278</v>
      </c>
      <c r="G85" s="14">
        <f t="shared" si="24"/>
        <v>781278</v>
      </c>
      <c r="H85" s="10">
        <f>D85+ян!H85</f>
        <v>1925388</v>
      </c>
      <c r="I85" s="59"/>
      <c r="J85" s="8">
        <f>F85+ян!J85</f>
        <v>1734528</v>
      </c>
      <c r="K85" s="10">
        <f t="shared" si="25"/>
        <v>1734528</v>
      </c>
      <c r="L85" s="16"/>
      <c r="M85" s="235"/>
      <c r="N85" s="236"/>
    </row>
    <row r="86" spans="1:14" ht="17.25" customHeight="1">
      <c r="A86" s="8"/>
      <c r="B86" s="12" t="s">
        <v>15</v>
      </c>
      <c r="C86" s="13" t="s">
        <v>16</v>
      </c>
      <c r="D86" s="16">
        <f>D84/D85*1000</f>
        <v>21.06000245145394</v>
      </c>
      <c r="E86" s="16"/>
      <c r="F86" s="16">
        <f t="shared" ref="F86" si="29">F84/F85*1000</f>
        <v>20.930000588778899</v>
      </c>
      <c r="G86" s="10">
        <f t="shared" si="24"/>
        <v>20.930000588778899</v>
      </c>
      <c r="H86" s="16">
        <f>H84/H85*1000</f>
        <v>21.06000245145394</v>
      </c>
      <c r="I86" s="8"/>
      <c r="J86" s="13"/>
      <c r="K86" s="10">
        <f t="shared" si="25"/>
        <v>0</v>
      </c>
      <c r="L86" s="16"/>
      <c r="M86" s="220"/>
      <c r="N86" s="221"/>
    </row>
    <row r="87" spans="1:14" ht="17.25" customHeight="1">
      <c r="A87" s="47" t="s">
        <v>72</v>
      </c>
      <c r="B87" s="6" t="s">
        <v>73</v>
      </c>
      <c r="C87" s="47" t="s">
        <v>4</v>
      </c>
      <c r="D87" s="7">
        <f>D88+D89+D90</f>
        <v>22015.745000000003</v>
      </c>
      <c r="E87" s="21">
        <f>E88+E89+E90+E91</f>
        <v>20888.748999999996</v>
      </c>
      <c r="F87" s="7">
        <f>F88+F89+F90+F91+F92</f>
        <v>19750.553</v>
      </c>
      <c r="G87" s="10">
        <f t="shared" si="24"/>
        <v>-1138.1959999999963</v>
      </c>
      <c r="H87" s="7">
        <f>H88+H89+H90</f>
        <v>44031.490000000005</v>
      </c>
      <c r="I87" s="7">
        <f>I88+I89+I90+I91</f>
        <v>41777.497999999992</v>
      </c>
      <c r="J87" s="7">
        <f>J88+J89+J90+J91+J92</f>
        <v>37852.911000000007</v>
      </c>
      <c r="K87" s="10">
        <f t="shared" si="25"/>
        <v>-3924.586999999985</v>
      </c>
      <c r="L87" s="16">
        <f t="shared" ref="L87:L151" si="30">K87/I87*100</f>
        <v>-9.3940211546416332</v>
      </c>
      <c r="M87" s="220"/>
      <c r="N87" s="221"/>
    </row>
    <row r="88" spans="1:14" ht="17.25" customHeight="1">
      <c r="A88" s="8" t="s">
        <v>74</v>
      </c>
      <c r="B88" s="9" t="s">
        <v>75</v>
      </c>
      <c r="C88" s="8" t="s">
        <v>4</v>
      </c>
      <c r="D88" s="10">
        <v>20032.525000000001</v>
      </c>
      <c r="E88" s="8">
        <v>18751.082999999999</v>
      </c>
      <c r="F88" s="86">
        <f>18490.93-F92-F98</f>
        <v>17711.59</v>
      </c>
      <c r="G88" s="10">
        <f t="shared" si="24"/>
        <v>-1039.4929999999986</v>
      </c>
      <c r="H88" s="10">
        <f>D88+ян!H88</f>
        <v>40065.050000000003</v>
      </c>
      <c r="I88" s="8">
        <f>E88+ян!I88</f>
        <v>37502.165999999997</v>
      </c>
      <c r="J88" s="8">
        <f>F88+ян!J88</f>
        <v>33995.061000000002</v>
      </c>
      <c r="K88" s="10">
        <f t="shared" si="25"/>
        <v>-3507.1049999999959</v>
      </c>
      <c r="L88" s="16">
        <f t="shared" si="30"/>
        <v>-9.3517398435066283</v>
      </c>
      <c r="M88" s="227"/>
      <c r="N88" s="228"/>
    </row>
    <row r="89" spans="1:14" ht="17.25" customHeight="1">
      <c r="A89" s="8" t="s">
        <v>76</v>
      </c>
      <c r="B89" s="9" t="s">
        <v>77</v>
      </c>
      <c r="C89" s="8" t="s">
        <v>4</v>
      </c>
      <c r="D89" s="10">
        <v>1101.788</v>
      </c>
      <c r="E89" s="8">
        <v>1012.583</v>
      </c>
      <c r="F89" s="86">
        <v>996.98</v>
      </c>
      <c r="G89" s="10">
        <f t="shared" si="24"/>
        <v>-15.602999999999952</v>
      </c>
      <c r="H89" s="10">
        <f>D89+ян!H89</f>
        <v>2203.576</v>
      </c>
      <c r="I89" s="8">
        <f>E89+ян!I89</f>
        <v>2025.1659999999999</v>
      </c>
      <c r="J89" s="8">
        <f>F89+ян!J89</f>
        <v>1907.192</v>
      </c>
      <c r="K89" s="10">
        <f t="shared" si="25"/>
        <v>-117.97399999999993</v>
      </c>
      <c r="L89" s="16">
        <f t="shared" si="30"/>
        <v>-5.8253990043285313</v>
      </c>
      <c r="M89" s="227"/>
      <c r="N89" s="228"/>
    </row>
    <row r="90" spans="1:14" ht="17.25" customHeight="1">
      <c r="A90" s="8" t="s">
        <v>308</v>
      </c>
      <c r="B90" s="9" t="s">
        <v>307</v>
      </c>
      <c r="C90" s="8" t="s">
        <v>4</v>
      </c>
      <c r="D90" s="10">
        <v>881.43200000000002</v>
      </c>
      <c r="E90" s="8">
        <v>843.83299999999997</v>
      </c>
      <c r="F90" s="86">
        <v>550.88400000000001</v>
      </c>
      <c r="G90" s="10">
        <f t="shared" si="24"/>
        <v>-292.94899999999996</v>
      </c>
      <c r="H90" s="10">
        <f>D90+ян!H90</f>
        <v>1762.864</v>
      </c>
      <c r="I90" s="8">
        <f>E90+ян!I90</f>
        <v>1687.6659999999999</v>
      </c>
      <c r="J90" s="8">
        <f>F90+ян!J90</f>
        <v>1058.268</v>
      </c>
      <c r="K90" s="10">
        <f t="shared" si="25"/>
        <v>-629.39799999999991</v>
      </c>
      <c r="L90" s="16">
        <f t="shared" si="30"/>
        <v>-37.293990635587839</v>
      </c>
      <c r="M90" s="49"/>
      <c r="N90" s="50"/>
    </row>
    <row r="91" spans="1:14" ht="17.25" customHeight="1">
      <c r="A91" s="8" t="s">
        <v>309</v>
      </c>
      <c r="B91" s="9" t="s">
        <v>310</v>
      </c>
      <c r="C91" s="8" t="s">
        <v>4</v>
      </c>
      <c r="D91" s="10"/>
      <c r="E91" s="8">
        <v>281.25</v>
      </c>
      <c r="F91" s="87">
        <v>260.58</v>
      </c>
      <c r="G91" s="10">
        <f t="shared" si="24"/>
        <v>-20.670000000000016</v>
      </c>
      <c r="H91" s="10">
        <f>D91+ян!H91</f>
        <v>0</v>
      </c>
      <c r="I91" s="10">
        <f>E91+ян!I91</f>
        <v>562.5</v>
      </c>
      <c r="J91" s="8">
        <f>F91+ян!J91</f>
        <v>499.34100000000001</v>
      </c>
      <c r="K91" s="10">
        <f t="shared" si="25"/>
        <v>-63.158999999999992</v>
      </c>
      <c r="L91" s="16">
        <f t="shared" si="30"/>
        <v>-11.228266666666666</v>
      </c>
      <c r="M91" s="49"/>
      <c r="N91" s="50"/>
    </row>
    <row r="92" spans="1:14" ht="17.25" customHeight="1">
      <c r="A92" s="8"/>
      <c r="B92" s="9" t="s">
        <v>316</v>
      </c>
      <c r="C92" s="8" t="s">
        <v>4</v>
      </c>
      <c r="D92" s="10"/>
      <c r="E92" s="8"/>
      <c r="F92" s="55">
        <v>230.51900000000001</v>
      </c>
      <c r="G92" s="10"/>
      <c r="H92" s="10">
        <f>D92+ян!H92</f>
        <v>0</v>
      </c>
      <c r="I92" s="8">
        <f>E92+ян!I92</f>
        <v>0</v>
      </c>
      <c r="J92" s="8">
        <f>F92+ян!J92</f>
        <v>393.04899999999998</v>
      </c>
      <c r="K92" s="10"/>
      <c r="L92" s="16"/>
      <c r="M92" s="52"/>
      <c r="N92" s="53"/>
    </row>
    <row r="93" spans="1:14" ht="17.25" customHeight="1">
      <c r="A93" s="47" t="s">
        <v>78</v>
      </c>
      <c r="B93" s="6" t="s">
        <v>79</v>
      </c>
      <c r="C93" s="47" t="s">
        <v>4</v>
      </c>
      <c r="D93" s="7">
        <f>D94</f>
        <v>12258.85</v>
      </c>
      <c r="E93" s="21">
        <f>E94</f>
        <v>12219.75</v>
      </c>
      <c r="F93" s="7">
        <f>F94</f>
        <v>11186.638999999999</v>
      </c>
      <c r="G93" s="10">
        <f t="shared" si="24"/>
        <v>-1033.1110000000008</v>
      </c>
      <c r="H93" s="7">
        <f>H94</f>
        <v>24517.7</v>
      </c>
      <c r="I93" s="21">
        <f>I94</f>
        <v>24439.5</v>
      </c>
      <c r="J93" s="7">
        <f>J94</f>
        <v>22001.254000000001</v>
      </c>
      <c r="K93" s="10">
        <f t="shared" si="25"/>
        <v>-2438.2459999999992</v>
      </c>
      <c r="L93" s="16">
        <f t="shared" si="30"/>
        <v>-9.9766607336483926</v>
      </c>
      <c r="M93" s="220"/>
      <c r="N93" s="221"/>
    </row>
    <row r="94" spans="1:14" ht="17.25" customHeight="1">
      <c r="A94" s="23" t="s">
        <v>80</v>
      </c>
      <c r="B94" s="9" t="s">
        <v>81</v>
      </c>
      <c r="C94" s="8" t="s">
        <v>4</v>
      </c>
      <c r="D94" s="10">
        <v>12258.85</v>
      </c>
      <c r="E94" s="8">
        <v>12219.75</v>
      </c>
      <c r="F94" s="86">
        <v>11186.638999999999</v>
      </c>
      <c r="G94" s="10">
        <f t="shared" si="24"/>
        <v>-1033.1110000000008</v>
      </c>
      <c r="H94" s="10">
        <f>D94+ян!H94</f>
        <v>24517.7</v>
      </c>
      <c r="I94" s="10">
        <f>E94+ян!I94</f>
        <v>24439.5</v>
      </c>
      <c r="J94" s="8">
        <f>F94+ян!J94</f>
        <v>22001.254000000001</v>
      </c>
      <c r="K94" s="10">
        <f t="shared" si="25"/>
        <v>-2438.2459999999992</v>
      </c>
      <c r="L94" s="16">
        <f t="shared" si="30"/>
        <v>-9.9766607336483926</v>
      </c>
      <c r="M94" s="220"/>
      <c r="N94" s="221"/>
    </row>
    <row r="95" spans="1:14" ht="17.25" customHeight="1">
      <c r="A95" s="47" t="s">
        <v>82</v>
      </c>
      <c r="B95" s="6" t="s">
        <v>83</v>
      </c>
      <c r="C95" s="47" t="s">
        <v>4</v>
      </c>
      <c r="D95" s="7">
        <f t="shared" ref="D95:J95" si="31">D96</f>
        <v>588.22500000000002</v>
      </c>
      <c r="E95" s="7">
        <f t="shared" si="31"/>
        <v>291.66699999999997</v>
      </c>
      <c r="F95" s="7">
        <f t="shared" si="31"/>
        <v>0</v>
      </c>
      <c r="G95" s="10">
        <f t="shared" si="24"/>
        <v>-291.66699999999997</v>
      </c>
      <c r="H95" s="7">
        <f t="shared" si="31"/>
        <v>1176.45</v>
      </c>
      <c r="I95" s="7">
        <f t="shared" si="31"/>
        <v>583.33399999999995</v>
      </c>
      <c r="J95" s="7">
        <f t="shared" si="31"/>
        <v>0.76800000000000002</v>
      </c>
      <c r="K95" s="10">
        <f t="shared" si="25"/>
        <v>-582.56599999999992</v>
      </c>
      <c r="L95" s="16">
        <f t="shared" si="30"/>
        <v>-99.86834300760799</v>
      </c>
      <c r="M95" s="220"/>
      <c r="N95" s="221"/>
    </row>
    <row r="96" spans="1:14" ht="54" customHeight="1">
      <c r="A96" s="8" t="s">
        <v>84</v>
      </c>
      <c r="B96" s="9" t="s">
        <v>85</v>
      </c>
      <c r="C96" s="8" t="s">
        <v>4</v>
      </c>
      <c r="D96" s="10">
        <v>588.22500000000002</v>
      </c>
      <c r="E96" s="8">
        <v>291.66699999999997</v>
      </c>
      <c r="F96" s="8"/>
      <c r="G96" s="10">
        <f t="shared" si="24"/>
        <v>-291.66699999999997</v>
      </c>
      <c r="H96" s="10">
        <f>D96+ян!H96</f>
        <v>1176.45</v>
      </c>
      <c r="I96" s="8">
        <f>E96+ян!I96</f>
        <v>583.33399999999995</v>
      </c>
      <c r="J96" s="8">
        <f>F96+ян!J96</f>
        <v>0.76800000000000002</v>
      </c>
      <c r="K96" s="10">
        <f t="shared" si="25"/>
        <v>-582.56599999999992</v>
      </c>
      <c r="L96" s="16">
        <f t="shared" si="30"/>
        <v>-99.86834300760799</v>
      </c>
      <c r="M96" s="227" t="s">
        <v>299</v>
      </c>
      <c r="N96" s="228"/>
    </row>
    <row r="97" spans="1:14" ht="17.25" customHeight="1">
      <c r="A97" s="47" t="s">
        <v>86</v>
      </c>
      <c r="B97" s="6" t="s">
        <v>87</v>
      </c>
      <c r="C97" s="47" t="s">
        <v>4</v>
      </c>
      <c r="D97" s="7">
        <f t="shared" ref="D97" si="32">D98+D99+D103+D104+D109+D110</f>
        <v>2575.1889999999999</v>
      </c>
      <c r="E97" s="7">
        <f>E98+E99+E103+E104+E109+E110</f>
        <v>2562.3330000000001</v>
      </c>
      <c r="F97" s="7">
        <f>F98+F99+F103+F104+F109+F110</f>
        <v>2037.635</v>
      </c>
      <c r="G97" s="10">
        <f t="shared" si="24"/>
        <v>-524.69800000000009</v>
      </c>
      <c r="H97" s="7">
        <f t="shared" ref="H97" si="33">H98+H99+H103+H104+H109+H110</f>
        <v>5150.3779999999997</v>
      </c>
      <c r="I97" s="7">
        <f>I98+I99+I103+I104+I109+I110</f>
        <v>5124.6660000000002</v>
      </c>
      <c r="J97" s="7">
        <f>J98+J99+J103+J104+J109+J110</f>
        <v>3940.2730000000001</v>
      </c>
      <c r="K97" s="10">
        <f t="shared" si="25"/>
        <v>-1184.393</v>
      </c>
      <c r="L97" s="16">
        <f t="shared" si="30"/>
        <v>-23.111613517837064</v>
      </c>
      <c r="M97" s="220"/>
      <c r="N97" s="221"/>
    </row>
    <row r="98" spans="1:14" ht="17.25" customHeight="1">
      <c r="A98" s="8" t="s">
        <v>88</v>
      </c>
      <c r="B98" s="9" t="s">
        <v>89</v>
      </c>
      <c r="C98" s="8" t="s">
        <v>4</v>
      </c>
      <c r="D98" s="10">
        <v>626.41700000000003</v>
      </c>
      <c r="E98" s="8">
        <v>543.08299999999997</v>
      </c>
      <c r="F98" s="70">
        <v>548.82100000000003</v>
      </c>
      <c r="G98" s="10">
        <f t="shared" si="24"/>
        <v>5.7380000000000564</v>
      </c>
      <c r="H98" s="10">
        <f>D98+ян!H98</f>
        <v>1252.8340000000001</v>
      </c>
      <c r="I98" s="8">
        <f>E98+ян!I98</f>
        <v>1086.1659999999999</v>
      </c>
      <c r="J98" s="8">
        <f>F98+ян!J98</f>
        <v>1165.8240000000001</v>
      </c>
      <c r="K98" s="10">
        <f t="shared" si="25"/>
        <v>79.658000000000129</v>
      </c>
      <c r="L98" s="16">
        <f t="shared" si="30"/>
        <v>7.3338697768112917</v>
      </c>
      <c r="M98" s="227" t="s">
        <v>298</v>
      </c>
      <c r="N98" s="228"/>
    </row>
    <row r="99" spans="1:14" ht="53.25" customHeight="1">
      <c r="A99" s="8" t="s">
        <v>90</v>
      </c>
      <c r="B99" s="20" t="s">
        <v>242</v>
      </c>
      <c r="C99" s="8" t="s">
        <v>4</v>
      </c>
      <c r="D99" s="10">
        <f t="shared" ref="D99:F99" si="34">D100+D101+D102</f>
        <v>107.703</v>
      </c>
      <c r="E99" s="8">
        <v>107.667</v>
      </c>
      <c r="F99" s="10">
        <f t="shared" si="34"/>
        <v>0</v>
      </c>
      <c r="G99" s="10">
        <f t="shared" si="24"/>
        <v>-107.667</v>
      </c>
      <c r="H99" s="10">
        <f t="shared" ref="H99" si="35">H100+H101+H102</f>
        <v>215.40600000000001</v>
      </c>
      <c r="I99" s="8">
        <f>E99+ян!I99</f>
        <v>215.334</v>
      </c>
      <c r="J99" s="10">
        <f t="shared" ref="J99" si="36">J100+J101+J102</f>
        <v>0</v>
      </c>
      <c r="K99" s="10">
        <f t="shared" si="25"/>
        <v>-215.334</v>
      </c>
      <c r="L99" s="16">
        <f t="shared" si="30"/>
        <v>-100</v>
      </c>
      <c r="M99" s="220"/>
      <c r="N99" s="221"/>
    </row>
    <row r="100" spans="1:14" ht="17.25" customHeight="1">
      <c r="A100" s="8" t="s">
        <v>91</v>
      </c>
      <c r="B100" s="20" t="s">
        <v>92</v>
      </c>
      <c r="C100" s="8" t="s">
        <v>4</v>
      </c>
      <c r="D100" s="10">
        <v>45.448999999999998</v>
      </c>
      <c r="E100" s="8"/>
      <c r="F100" s="8"/>
      <c r="G100" s="10">
        <f t="shared" si="24"/>
        <v>0</v>
      </c>
      <c r="H100" s="10">
        <f>D100+ян!H100</f>
        <v>90.897999999999996</v>
      </c>
      <c r="I100" s="8"/>
      <c r="J100" s="8">
        <f>F100+ян!J100</f>
        <v>0</v>
      </c>
      <c r="K100" s="10">
        <f t="shared" si="25"/>
        <v>0</v>
      </c>
      <c r="L100" s="16"/>
      <c r="M100" s="220"/>
      <c r="N100" s="221"/>
    </row>
    <row r="101" spans="1:14" ht="33.75" customHeight="1">
      <c r="A101" s="8" t="s">
        <v>93</v>
      </c>
      <c r="B101" s="20" t="s">
        <v>94</v>
      </c>
      <c r="C101" s="8" t="s">
        <v>4</v>
      </c>
      <c r="D101" s="10">
        <v>62.253999999999998</v>
      </c>
      <c r="E101" s="8"/>
      <c r="F101" s="8"/>
      <c r="G101" s="10">
        <f t="shared" si="24"/>
        <v>0</v>
      </c>
      <c r="H101" s="10">
        <f>D101+ян!H101</f>
        <v>124.508</v>
      </c>
      <c r="I101" s="8"/>
      <c r="J101" s="8">
        <f>F101+ян!J101</f>
        <v>0</v>
      </c>
      <c r="K101" s="10">
        <f t="shared" si="25"/>
        <v>0</v>
      </c>
      <c r="L101" s="16"/>
      <c r="M101" s="220"/>
      <c r="N101" s="221"/>
    </row>
    <row r="102" spans="1:14" ht="33.75" customHeight="1">
      <c r="A102" s="8" t="s">
        <v>95</v>
      </c>
      <c r="B102" s="20" t="s">
        <v>96</v>
      </c>
      <c r="C102" s="8" t="s">
        <v>4</v>
      </c>
      <c r="D102" s="10"/>
      <c r="E102" s="8"/>
      <c r="F102" s="8"/>
      <c r="G102" s="10">
        <f t="shared" si="24"/>
        <v>0</v>
      </c>
      <c r="H102" s="10">
        <f>D102+ян!H102</f>
        <v>0</v>
      </c>
      <c r="I102" s="8"/>
      <c r="J102" s="8">
        <f>F102+ян!J102</f>
        <v>0</v>
      </c>
      <c r="K102" s="10">
        <f t="shared" si="25"/>
        <v>0</v>
      </c>
      <c r="L102" s="16"/>
      <c r="M102" s="220"/>
      <c r="N102" s="221"/>
    </row>
    <row r="103" spans="1:14" ht="17.25" customHeight="1">
      <c r="A103" s="8" t="s">
        <v>97</v>
      </c>
      <c r="B103" s="20" t="s">
        <v>98</v>
      </c>
      <c r="C103" s="8" t="s">
        <v>4</v>
      </c>
      <c r="D103" s="10">
        <v>1.3089999999999999</v>
      </c>
      <c r="E103" s="8">
        <v>1.333</v>
      </c>
      <c r="F103" s="8"/>
      <c r="G103" s="10">
        <f t="shared" si="24"/>
        <v>-1.333</v>
      </c>
      <c r="H103" s="10">
        <f>D103+ян!H103</f>
        <v>2.6179999999999999</v>
      </c>
      <c r="I103" s="8">
        <f>E103+ян!I103</f>
        <v>2.6659999999999999</v>
      </c>
      <c r="J103" s="8">
        <f>F103+ян!J103</f>
        <v>0</v>
      </c>
      <c r="K103" s="10">
        <f t="shared" si="25"/>
        <v>-2.6659999999999999</v>
      </c>
      <c r="L103" s="16">
        <f t="shared" si="30"/>
        <v>-100</v>
      </c>
      <c r="M103" s="220"/>
      <c r="N103" s="221"/>
    </row>
    <row r="104" spans="1:14" ht="36" customHeight="1">
      <c r="A104" s="18" t="s">
        <v>105</v>
      </c>
      <c r="B104" s="20" t="s">
        <v>99</v>
      </c>
      <c r="C104" s="8" t="s">
        <v>4</v>
      </c>
      <c r="D104" s="10">
        <f t="shared" ref="D104:F104" si="37">D105+D106+D107+D108</f>
        <v>186.095</v>
      </c>
      <c r="E104" s="10">
        <f t="shared" si="37"/>
        <v>152.833</v>
      </c>
      <c r="F104" s="10">
        <f t="shared" si="37"/>
        <v>88.266000000000005</v>
      </c>
      <c r="G104" s="10">
        <f t="shared" si="24"/>
        <v>-64.566999999999993</v>
      </c>
      <c r="H104" s="10">
        <f t="shared" ref="H104:J104" si="38">H105+H106+H107+H108</f>
        <v>372.19</v>
      </c>
      <c r="I104" s="10">
        <f t="shared" si="38"/>
        <v>305.666</v>
      </c>
      <c r="J104" s="10">
        <f t="shared" si="38"/>
        <v>147.66300000000001</v>
      </c>
      <c r="K104" s="10">
        <f t="shared" si="25"/>
        <v>-158.00299999999999</v>
      </c>
      <c r="L104" s="16">
        <f t="shared" si="30"/>
        <v>-51.691388639887982</v>
      </c>
      <c r="M104" s="220"/>
      <c r="N104" s="221"/>
    </row>
    <row r="105" spans="1:14" ht="17.25" customHeight="1">
      <c r="A105" s="24" t="s">
        <v>243</v>
      </c>
      <c r="B105" s="20" t="s">
        <v>100</v>
      </c>
      <c r="C105" s="8" t="s">
        <v>4</v>
      </c>
      <c r="D105" s="10">
        <v>43.570999999999998</v>
      </c>
      <c r="E105" s="8">
        <v>43.582999999999998</v>
      </c>
      <c r="F105" s="8"/>
      <c r="G105" s="10">
        <f t="shared" si="24"/>
        <v>-43.582999999999998</v>
      </c>
      <c r="H105" s="10">
        <f>D105+ян!H105</f>
        <v>87.141999999999996</v>
      </c>
      <c r="I105" s="8">
        <f>E105+ян!I105</f>
        <v>87.165999999999997</v>
      </c>
      <c r="J105" s="8">
        <f>F105+ян!J105</f>
        <v>0</v>
      </c>
      <c r="K105" s="10">
        <f t="shared" si="25"/>
        <v>-87.165999999999997</v>
      </c>
      <c r="L105" s="16">
        <f t="shared" si="30"/>
        <v>-100</v>
      </c>
      <c r="M105" s="220"/>
      <c r="N105" s="221"/>
    </row>
    <row r="106" spans="1:14" ht="28.5" customHeight="1">
      <c r="A106" s="8" t="s">
        <v>244</v>
      </c>
      <c r="B106" s="20" t="s">
        <v>101</v>
      </c>
      <c r="C106" s="8" t="s">
        <v>4</v>
      </c>
      <c r="D106" s="10">
        <v>116.209</v>
      </c>
      <c r="E106" s="8">
        <v>82.917000000000002</v>
      </c>
      <c r="F106" s="70">
        <v>88.266000000000005</v>
      </c>
      <c r="G106" s="10">
        <f t="shared" si="24"/>
        <v>5.3490000000000038</v>
      </c>
      <c r="H106" s="10">
        <f>D106+ян!H106</f>
        <v>232.41800000000001</v>
      </c>
      <c r="I106" s="8">
        <f>E106+ян!I106</f>
        <v>165.834</v>
      </c>
      <c r="J106" s="8">
        <f>F106+ян!J106</f>
        <v>147.66300000000001</v>
      </c>
      <c r="K106" s="10">
        <f t="shared" si="25"/>
        <v>-18.170999999999992</v>
      </c>
      <c r="L106" s="16">
        <f t="shared" si="30"/>
        <v>-10.957342885053723</v>
      </c>
      <c r="M106" s="222" t="s">
        <v>287</v>
      </c>
      <c r="N106" s="223"/>
    </row>
    <row r="107" spans="1:14" ht="37.5" customHeight="1">
      <c r="A107" s="8" t="s">
        <v>245</v>
      </c>
      <c r="B107" s="20" t="s">
        <v>102</v>
      </c>
      <c r="C107" s="8" t="s">
        <v>4</v>
      </c>
      <c r="D107" s="10">
        <v>26.315000000000001</v>
      </c>
      <c r="E107" s="8">
        <v>26.332999999999998</v>
      </c>
      <c r="F107" s="8"/>
      <c r="G107" s="10">
        <f t="shared" si="24"/>
        <v>-26.332999999999998</v>
      </c>
      <c r="H107" s="10">
        <f>D107+ян!H107</f>
        <v>52.63</v>
      </c>
      <c r="I107" s="8">
        <f>E107+ян!I107</f>
        <v>52.665999999999997</v>
      </c>
      <c r="J107" s="8">
        <f>F107+ян!J107</f>
        <v>0</v>
      </c>
      <c r="K107" s="10">
        <f t="shared" si="25"/>
        <v>-52.665999999999997</v>
      </c>
      <c r="L107" s="16">
        <f t="shared" si="30"/>
        <v>-100</v>
      </c>
      <c r="M107" s="220"/>
      <c r="N107" s="221"/>
    </row>
    <row r="108" spans="1:14" ht="35.25" hidden="1" customHeight="1">
      <c r="A108" s="8" t="s">
        <v>103</v>
      </c>
      <c r="B108" s="20" t="s">
        <v>104</v>
      </c>
      <c r="C108" s="8" t="s">
        <v>4</v>
      </c>
      <c r="D108" s="10">
        <v>0</v>
      </c>
      <c r="E108" s="8"/>
      <c r="F108" s="8"/>
      <c r="G108" s="10">
        <f t="shared" si="24"/>
        <v>0</v>
      </c>
      <c r="H108" s="10">
        <f>D108+ян!H108</f>
        <v>0</v>
      </c>
      <c r="I108" s="8">
        <f>E108+ян!I108</f>
        <v>0</v>
      </c>
      <c r="J108" s="8">
        <f>F108+ян!J108</f>
        <v>0</v>
      </c>
      <c r="K108" s="10">
        <f t="shared" si="25"/>
        <v>0</v>
      </c>
      <c r="L108" s="16" t="e">
        <f t="shared" si="30"/>
        <v>#DIV/0!</v>
      </c>
      <c r="M108" s="220"/>
      <c r="N108" s="221"/>
    </row>
    <row r="109" spans="1:14" ht="17.25" customHeight="1">
      <c r="A109" s="18" t="s">
        <v>246</v>
      </c>
      <c r="B109" s="20" t="s">
        <v>106</v>
      </c>
      <c r="C109" s="8" t="s">
        <v>4</v>
      </c>
      <c r="D109" s="10">
        <v>91.483999999999995</v>
      </c>
      <c r="E109" s="8">
        <v>58.167000000000002</v>
      </c>
      <c r="F109" s="86">
        <f>15.207+12.225+0.256+1.801</f>
        <v>29.489000000000001</v>
      </c>
      <c r="G109" s="10">
        <f t="shared" si="24"/>
        <v>-28.678000000000001</v>
      </c>
      <c r="H109" s="10">
        <f>D109+ян!H109</f>
        <v>182.96799999999999</v>
      </c>
      <c r="I109" s="8">
        <f>E109+ян!I109</f>
        <v>116.334</v>
      </c>
      <c r="J109" s="8">
        <f>F109+ян!J109</f>
        <v>64.537999999999997</v>
      </c>
      <c r="K109" s="10">
        <f t="shared" si="25"/>
        <v>-51.796000000000006</v>
      </c>
      <c r="L109" s="16">
        <f t="shared" si="30"/>
        <v>-44.523527085804673</v>
      </c>
      <c r="M109" s="220"/>
      <c r="N109" s="221"/>
    </row>
    <row r="110" spans="1:14" ht="17.25" customHeight="1">
      <c r="A110" s="17" t="s">
        <v>247</v>
      </c>
      <c r="B110" s="6" t="s">
        <v>107</v>
      </c>
      <c r="C110" s="8" t="s">
        <v>4</v>
      </c>
      <c r="D110" s="10">
        <f>D111+D115+D119+D123+D124+D125+D126+D127+D128+D129+D130+D131+D132+D133+D134+D135</f>
        <v>1562.1809999999998</v>
      </c>
      <c r="E110" s="10">
        <f>E111+E115+E119+E123+E124+E125+E126+E127+E128+E129+E130+E131+E132+E133+E134+E135+E136+E137</f>
        <v>1699.25</v>
      </c>
      <c r="F110" s="10">
        <f>F111+F115+F119+F123+F124+F125+F126+F127+F128+F129+F130+F131+F132+F133+F134+F135+F136+F137</f>
        <v>1371.059</v>
      </c>
      <c r="G110" s="10">
        <f t="shared" si="24"/>
        <v>-328.19100000000003</v>
      </c>
      <c r="H110" s="10">
        <f>H111+H115+H119+H123+H124+H125+H126+H127+H128+H129+H130+H131+H132+H133+H134+H135</f>
        <v>3124.3619999999996</v>
      </c>
      <c r="I110" s="10">
        <f>I111+I115+I119+I123+I124+I125+I126+I127+I128+I129+I130+I131+I132+I133+I134+I135+I136+I137</f>
        <v>3398.5</v>
      </c>
      <c r="J110" s="10">
        <f>J111+J115+J119+J123+J124+J125+J126+J127+J128+J129+J130+J131+J132+J133+J134+J135+J136+J137</f>
        <v>2562.248</v>
      </c>
      <c r="K110" s="10">
        <f t="shared" si="25"/>
        <v>-836.25199999999995</v>
      </c>
      <c r="L110" s="16">
        <f t="shared" si="30"/>
        <v>-24.606502868912756</v>
      </c>
      <c r="M110" s="226"/>
      <c r="N110" s="221"/>
    </row>
    <row r="111" spans="1:14" ht="18" customHeight="1">
      <c r="A111" s="18" t="s">
        <v>248</v>
      </c>
      <c r="B111" s="9" t="s">
        <v>108</v>
      </c>
      <c r="C111" s="8" t="s">
        <v>4</v>
      </c>
      <c r="D111" s="10">
        <v>431.38099999999997</v>
      </c>
      <c r="E111" s="8">
        <v>431.41699999999997</v>
      </c>
      <c r="F111" s="10">
        <f>F112+F113+F114</f>
        <v>293.84100000000001</v>
      </c>
      <c r="G111" s="10">
        <f t="shared" si="24"/>
        <v>-137.57599999999996</v>
      </c>
      <c r="H111" s="10">
        <f>D111+ян!H111</f>
        <v>862.76199999999994</v>
      </c>
      <c r="I111" s="8">
        <f>E111+ян!I111</f>
        <v>862.83399999999995</v>
      </c>
      <c r="J111" s="10">
        <f>J112+J113+J114</f>
        <v>515.48099999999999</v>
      </c>
      <c r="K111" s="10">
        <f t="shared" si="25"/>
        <v>-347.35299999999995</v>
      </c>
      <c r="L111" s="16">
        <f t="shared" si="30"/>
        <v>-40.25722213079225</v>
      </c>
      <c r="M111" s="231"/>
      <c r="N111" s="232"/>
    </row>
    <row r="112" spans="1:14" ht="17.25" customHeight="1">
      <c r="A112" s="18"/>
      <c r="B112" s="9" t="s">
        <v>221</v>
      </c>
      <c r="C112" s="8" t="s">
        <v>4</v>
      </c>
      <c r="D112" s="10"/>
      <c r="E112" s="8"/>
      <c r="F112" s="62">
        <v>202.02</v>
      </c>
      <c r="G112" s="10">
        <f t="shared" si="24"/>
        <v>202.02</v>
      </c>
      <c r="H112" s="10"/>
      <c r="I112" s="8"/>
      <c r="J112" s="8">
        <f>F112+ян!J112</f>
        <v>413.65999999999997</v>
      </c>
      <c r="K112" s="10">
        <f t="shared" si="25"/>
        <v>413.65999999999997</v>
      </c>
      <c r="L112" s="16"/>
      <c r="M112" s="220"/>
      <c r="N112" s="221"/>
    </row>
    <row r="113" spans="1:14" ht="36" customHeight="1">
      <c r="A113" s="18"/>
      <c r="B113" s="9" t="s">
        <v>222</v>
      </c>
      <c r="C113" s="8" t="s">
        <v>4</v>
      </c>
      <c r="D113" s="10"/>
      <c r="E113" s="8"/>
      <c r="F113" s="54">
        <v>91.820999999999998</v>
      </c>
      <c r="G113" s="10">
        <f t="shared" si="24"/>
        <v>91.820999999999998</v>
      </c>
      <c r="H113" s="10"/>
      <c r="I113" s="8"/>
      <c r="J113" s="8">
        <f>F113+ян!J113</f>
        <v>101.821</v>
      </c>
      <c r="K113" s="10">
        <f t="shared" si="25"/>
        <v>101.821</v>
      </c>
      <c r="L113" s="16"/>
      <c r="M113" s="220"/>
      <c r="N113" s="221"/>
    </row>
    <row r="114" spans="1:14" ht="17.25" customHeight="1">
      <c r="A114" s="18"/>
      <c r="B114" s="9" t="s">
        <v>223</v>
      </c>
      <c r="C114" s="8" t="s">
        <v>4</v>
      </c>
      <c r="D114" s="10"/>
      <c r="E114" s="8"/>
      <c r="F114" s="8"/>
      <c r="G114" s="10">
        <f t="shared" si="24"/>
        <v>0</v>
      </c>
      <c r="H114" s="10"/>
      <c r="I114" s="8"/>
      <c r="J114" s="8">
        <f>F114+ян!J114</f>
        <v>0</v>
      </c>
      <c r="K114" s="10">
        <f t="shared" si="25"/>
        <v>0</v>
      </c>
      <c r="L114" s="16"/>
      <c r="M114" s="220"/>
      <c r="N114" s="221"/>
    </row>
    <row r="115" spans="1:14" ht="17.25" customHeight="1">
      <c r="A115" s="18" t="s">
        <v>249</v>
      </c>
      <c r="B115" s="9" t="s">
        <v>109</v>
      </c>
      <c r="C115" s="8" t="s">
        <v>4</v>
      </c>
      <c r="D115" s="10">
        <f t="shared" ref="D115:F115" si="39">D116+D117+D118</f>
        <v>121.34400000000001</v>
      </c>
      <c r="E115" s="10">
        <v>121.333</v>
      </c>
      <c r="F115" s="10">
        <f t="shared" si="39"/>
        <v>0</v>
      </c>
      <c r="G115" s="10">
        <f t="shared" si="24"/>
        <v>-121.333</v>
      </c>
      <c r="H115" s="10">
        <f t="shared" ref="H115" si="40">H116+H117+H118</f>
        <v>242.68800000000002</v>
      </c>
      <c r="I115" s="8">
        <f>E115+ян!I115</f>
        <v>242.666</v>
      </c>
      <c r="J115" s="10">
        <f t="shared" ref="J115" si="41">J116+J117+J118</f>
        <v>0</v>
      </c>
      <c r="K115" s="10">
        <f t="shared" si="25"/>
        <v>-242.666</v>
      </c>
      <c r="L115" s="16">
        <f t="shared" si="30"/>
        <v>-100</v>
      </c>
      <c r="M115" s="220"/>
      <c r="N115" s="221"/>
    </row>
    <row r="116" spans="1:14" ht="36" customHeight="1">
      <c r="A116" s="8" t="s">
        <v>250</v>
      </c>
      <c r="B116" s="9" t="s">
        <v>240</v>
      </c>
      <c r="C116" s="8" t="s">
        <v>4</v>
      </c>
      <c r="D116" s="10">
        <v>86.322000000000003</v>
      </c>
      <c r="E116" s="8"/>
      <c r="F116" s="8"/>
      <c r="G116" s="10">
        <f t="shared" si="24"/>
        <v>0</v>
      </c>
      <c r="H116" s="10">
        <f>D116+ян!H116</f>
        <v>172.64400000000001</v>
      </c>
      <c r="I116" s="8"/>
      <c r="J116" s="8">
        <f>F116+ян!J116</f>
        <v>0</v>
      </c>
      <c r="K116" s="10">
        <f t="shared" si="25"/>
        <v>0</v>
      </c>
      <c r="L116" s="16"/>
      <c r="M116" s="220"/>
      <c r="N116" s="221"/>
    </row>
    <row r="117" spans="1:14" ht="42.75" customHeight="1">
      <c r="A117" s="8" t="s">
        <v>251</v>
      </c>
      <c r="B117" s="9" t="s">
        <v>241</v>
      </c>
      <c r="C117" s="8" t="s">
        <v>4</v>
      </c>
      <c r="D117" s="10">
        <v>31.76</v>
      </c>
      <c r="E117" s="8"/>
      <c r="F117" s="8"/>
      <c r="G117" s="10">
        <f t="shared" si="24"/>
        <v>0</v>
      </c>
      <c r="H117" s="10">
        <f>D117+ян!H117</f>
        <v>63.52</v>
      </c>
      <c r="I117" s="8"/>
      <c r="J117" s="8">
        <f>F117+ян!J117</f>
        <v>0</v>
      </c>
      <c r="K117" s="10">
        <f t="shared" si="25"/>
        <v>0</v>
      </c>
      <c r="L117" s="16"/>
      <c r="M117" s="220"/>
      <c r="N117" s="221"/>
    </row>
    <row r="118" spans="1:14" ht="17.25" customHeight="1">
      <c r="A118" s="8" t="s">
        <v>252</v>
      </c>
      <c r="B118" s="9" t="s">
        <v>110</v>
      </c>
      <c r="C118" s="8" t="s">
        <v>4</v>
      </c>
      <c r="D118" s="10">
        <v>3.262</v>
      </c>
      <c r="E118" s="8"/>
      <c r="F118" s="8"/>
      <c r="G118" s="10">
        <f t="shared" si="24"/>
        <v>0</v>
      </c>
      <c r="H118" s="10">
        <f>D118+ян!H118</f>
        <v>6.524</v>
      </c>
      <c r="I118" s="8"/>
      <c r="J118" s="8">
        <f>F118+ян!J118</f>
        <v>0</v>
      </c>
      <c r="K118" s="10">
        <f t="shared" si="25"/>
        <v>0</v>
      </c>
      <c r="L118" s="16"/>
      <c r="M118" s="220"/>
      <c r="N118" s="221"/>
    </row>
    <row r="119" spans="1:14" ht="34.5" customHeight="1">
      <c r="A119" s="18" t="s">
        <v>253</v>
      </c>
      <c r="B119" s="9" t="s">
        <v>111</v>
      </c>
      <c r="C119" s="8" t="s">
        <v>4</v>
      </c>
      <c r="D119" s="10">
        <f>D120</f>
        <v>380.84899999999999</v>
      </c>
      <c r="E119" s="10">
        <v>356.5</v>
      </c>
      <c r="F119" s="62">
        <f>F120</f>
        <v>476.36</v>
      </c>
      <c r="G119" s="10">
        <f t="shared" si="24"/>
        <v>119.86000000000001</v>
      </c>
      <c r="H119" s="10">
        <f>H120</f>
        <v>761.69799999999998</v>
      </c>
      <c r="I119" s="10">
        <f>E119+ян!I119</f>
        <v>713</v>
      </c>
      <c r="J119" s="10">
        <f>J120</f>
        <v>799.17200000000003</v>
      </c>
      <c r="K119" s="10">
        <f t="shared" si="25"/>
        <v>86.172000000000025</v>
      </c>
      <c r="L119" s="16">
        <f t="shared" si="30"/>
        <v>12.08583450210379</v>
      </c>
      <c r="M119" s="220"/>
      <c r="N119" s="221"/>
    </row>
    <row r="120" spans="1:14" ht="17.25" customHeight="1">
      <c r="A120" s="8"/>
      <c r="B120" s="25" t="s">
        <v>112</v>
      </c>
      <c r="C120" s="8" t="s">
        <v>113</v>
      </c>
      <c r="D120" s="10">
        <v>380.84899999999999</v>
      </c>
      <c r="E120" s="10">
        <f>E122*E121</f>
        <v>356.5</v>
      </c>
      <c r="F120" s="10">
        <f>F122*F121</f>
        <v>476.36</v>
      </c>
      <c r="G120" s="10">
        <f t="shared" si="24"/>
        <v>119.86000000000001</v>
      </c>
      <c r="H120" s="10">
        <f>D120+ян!H120</f>
        <v>761.69799999999998</v>
      </c>
      <c r="I120" s="10">
        <f>I122*I121</f>
        <v>713</v>
      </c>
      <c r="J120" s="8">
        <f>F120+ян!J120</f>
        <v>799.17200000000003</v>
      </c>
      <c r="K120" s="10">
        <f t="shared" si="25"/>
        <v>86.172000000000025</v>
      </c>
      <c r="L120" s="16">
        <f t="shared" si="30"/>
        <v>12.08583450210379</v>
      </c>
      <c r="M120" s="220"/>
      <c r="N120" s="221"/>
    </row>
    <row r="121" spans="1:14" ht="17.25" customHeight="1">
      <c r="A121" s="8"/>
      <c r="B121" s="12" t="s">
        <v>13</v>
      </c>
      <c r="C121" s="13" t="s">
        <v>114</v>
      </c>
      <c r="D121" s="10">
        <v>761.69899999999996</v>
      </c>
      <c r="E121" s="16">
        <f>E119/E122</f>
        <v>713</v>
      </c>
      <c r="F121" s="8">
        <f>F210</f>
        <v>952.72</v>
      </c>
      <c r="G121" s="10">
        <f t="shared" si="24"/>
        <v>239.72000000000003</v>
      </c>
      <c r="H121" s="10">
        <f>D121+ян!H121</f>
        <v>1523.3979999999999</v>
      </c>
      <c r="I121" s="10">
        <f>E121+ян!I121</f>
        <v>1426</v>
      </c>
      <c r="J121" s="8">
        <f>F121+ян!J121</f>
        <v>1598.3430000000001</v>
      </c>
      <c r="K121" s="10">
        <f t="shared" si="25"/>
        <v>172.34300000000007</v>
      </c>
      <c r="L121" s="16">
        <f t="shared" si="30"/>
        <v>12.085764375876582</v>
      </c>
      <c r="M121" s="220"/>
      <c r="N121" s="221"/>
    </row>
    <row r="122" spans="1:14" ht="17.25" customHeight="1">
      <c r="A122" s="8"/>
      <c r="B122" s="12" t="s">
        <v>15</v>
      </c>
      <c r="C122" s="13" t="s">
        <v>16</v>
      </c>
      <c r="D122" s="11">
        <v>0.5</v>
      </c>
      <c r="E122" s="11">
        <v>0.5</v>
      </c>
      <c r="F122" s="11">
        <v>0.5</v>
      </c>
      <c r="G122" s="10">
        <f t="shared" si="24"/>
        <v>0</v>
      </c>
      <c r="H122" s="11">
        <v>0.5</v>
      </c>
      <c r="I122" s="11">
        <v>0.5</v>
      </c>
      <c r="J122" s="11">
        <v>0.5</v>
      </c>
      <c r="K122" s="10">
        <f t="shared" si="25"/>
        <v>0</v>
      </c>
      <c r="L122" s="16">
        <f t="shared" si="30"/>
        <v>0</v>
      </c>
      <c r="M122" s="220"/>
      <c r="N122" s="221"/>
    </row>
    <row r="123" spans="1:14" ht="17.25" customHeight="1">
      <c r="A123" s="18" t="s">
        <v>254</v>
      </c>
      <c r="B123" s="9" t="s">
        <v>115</v>
      </c>
      <c r="C123" s="8" t="s">
        <v>4</v>
      </c>
      <c r="D123" s="10">
        <v>1.1120000000000001</v>
      </c>
      <c r="E123" s="8">
        <v>1.083</v>
      </c>
      <c r="F123" s="8"/>
      <c r="G123" s="10">
        <f t="shared" si="24"/>
        <v>-1.083</v>
      </c>
      <c r="H123" s="10">
        <f>D123+ян!H123</f>
        <v>2.2240000000000002</v>
      </c>
      <c r="I123" s="8">
        <f>E123+ян!I123</f>
        <v>2.1659999999999999</v>
      </c>
      <c r="J123" s="8">
        <f>F123+ян!J123</f>
        <v>0</v>
      </c>
      <c r="K123" s="10">
        <f t="shared" si="25"/>
        <v>-2.1659999999999999</v>
      </c>
      <c r="L123" s="16">
        <f t="shared" si="30"/>
        <v>-100</v>
      </c>
      <c r="M123" s="220"/>
      <c r="N123" s="221"/>
    </row>
    <row r="124" spans="1:14" ht="36" customHeight="1">
      <c r="A124" s="18" t="s">
        <v>255</v>
      </c>
      <c r="B124" s="9" t="s">
        <v>116</v>
      </c>
      <c r="C124" s="8" t="s">
        <v>4</v>
      </c>
      <c r="D124" s="10">
        <v>53.17</v>
      </c>
      <c r="E124" s="8">
        <v>52.167000000000002</v>
      </c>
      <c r="F124" s="62">
        <v>45</v>
      </c>
      <c r="G124" s="10">
        <f t="shared" si="24"/>
        <v>-7.1670000000000016</v>
      </c>
      <c r="H124" s="10">
        <f>D124+ян!H124</f>
        <v>106.34</v>
      </c>
      <c r="I124" s="8">
        <f>E124+ян!I124</f>
        <v>104.334</v>
      </c>
      <c r="J124" s="8">
        <f>F124+ян!J124</f>
        <v>90</v>
      </c>
      <c r="K124" s="10">
        <f t="shared" si="25"/>
        <v>-14.334000000000003</v>
      </c>
      <c r="L124" s="16">
        <f t="shared" si="30"/>
        <v>-13.738570360572776</v>
      </c>
      <c r="M124" s="220"/>
      <c r="N124" s="221"/>
    </row>
    <row r="125" spans="1:14" ht="41.25" customHeight="1">
      <c r="A125" s="18" t="s">
        <v>256</v>
      </c>
      <c r="B125" s="9" t="s">
        <v>117</v>
      </c>
      <c r="C125" s="8" t="s">
        <v>4</v>
      </c>
      <c r="D125" s="10">
        <v>411.35</v>
      </c>
      <c r="E125" s="8">
        <v>411.33300000000003</v>
      </c>
      <c r="F125" s="55">
        <f>247.925+175.663</f>
        <v>423.58800000000002</v>
      </c>
      <c r="G125" s="10">
        <f t="shared" si="24"/>
        <v>12.254999999999995</v>
      </c>
      <c r="H125" s="10">
        <f>D125+ян!H125</f>
        <v>822.7</v>
      </c>
      <c r="I125" s="8">
        <f>E125+ян!I125</f>
        <v>822.66600000000005</v>
      </c>
      <c r="J125" s="8">
        <f>F125+ян!J125</f>
        <v>910.26300000000003</v>
      </c>
      <c r="K125" s="10">
        <f t="shared" si="25"/>
        <v>87.59699999999998</v>
      </c>
      <c r="L125" s="16">
        <f t="shared" si="30"/>
        <v>10.64794217823515</v>
      </c>
      <c r="M125" s="222" t="s">
        <v>294</v>
      </c>
      <c r="N125" s="223"/>
    </row>
    <row r="126" spans="1:14" ht="55.5" customHeight="1">
      <c r="A126" s="18" t="s">
        <v>257</v>
      </c>
      <c r="B126" s="9" t="s">
        <v>118</v>
      </c>
      <c r="C126" s="8" t="s">
        <v>4</v>
      </c>
      <c r="D126" s="10">
        <v>48.704000000000001</v>
      </c>
      <c r="E126" s="8">
        <v>48.667000000000002</v>
      </c>
      <c r="F126" s="54">
        <v>53.1</v>
      </c>
      <c r="G126" s="10">
        <f t="shared" si="24"/>
        <v>4.4329999999999998</v>
      </c>
      <c r="H126" s="10">
        <f>D126+ян!H126</f>
        <v>97.408000000000001</v>
      </c>
      <c r="I126" s="8">
        <f>E126+ян!I126</f>
        <v>97.334000000000003</v>
      </c>
      <c r="J126" s="8">
        <f>F126+ян!J126</f>
        <v>53.1</v>
      </c>
      <c r="K126" s="10">
        <f t="shared" si="25"/>
        <v>-44.234000000000002</v>
      </c>
      <c r="L126" s="16">
        <f t="shared" si="30"/>
        <v>-45.445579139868912</v>
      </c>
      <c r="M126" s="220"/>
      <c r="N126" s="221"/>
    </row>
    <row r="127" spans="1:14" ht="17.25" customHeight="1">
      <c r="A127" s="18" t="s">
        <v>258</v>
      </c>
      <c r="B127" s="9" t="s">
        <v>119</v>
      </c>
      <c r="C127" s="8" t="s">
        <v>4</v>
      </c>
      <c r="D127" s="10">
        <v>38.012999999999998</v>
      </c>
      <c r="E127" s="8">
        <v>38</v>
      </c>
      <c r="F127" s="8"/>
      <c r="G127" s="10">
        <f t="shared" si="24"/>
        <v>-38</v>
      </c>
      <c r="H127" s="10">
        <f>D127+ян!H127</f>
        <v>76.025999999999996</v>
      </c>
      <c r="I127" s="10">
        <f>E127+ян!I127</f>
        <v>76</v>
      </c>
      <c r="J127" s="8">
        <f>F127+ян!J127</f>
        <v>0</v>
      </c>
      <c r="K127" s="10">
        <f t="shared" si="25"/>
        <v>-76</v>
      </c>
      <c r="L127" s="16">
        <f t="shared" si="30"/>
        <v>-100</v>
      </c>
      <c r="M127" s="220"/>
      <c r="N127" s="221"/>
    </row>
    <row r="128" spans="1:14" ht="54" customHeight="1">
      <c r="A128" s="18" t="s">
        <v>259</v>
      </c>
      <c r="B128" s="9" t="s">
        <v>120</v>
      </c>
      <c r="C128" s="8" t="s">
        <v>4</v>
      </c>
      <c r="D128" s="10"/>
      <c r="E128" s="8"/>
      <c r="F128" s="8"/>
      <c r="G128" s="10">
        <f t="shared" si="24"/>
        <v>0</v>
      </c>
      <c r="H128" s="10">
        <f>D128+ян!H128</f>
        <v>0</v>
      </c>
      <c r="I128" s="8">
        <f>E128+ян!I128</f>
        <v>0</v>
      </c>
      <c r="J128" s="8">
        <f>F128+ян!J128</f>
        <v>35.892000000000003</v>
      </c>
      <c r="K128" s="10">
        <f t="shared" si="25"/>
        <v>35.892000000000003</v>
      </c>
      <c r="L128" s="16" t="e">
        <f t="shared" si="30"/>
        <v>#DIV/0!</v>
      </c>
      <c r="M128" s="220"/>
      <c r="N128" s="221"/>
    </row>
    <row r="129" spans="1:14" ht="34.5" hidden="1" customHeight="1">
      <c r="A129" s="18" t="s">
        <v>121</v>
      </c>
      <c r="B129" s="9" t="s">
        <v>218</v>
      </c>
      <c r="C129" s="8" t="s">
        <v>4</v>
      </c>
      <c r="D129" s="10">
        <v>0</v>
      </c>
      <c r="E129" s="8"/>
      <c r="F129" s="8"/>
      <c r="G129" s="10">
        <f t="shared" si="24"/>
        <v>0</v>
      </c>
      <c r="H129" s="10">
        <f>D129+ян!H129</f>
        <v>0</v>
      </c>
      <c r="I129" s="8">
        <f>E129+ян!I129</f>
        <v>0</v>
      </c>
      <c r="J129" s="8">
        <f>F129+ян!J129</f>
        <v>0</v>
      </c>
      <c r="K129" s="10">
        <f t="shared" si="25"/>
        <v>0</v>
      </c>
      <c r="L129" s="16" t="e">
        <f t="shared" si="30"/>
        <v>#DIV/0!</v>
      </c>
      <c r="M129" s="220"/>
      <c r="N129" s="221"/>
    </row>
    <row r="130" spans="1:14" ht="33" customHeight="1">
      <c r="A130" s="18" t="s">
        <v>260</v>
      </c>
      <c r="B130" s="9" t="s">
        <v>263</v>
      </c>
      <c r="C130" s="8" t="s">
        <v>4</v>
      </c>
      <c r="D130" s="10"/>
      <c r="E130" s="8"/>
      <c r="F130" s="8"/>
      <c r="G130" s="10">
        <f t="shared" si="24"/>
        <v>0</v>
      </c>
      <c r="H130" s="10">
        <f>D130+ян!H130</f>
        <v>0</v>
      </c>
      <c r="I130" s="8">
        <f>E130+ян!I130</f>
        <v>0</v>
      </c>
      <c r="J130" s="8">
        <f>F130+ян!J130</f>
        <v>0</v>
      </c>
      <c r="K130" s="10">
        <f t="shared" si="25"/>
        <v>0</v>
      </c>
      <c r="L130" s="16" t="e">
        <f t="shared" si="30"/>
        <v>#DIV/0!</v>
      </c>
      <c r="M130" s="222" t="s">
        <v>288</v>
      </c>
      <c r="N130" s="223"/>
    </row>
    <row r="131" spans="1:14" ht="17.25" customHeight="1">
      <c r="A131" s="18" t="s">
        <v>261</v>
      </c>
      <c r="B131" s="9" t="s">
        <v>122</v>
      </c>
      <c r="C131" s="8" t="s">
        <v>4</v>
      </c>
      <c r="D131" s="10">
        <v>69.783000000000001</v>
      </c>
      <c r="E131" s="8">
        <v>69.75</v>
      </c>
      <c r="F131" s="8"/>
      <c r="G131" s="10">
        <f t="shared" si="24"/>
        <v>-69.75</v>
      </c>
      <c r="H131" s="10">
        <f>D131+ян!H131</f>
        <v>139.566</v>
      </c>
      <c r="I131" s="10">
        <f>E131+ян!I131</f>
        <v>139.5</v>
      </c>
      <c r="J131" s="8">
        <f>F131+ян!J131</f>
        <v>0</v>
      </c>
      <c r="K131" s="10">
        <f t="shared" si="25"/>
        <v>-139.5</v>
      </c>
      <c r="L131" s="16">
        <f t="shared" si="30"/>
        <v>-100</v>
      </c>
      <c r="M131" s="220"/>
      <c r="N131" s="221"/>
    </row>
    <row r="132" spans="1:14" ht="54.75" customHeight="1">
      <c r="A132" s="18" t="s">
        <v>262</v>
      </c>
      <c r="B132" s="9" t="s">
        <v>123</v>
      </c>
      <c r="C132" s="8" t="s">
        <v>4</v>
      </c>
      <c r="D132" s="10"/>
      <c r="E132" s="8"/>
      <c r="F132" s="8"/>
      <c r="G132" s="10">
        <f t="shared" si="24"/>
        <v>0</v>
      </c>
      <c r="H132" s="10">
        <f>D132+ян!H132</f>
        <v>0</v>
      </c>
      <c r="I132" s="8">
        <f>E132+ян!I132</f>
        <v>0</v>
      </c>
      <c r="J132" s="8">
        <f>F132+ян!J132</f>
        <v>0</v>
      </c>
      <c r="K132" s="10">
        <f t="shared" si="25"/>
        <v>0</v>
      </c>
      <c r="L132" s="16"/>
      <c r="M132" s="220"/>
      <c r="N132" s="221"/>
    </row>
    <row r="133" spans="1:14" ht="54" customHeight="1">
      <c r="A133" s="18" t="s">
        <v>264</v>
      </c>
      <c r="B133" s="9" t="s">
        <v>124</v>
      </c>
      <c r="C133" s="8" t="s">
        <v>4</v>
      </c>
      <c r="D133" s="10"/>
      <c r="E133" s="8"/>
      <c r="F133" s="8"/>
      <c r="G133" s="10">
        <f t="shared" si="24"/>
        <v>0</v>
      </c>
      <c r="H133" s="10">
        <f>D133+ян!H133</f>
        <v>0</v>
      </c>
      <c r="I133" s="8">
        <f>E133+ян!I133</f>
        <v>0</v>
      </c>
      <c r="J133" s="8">
        <f>F133+ян!J133</f>
        <v>0</v>
      </c>
      <c r="K133" s="10">
        <f t="shared" si="25"/>
        <v>0</v>
      </c>
      <c r="L133" s="16"/>
      <c r="M133" s="220"/>
      <c r="N133" s="221"/>
    </row>
    <row r="134" spans="1:14" ht="17.25" customHeight="1">
      <c r="A134" s="18" t="s">
        <v>265</v>
      </c>
      <c r="B134" s="26" t="s">
        <v>125</v>
      </c>
      <c r="C134" s="8" t="s">
        <v>4</v>
      </c>
      <c r="D134" s="10">
        <v>6.4749999999999996</v>
      </c>
      <c r="E134" s="8">
        <v>6.5</v>
      </c>
      <c r="F134" s="8"/>
      <c r="G134" s="10">
        <f t="shared" si="24"/>
        <v>-6.5</v>
      </c>
      <c r="H134" s="10">
        <f>D134+ян!H134</f>
        <v>12.95</v>
      </c>
      <c r="I134" s="10">
        <f>E134+ян!I134</f>
        <v>13</v>
      </c>
      <c r="J134" s="8">
        <f>F134+ян!J134</f>
        <v>0</v>
      </c>
      <c r="K134" s="10">
        <f t="shared" si="25"/>
        <v>-13</v>
      </c>
      <c r="L134" s="16">
        <f t="shared" si="30"/>
        <v>-100</v>
      </c>
      <c r="M134" s="220"/>
      <c r="N134" s="221"/>
    </row>
    <row r="135" spans="1:14" ht="17.25" customHeight="1">
      <c r="A135" s="18" t="s">
        <v>266</v>
      </c>
      <c r="B135" s="26" t="s">
        <v>232</v>
      </c>
      <c r="C135" s="8" t="s">
        <v>4</v>
      </c>
      <c r="D135" s="10"/>
      <c r="E135" s="8"/>
      <c r="F135" s="8"/>
      <c r="G135" s="10">
        <f t="shared" si="24"/>
        <v>0</v>
      </c>
      <c r="H135" s="10">
        <f>D135+ян!H135</f>
        <v>0</v>
      </c>
      <c r="I135" s="8">
        <f>E135+ян!I135</f>
        <v>0</v>
      </c>
      <c r="J135" s="8">
        <f>F135+ян!J135</f>
        <v>0</v>
      </c>
      <c r="K135" s="10">
        <f t="shared" si="25"/>
        <v>0</v>
      </c>
      <c r="L135" s="16"/>
      <c r="M135" s="220"/>
      <c r="N135" s="221"/>
    </row>
    <row r="136" spans="1:14" ht="55.5" customHeight="1">
      <c r="A136" s="18"/>
      <c r="B136" s="26" t="s">
        <v>311</v>
      </c>
      <c r="C136" s="8" t="s">
        <v>4</v>
      </c>
      <c r="D136" s="10"/>
      <c r="E136" s="8">
        <v>79.167000000000002</v>
      </c>
      <c r="F136" s="54">
        <v>79.17</v>
      </c>
      <c r="G136" s="10">
        <f t="shared" si="24"/>
        <v>3.0000000000001137E-3</v>
      </c>
      <c r="H136" s="10">
        <f>D136+ян!H136</f>
        <v>0</v>
      </c>
      <c r="I136" s="8">
        <f>E136+ян!I136</f>
        <v>158.334</v>
      </c>
      <c r="J136" s="8">
        <f>F136+ян!J136</f>
        <v>158.34</v>
      </c>
      <c r="K136" s="10">
        <f t="shared" si="25"/>
        <v>6.0000000000002274E-3</v>
      </c>
      <c r="L136" s="16">
        <f t="shared" si="30"/>
        <v>3.789457728599181E-3</v>
      </c>
      <c r="M136" s="45"/>
      <c r="N136" s="46"/>
    </row>
    <row r="137" spans="1:14" ht="55.5" customHeight="1">
      <c r="A137" s="18"/>
      <c r="B137" s="26" t="s">
        <v>312</v>
      </c>
      <c r="C137" s="8" t="s">
        <v>4</v>
      </c>
      <c r="D137" s="10"/>
      <c r="E137" s="8">
        <v>83.332999999999998</v>
      </c>
      <c r="F137" s="8"/>
      <c r="G137" s="10">
        <f t="shared" si="24"/>
        <v>-83.332999999999998</v>
      </c>
      <c r="H137" s="10">
        <f>D137+ян!H137</f>
        <v>0</v>
      </c>
      <c r="I137" s="8">
        <f>E137+ян!I137</f>
        <v>166.666</v>
      </c>
      <c r="J137" s="8">
        <f>F137+ян!J137</f>
        <v>0</v>
      </c>
      <c r="K137" s="10">
        <f t="shared" si="25"/>
        <v>-166.666</v>
      </c>
      <c r="L137" s="16">
        <f t="shared" si="30"/>
        <v>-100</v>
      </c>
      <c r="M137" s="45"/>
      <c r="N137" s="46"/>
    </row>
    <row r="138" spans="1:14" ht="17.25" customHeight="1">
      <c r="A138" s="47" t="s">
        <v>126</v>
      </c>
      <c r="B138" s="6" t="s">
        <v>127</v>
      </c>
      <c r="C138" s="8" t="s">
        <v>4</v>
      </c>
      <c r="D138" s="7">
        <f t="shared" ref="D138:J138" si="42">D139</f>
        <v>3385.116</v>
      </c>
      <c r="E138" s="7">
        <f t="shared" si="42"/>
        <v>2989.2490000000003</v>
      </c>
      <c r="F138" s="7">
        <f t="shared" si="42"/>
        <v>2310.3860000000009</v>
      </c>
      <c r="G138" s="10">
        <f t="shared" si="24"/>
        <v>-678.86299999999937</v>
      </c>
      <c r="H138" s="7">
        <f t="shared" si="42"/>
        <v>6770.232</v>
      </c>
      <c r="I138" s="7">
        <f t="shared" si="42"/>
        <v>5978.4980000000005</v>
      </c>
      <c r="J138" s="7">
        <f t="shared" si="42"/>
        <v>4346.1559999999999</v>
      </c>
      <c r="K138" s="10">
        <f t="shared" si="25"/>
        <v>-1632.3420000000006</v>
      </c>
      <c r="L138" s="16">
        <f t="shared" si="30"/>
        <v>-27.30354681058688</v>
      </c>
      <c r="M138" s="220"/>
      <c r="N138" s="221"/>
    </row>
    <row r="139" spans="1:14" ht="17.25" customHeight="1">
      <c r="A139" s="47">
        <v>6</v>
      </c>
      <c r="B139" s="6" t="s">
        <v>128</v>
      </c>
      <c r="C139" s="47" t="s">
        <v>4</v>
      </c>
      <c r="D139" s="7">
        <f>D140+D145+D146+D147+D148+D149+D150+D151+D154+D156+D172+D176+D177+D179+D184+D183+D188</f>
        <v>3385.116</v>
      </c>
      <c r="E139" s="7">
        <f t="shared" ref="E139:F139" si="43">E140+E145+E146+E147+E148+E149+E150+E151+E154+E156+E172+E176+E177+E179+E184+E183+E188</f>
        <v>2989.2490000000003</v>
      </c>
      <c r="F139" s="7">
        <f t="shared" si="43"/>
        <v>2310.3860000000009</v>
      </c>
      <c r="G139" s="10">
        <f>F139-E139</f>
        <v>-678.86299999999937</v>
      </c>
      <c r="H139" s="7">
        <f t="shared" ref="H139" si="44">H140+H145+H146+H147+H148+H149+H150+H151+H154+H156+H172+H176+H177+H179+H184+H183+H188</f>
        <v>6770.232</v>
      </c>
      <c r="I139" s="7">
        <f t="shared" ref="I139" si="45">I140+I145+I146+I147+I148+I149+I150+I151+I154+I156+I172+I176+I177+I179+I184+I183+I188</f>
        <v>5978.4980000000005</v>
      </c>
      <c r="J139" s="7">
        <f t="shared" ref="J139" si="46">J140+J145+J146+J147+J148+J149+J150+J151+J154+J156+J172+J176+J177+J179+J184+J183+J188</f>
        <v>4346.1559999999999</v>
      </c>
      <c r="K139" s="10">
        <f t="shared" si="25"/>
        <v>-1632.3420000000006</v>
      </c>
      <c r="L139" s="16">
        <f t="shared" si="30"/>
        <v>-27.30354681058688</v>
      </c>
      <c r="M139" s="220"/>
      <c r="N139" s="221"/>
    </row>
    <row r="140" spans="1:14" ht="17.25" customHeight="1">
      <c r="A140" s="47" t="s">
        <v>129</v>
      </c>
      <c r="B140" s="6" t="s">
        <v>130</v>
      </c>
      <c r="C140" s="47" t="s">
        <v>4</v>
      </c>
      <c r="D140" s="7">
        <f t="shared" ref="D140:F140" si="47">D141+D142</f>
        <v>97.608999999999995</v>
      </c>
      <c r="E140" s="7">
        <f t="shared" si="47"/>
        <v>97.582999999999998</v>
      </c>
      <c r="F140" s="7">
        <f t="shared" si="47"/>
        <v>42.51</v>
      </c>
      <c r="G140" s="10">
        <f t="shared" ref="G140:G204" si="48">F140-E140</f>
        <v>-55.073</v>
      </c>
      <c r="H140" s="7">
        <f t="shared" ref="H140:J140" si="49">H141+H142</f>
        <v>195.21799999999999</v>
      </c>
      <c r="I140" s="7">
        <f t="shared" si="49"/>
        <v>195.166</v>
      </c>
      <c r="J140" s="7">
        <f t="shared" si="49"/>
        <v>210.06799999999998</v>
      </c>
      <c r="K140" s="10">
        <f t="shared" ref="K140:K204" si="50">J140-I140</f>
        <v>14.901999999999987</v>
      </c>
      <c r="L140" s="16">
        <f t="shared" si="30"/>
        <v>7.6355512742998206</v>
      </c>
      <c r="M140" s="220"/>
      <c r="N140" s="221"/>
    </row>
    <row r="141" spans="1:14" ht="37.5">
      <c r="A141" s="8" t="s">
        <v>131</v>
      </c>
      <c r="B141" s="9" t="s">
        <v>132</v>
      </c>
      <c r="C141" s="8" t="s">
        <v>4</v>
      </c>
      <c r="D141" s="10">
        <v>42.552999999999997</v>
      </c>
      <c r="E141" s="10">
        <v>42.5</v>
      </c>
      <c r="F141" s="87">
        <v>42.51</v>
      </c>
      <c r="G141" s="10">
        <f t="shared" si="48"/>
        <v>9.9999999999980105E-3</v>
      </c>
      <c r="H141" s="10">
        <f>D141+ян!H141</f>
        <v>85.105999999999995</v>
      </c>
      <c r="I141" s="10">
        <f>E141+ян!I141</f>
        <v>85</v>
      </c>
      <c r="J141" s="8">
        <f>F141+ян!J141</f>
        <v>85.02</v>
      </c>
      <c r="K141" s="10">
        <f t="shared" si="50"/>
        <v>1.9999999999996021E-2</v>
      </c>
      <c r="L141" s="16">
        <f t="shared" si="30"/>
        <v>2.3529411764701202E-2</v>
      </c>
      <c r="M141" s="220"/>
      <c r="N141" s="221"/>
    </row>
    <row r="142" spans="1:14" ht="17.25" customHeight="1">
      <c r="A142" s="8" t="s">
        <v>133</v>
      </c>
      <c r="B142" s="9" t="s">
        <v>63</v>
      </c>
      <c r="C142" s="8" t="s">
        <v>4</v>
      </c>
      <c r="D142" s="10">
        <v>55.055999999999997</v>
      </c>
      <c r="E142" s="8">
        <v>55.082999999999998</v>
      </c>
      <c r="F142" s="8"/>
      <c r="G142" s="10">
        <f t="shared" si="48"/>
        <v>-55.082999999999998</v>
      </c>
      <c r="H142" s="10">
        <f>D142+ян!H142</f>
        <v>110.11199999999999</v>
      </c>
      <c r="I142" s="8">
        <f>E142+ян!I142</f>
        <v>110.166</v>
      </c>
      <c r="J142" s="8">
        <f>F142+ян!J142</f>
        <v>125.048</v>
      </c>
      <c r="K142" s="10">
        <f t="shared" si="50"/>
        <v>14.882000000000005</v>
      </c>
      <c r="L142" s="16">
        <f t="shared" si="30"/>
        <v>13.508705045113741</v>
      </c>
      <c r="M142" s="220"/>
      <c r="N142" s="221"/>
    </row>
    <row r="143" spans="1:14" ht="17.25" customHeight="1">
      <c r="A143" s="8"/>
      <c r="B143" s="12" t="s">
        <v>68</v>
      </c>
      <c r="C143" s="22" t="s">
        <v>66</v>
      </c>
      <c r="D143" s="14">
        <v>2816.6669999999999</v>
      </c>
      <c r="E143" s="59">
        <v>2817</v>
      </c>
      <c r="F143" s="59"/>
      <c r="G143" s="10">
        <f t="shared" si="48"/>
        <v>-2817</v>
      </c>
      <c r="H143" s="10">
        <f>D143+ян!H143</f>
        <v>5633.3339999999998</v>
      </c>
      <c r="I143" s="59"/>
      <c r="J143" s="8">
        <f>F143+ян!J143</f>
        <v>0</v>
      </c>
      <c r="K143" s="10">
        <f t="shared" si="50"/>
        <v>0</v>
      </c>
      <c r="L143" s="16"/>
      <c r="M143" s="220"/>
      <c r="N143" s="221"/>
    </row>
    <row r="144" spans="1:14" ht="17.25" customHeight="1">
      <c r="A144" s="8"/>
      <c r="B144" s="12" t="s">
        <v>15</v>
      </c>
      <c r="C144" s="13" t="s">
        <v>16</v>
      </c>
      <c r="D144" s="16">
        <f t="shared" ref="D144:F144" si="51">D142/D143*1000</f>
        <v>19.546506562543602</v>
      </c>
      <c r="E144" s="16">
        <f t="shared" si="51"/>
        <v>19.553780617678381</v>
      </c>
      <c r="F144" s="16" t="e">
        <f t="shared" si="51"/>
        <v>#DIV/0!</v>
      </c>
      <c r="G144" s="10" t="e">
        <f t="shared" si="48"/>
        <v>#DIV/0!</v>
      </c>
      <c r="H144" s="16">
        <f t="shared" ref="H144" si="52">H142/H143*1000</f>
        <v>19.546506562543602</v>
      </c>
      <c r="I144" s="8"/>
      <c r="J144" s="13"/>
      <c r="K144" s="10">
        <f t="shared" si="50"/>
        <v>0</v>
      </c>
      <c r="L144" s="16"/>
      <c r="M144" s="220"/>
      <c r="N144" s="221"/>
    </row>
    <row r="145" spans="1:14" ht="32.25" customHeight="1">
      <c r="A145" s="8" t="s">
        <v>134</v>
      </c>
      <c r="B145" s="9" t="s">
        <v>135</v>
      </c>
      <c r="C145" s="8" t="s">
        <v>4</v>
      </c>
      <c r="D145" s="10">
        <v>1914.3579999999999</v>
      </c>
      <c r="E145" s="8">
        <v>1416.4169999999999</v>
      </c>
      <c r="F145" s="87">
        <f>1437.594-F149</f>
        <v>1300.1220000000001</v>
      </c>
      <c r="G145" s="10">
        <f t="shared" si="48"/>
        <v>-116.29499999999985</v>
      </c>
      <c r="H145" s="10">
        <f>D145+ян!H145</f>
        <v>3828.7159999999999</v>
      </c>
      <c r="I145" s="8">
        <f>E145+ян!I145</f>
        <v>2832.8339999999998</v>
      </c>
      <c r="J145" s="8">
        <f>F145+ян!J145</f>
        <v>2254.172</v>
      </c>
      <c r="K145" s="10">
        <f t="shared" si="50"/>
        <v>-578.66199999999981</v>
      </c>
      <c r="L145" s="16">
        <f t="shared" si="30"/>
        <v>-20.426964658006781</v>
      </c>
      <c r="M145" s="227"/>
      <c r="N145" s="228"/>
    </row>
    <row r="146" spans="1:14" ht="17.25" customHeight="1">
      <c r="A146" s="8" t="s">
        <v>136</v>
      </c>
      <c r="B146" s="9" t="s">
        <v>77</v>
      </c>
      <c r="C146" s="8" t="s">
        <v>4</v>
      </c>
      <c r="D146" s="10">
        <v>105.29</v>
      </c>
      <c r="E146" s="10">
        <v>76.5</v>
      </c>
      <c r="F146" s="86">
        <v>83.793000000000006</v>
      </c>
      <c r="G146" s="10">
        <f t="shared" si="48"/>
        <v>7.2930000000000064</v>
      </c>
      <c r="H146" s="10">
        <f>D146+ян!H146</f>
        <v>210.58</v>
      </c>
      <c r="I146" s="10">
        <f>E146+ян!I146</f>
        <v>153</v>
      </c>
      <c r="J146" s="8">
        <f>F146+ян!J146</f>
        <v>143.244</v>
      </c>
      <c r="K146" s="10">
        <f t="shared" si="50"/>
        <v>-9.7560000000000002</v>
      </c>
      <c r="L146" s="16">
        <f t="shared" si="30"/>
        <v>-6.3764705882352946</v>
      </c>
      <c r="M146" s="227"/>
      <c r="N146" s="228"/>
    </row>
    <row r="147" spans="1:14" ht="17.25" customHeight="1">
      <c r="A147" s="8"/>
      <c r="B147" s="9" t="s">
        <v>307</v>
      </c>
      <c r="C147" s="8" t="s">
        <v>4</v>
      </c>
      <c r="D147" s="10">
        <v>84.231999999999999</v>
      </c>
      <c r="E147" s="10">
        <v>63.75</v>
      </c>
      <c r="F147" s="87">
        <v>40.97</v>
      </c>
      <c r="G147" s="10">
        <f t="shared" si="48"/>
        <v>-22.78</v>
      </c>
      <c r="H147" s="10">
        <f>D147+ян!H147</f>
        <v>168.464</v>
      </c>
      <c r="I147" s="10">
        <f>E147+ян!I147</f>
        <v>127.5</v>
      </c>
      <c r="J147" s="8">
        <f>F147+ян!J147</f>
        <v>67.896999999999991</v>
      </c>
      <c r="K147" s="10">
        <f t="shared" si="50"/>
        <v>-59.603000000000009</v>
      </c>
      <c r="L147" s="16">
        <f t="shared" si="30"/>
        <v>-46.747450980392166</v>
      </c>
      <c r="M147" s="49"/>
      <c r="N147" s="50"/>
    </row>
    <row r="148" spans="1:14" ht="17.25" customHeight="1">
      <c r="A148" s="8"/>
      <c r="B148" s="9" t="s">
        <v>310</v>
      </c>
      <c r="C148" s="8" t="s">
        <v>4</v>
      </c>
      <c r="D148" s="10"/>
      <c r="E148" s="10">
        <v>21.25</v>
      </c>
      <c r="F148" s="86">
        <v>17.035</v>
      </c>
      <c r="G148" s="10">
        <f t="shared" si="48"/>
        <v>-4.2149999999999999</v>
      </c>
      <c r="H148" s="10">
        <f>D148+ян!H148</f>
        <v>0</v>
      </c>
      <c r="I148" s="10">
        <f>E148+ян!I148</f>
        <v>42.5</v>
      </c>
      <c r="J148" s="8">
        <f>F148+ян!J148</f>
        <v>29.788</v>
      </c>
      <c r="K148" s="10">
        <f t="shared" si="50"/>
        <v>-12.712</v>
      </c>
      <c r="L148" s="16">
        <f t="shared" si="30"/>
        <v>-29.910588235294117</v>
      </c>
      <c r="M148" s="49"/>
      <c r="N148" s="50"/>
    </row>
    <row r="149" spans="1:14" ht="17.25" customHeight="1">
      <c r="A149" s="8"/>
      <c r="B149" s="9" t="s">
        <v>315</v>
      </c>
      <c r="C149" s="8" t="s">
        <v>4</v>
      </c>
      <c r="D149" s="10"/>
      <c r="E149" s="10"/>
      <c r="F149" s="54">
        <v>137.47200000000001</v>
      </c>
      <c r="G149" s="10">
        <f t="shared" si="48"/>
        <v>137.47200000000001</v>
      </c>
      <c r="H149" s="10">
        <f>D149+ян!H149</f>
        <v>0</v>
      </c>
      <c r="I149" s="8">
        <f>E149+ян!I149</f>
        <v>0</v>
      </c>
      <c r="J149" s="8">
        <f>F149+ян!J149</f>
        <v>173.54700000000003</v>
      </c>
      <c r="K149" s="10"/>
      <c r="L149" s="16"/>
      <c r="M149" s="52"/>
      <c r="N149" s="53"/>
    </row>
    <row r="150" spans="1:14" ht="17.25" customHeight="1">
      <c r="A150" s="8" t="s">
        <v>137</v>
      </c>
      <c r="B150" s="9" t="s">
        <v>138</v>
      </c>
      <c r="C150" s="8" t="s">
        <v>4</v>
      </c>
      <c r="D150" s="10">
        <v>77.58</v>
      </c>
      <c r="E150" s="8">
        <v>77.582999999999998</v>
      </c>
      <c r="F150" s="86">
        <f>66.779+1.964</f>
        <v>68.742999999999995</v>
      </c>
      <c r="G150" s="10">
        <f t="shared" si="48"/>
        <v>-8.8400000000000034</v>
      </c>
      <c r="H150" s="10">
        <f>D150+ян!H150</f>
        <v>155.16</v>
      </c>
      <c r="I150" s="8">
        <f>E150+ян!I150</f>
        <v>155.166</v>
      </c>
      <c r="J150" s="8">
        <f>F150+ян!J150</f>
        <v>340.59199999999998</v>
      </c>
      <c r="K150" s="10">
        <f t="shared" si="50"/>
        <v>185.42599999999999</v>
      </c>
      <c r="L150" s="16">
        <f t="shared" si="30"/>
        <v>119.50169495894718</v>
      </c>
      <c r="M150" s="227" t="s">
        <v>301</v>
      </c>
      <c r="N150" s="228"/>
    </row>
    <row r="151" spans="1:14" ht="17.25" customHeight="1">
      <c r="A151" s="47" t="s">
        <v>139</v>
      </c>
      <c r="B151" s="6" t="s">
        <v>140</v>
      </c>
      <c r="C151" s="47" t="s">
        <v>4</v>
      </c>
      <c r="D151" s="7">
        <f t="shared" ref="D151:F151" si="53">D152+D153</f>
        <v>239.149</v>
      </c>
      <c r="E151" s="47">
        <v>47.832999999999998</v>
      </c>
      <c r="F151" s="7">
        <f t="shared" si="53"/>
        <v>44.481999999999999</v>
      </c>
      <c r="G151" s="10">
        <f t="shared" si="48"/>
        <v>-3.3509999999999991</v>
      </c>
      <c r="H151" s="7">
        <f t="shared" ref="H151" si="54">H152+H153</f>
        <v>478.298</v>
      </c>
      <c r="I151" s="8">
        <f>E151+ян!I151</f>
        <v>95.665999999999997</v>
      </c>
      <c r="J151" s="7">
        <f t="shared" ref="J151" si="55">J152+J153</f>
        <v>88.965000000000003</v>
      </c>
      <c r="K151" s="10">
        <f t="shared" si="50"/>
        <v>-6.7009999999999934</v>
      </c>
      <c r="L151" s="16">
        <f t="shared" si="30"/>
        <v>-7.0045784291179665</v>
      </c>
      <c r="M151" s="220"/>
      <c r="N151" s="221"/>
    </row>
    <row r="152" spans="1:14" ht="17.25" customHeight="1">
      <c r="A152" s="8" t="s">
        <v>141</v>
      </c>
      <c r="B152" s="9" t="s">
        <v>81</v>
      </c>
      <c r="C152" s="8" t="s">
        <v>4</v>
      </c>
      <c r="D152" s="10">
        <v>8.7579999999999991</v>
      </c>
      <c r="E152" s="8"/>
      <c r="F152" s="86">
        <v>32.506999999999998</v>
      </c>
      <c r="G152" s="10">
        <f t="shared" si="48"/>
        <v>32.506999999999998</v>
      </c>
      <c r="H152" s="10">
        <f>D152+ян!H152</f>
        <v>17.515999999999998</v>
      </c>
      <c r="I152" s="8"/>
      <c r="J152" s="8">
        <f>F152+ян!J152</f>
        <v>65.015000000000001</v>
      </c>
      <c r="K152" s="10">
        <f t="shared" si="50"/>
        <v>65.015000000000001</v>
      </c>
      <c r="L152" s="16"/>
      <c r="M152" s="220"/>
      <c r="N152" s="221"/>
    </row>
    <row r="153" spans="1:14" ht="17.25" customHeight="1">
      <c r="A153" s="8" t="s">
        <v>142</v>
      </c>
      <c r="B153" s="9" t="s">
        <v>143</v>
      </c>
      <c r="C153" s="8"/>
      <c r="D153" s="10">
        <v>230.39099999999999</v>
      </c>
      <c r="E153" s="8"/>
      <c r="F153" s="86">
        <v>11.975</v>
      </c>
      <c r="G153" s="10">
        <f t="shared" si="48"/>
        <v>11.975</v>
      </c>
      <c r="H153" s="10">
        <f>D153+ян!H153</f>
        <v>460.78199999999998</v>
      </c>
      <c r="I153" s="8"/>
      <c r="J153" s="8">
        <f>F153+ян!J153</f>
        <v>23.95</v>
      </c>
      <c r="K153" s="10">
        <f t="shared" si="50"/>
        <v>23.95</v>
      </c>
      <c r="L153" s="16"/>
      <c r="M153" s="220"/>
      <c r="N153" s="221"/>
    </row>
    <row r="154" spans="1:14" ht="75.75" customHeight="1">
      <c r="A154" s="47" t="s">
        <v>144</v>
      </c>
      <c r="B154" s="6" t="s">
        <v>145</v>
      </c>
      <c r="C154" s="47" t="s">
        <v>4</v>
      </c>
      <c r="D154" s="7">
        <f t="shared" ref="D154:J154" si="56">D155</f>
        <v>13.856</v>
      </c>
      <c r="E154" s="7">
        <f t="shared" si="56"/>
        <v>13.833</v>
      </c>
      <c r="F154" s="7">
        <f t="shared" si="56"/>
        <v>24.552999999999997</v>
      </c>
      <c r="G154" s="10">
        <f t="shared" si="48"/>
        <v>10.719999999999997</v>
      </c>
      <c r="H154" s="7">
        <f t="shared" si="56"/>
        <v>27.712</v>
      </c>
      <c r="I154" s="7">
        <f t="shared" si="56"/>
        <v>27.666</v>
      </c>
      <c r="J154" s="7">
        <f t="shared" si="56"/>
        <v>53.302999999999997</v>
      </c>
      <c r="K154" s="10">
        <f t="shared" si="50"/>
        <v>25.636999999999997</v>
      </c>
      <c r="L154" s="16">
        <f t="shared" ref="L154:L203" si="57">K154/I154*100</f>
        <v>92.666088339478051</v>
      </c>
      <c r="M154" s="220"/>
      <c r="N154" s="221"/>
    </row>
    <row r="155" spans="1:14" ht="17.25" customHeight="1">
      <c r="A155" s="8" t="s">
        <v>146</v>
      </c>
      <c r="B155" s="9" t="s">
        <v>147</v>
      </c>
      <c r="C155" s="8" t="s">
        <v>4</v>
      </c>
      <c r="D155" s="10">
        <v>13.856</v>
      </c>
      <c r="E155" s="8">
        <v>13.833</v>
      </c>
      <c r="F155" s="86">
        <f>6.929+17.624</f>
        <v>24.552999999999997</v>
      </c>
      <c r="G155" s="10">
        <f t="shared" si="48"/>
        <v>10.719999999999997</v>
      </c>
      <c r="H155" s="10">
        <f>D155+ян!H155</f>
        <v>27.712</v>
      </c>
      <c r="I155" s="8">
        <f>E155+ян!I155</f>
        <v>27.666</v>
      </c>
      <c r="J155" s="8">
        <f>F155+ян!J155</f>
        <v>53.302999999999997</v>
      </c>
      <c r="K155" s="10">
        <f t="shared" si="50"/>
        <v>25.636999999999997</v>
      </c>
      <c r="L155" s="16">
        <f t="shared" si="57"/>
        <v>92.666088339478051</v>
      </c>
      <c r="M155" s="220"/>
      <c r="N155" s="221"/>
    </row>
    <row r="156" spans="1:14" ht="18" customHeight="1">
      <c r="A156" s="47" t="s">
        <v>148</v>
      </c>
      <c r="B156" s="6" t="s">
        <v>149</v>
      </c>
      <c r="C156" s="47" t="s">
        <v>4</v>
      </c>
      <c r="D156" s="27">
        <f t="shared" ref="D156" si="58">D157+D160+D163+D166+D169</f>
        <v>71.188999999999993</v>
      </c>
      <c r="E156" s="47">
        <v>72.417000000000002</v>
      </c>
      <c r="F156" s="27">
        <f>F157+F160+F163+F166+F169</f>
        <v>143.89200000000002</v>
      </c>
      <c r="G156" s="10">
        <f t="shared" si="48"/>
        <v>71.475000000000023</v>
      </c>
      <c r="H156" s="27">
        <f t="shared" ref="H156" si="59">H157+H160+H163+H166+H169</f>
        <v>142.37799999999999</v>
      </c>
      <c r="I156" s="8">
        <f>E156+ян!I156</f>
        <v>144.834</v>
      </c>
      <c r="J156" s="27">
        <f>J157+J160+J163+J166+J169</f>
        <v>297.97399999999999</v>
      </c>
      <c r="K156" s="10">
        <f t="shared" si="50"/>
        <v>153.13999999999999</v>
      </c>
      <c r="L156" s="16">
        <f t="shared" si="57"/>
        <v>105.73484126655342</v>
      </c>
      <c r="M156" s="220"/>
      <c r="N156" s="221"/>
    </row>
    <row r="157" spans="1:14" ht="17.25" customHeight="1">
      <c r="A157" s="8" t="s">
        <v>150</v>
      </c>
      <c r="B157" s="9" t="s">
        <v>151</v>
      </c>
      <c r="C157" s="8" t="s">
        <v>4</v>
      </c>
      <c r="D157" s="10">
        <v>49.027999999999999</v>
      </c>
      <c r="E157" s="8"/>
      <c r="F157" s="86">
        <v>137.81700000000001</v>
      </c>
      <c r="G157" s="10">
        <f t="shared" si="48"/>
        <v>137.81700000000001</v>
      </c>
      <c r="H157" s="10">
        <f>D157+ян!H157</f>
        <v>98.055999999999997</v>
      </c>
      <c r="I157" s="8"/>
      <c r="J157" s="8">
        <f>F157+ян!J157</f>
        <v>281.06700000000001</v>
      </c>
      <c r="K157" s="10">
        <f t="shared" si="50"/>
        <v>281.06700000000001</v>
      </c>
      <c r="L157" s="16"/>
      <c r="M157" s="220"/>
      <c r="N157" s="221"/>
    </row>
    <row r="158" spans="1:14" ht="17.25" customHeight="1">
      <c r="A158" s="8"/>
      <c r="B158" s="28" t="s">
        <v>13</v>
      </c>
      <c r="C158" s="8" t="s">
        <v>152</v>
      </c>
      <c r="D158" s="10">
        <v>13.144</v>
      </c>
      <c r="E158" s="8"/>
      <c r="F158" s="8">
        <v>29.43</v>
      </c>
      <c r="G158" s="10">
        <f t="shared" si="48"/>
        <v>29.43</v>
      </c>
      <c r="H158" s="10">
        <f>D158+ян!H158</f>
        <v>26.288</v>
      </c>
      <c r="I158" s="8"/>
      <c r="J158" s="8">
        <f>F158+ян!J158</f>
        <v>60.019999999999996</v>
      </c>
      <c r="K158" s="10">
        <f t="shared" si="50"/>
        <v>60.019999999999996</v>
      </c>
      <c r="L158" s="16"/>
      <c r="M158" s="227" t="s">
        <v>302</v>
      </c>
      <c r="N158" s="228"/>
    </row>
    <row r="159" spans="1:14" ht="17.25" customHeight="1">
      <c r="A159" s="8"/>
      <c r="B159" s="28" t="s">
        <v>15</v>
      </c>
      <c r="C159" s="8" t="s">
        <v>16</v>
      </c>
      <c r="D159" s="16">
        <v>3729.99</v>
      </c>
      <c r="E159" s="8"/>
      <c r="F159" s="8"/>
      <c r="G159" s="10">
        <f t="shared" si="48"/>
        <v>0</v>
      </c>
      <c r="H159" s="16">
        <v>3729.99</v>
      </c>
      <c r="I159" s="8"/>
      <c r="J159" s="8"/>
      <c r="K159" s="10">
        <f t="shared" si="50"/>
        <v>0</v>
      </c>
      <c r="L159" s="16"/>
      <c r="M159" s="220"/>
      <c r="N159" s="221"/>
    </row>
    <row r="160" spans="1:14" ht="17.25" customHeight="1">
      <c r="A160" s="8" t="s">
        <v>153</v>
      </c>
      <c r="B160" s="9" t="s">
        <v>154</v>
      </c>
      <c r="C160" s="8" t="s">
        <v>4</v>
      </c>
      <c r="D160" s="10">
        <v>0.92300000000000004</v>
      </c>
      <c r="E160" s="8"/>
      <c r="F160" s="8"/>
      <c r="G160" s="10">
        <f t="shared" si="48"/>
        <v>0</v>
      </c>
      <c r="H160" s="10">
        <f>D160+ян!H160</f>
        <v>1.8460000000000001</v>
      </c>
      <c r="I160" s="8"/>
      <c r="J160" s="8">
        <f>F160+ян!J160</f>
        <v>0</v>
      </c>
      <c r="K160" s="10">
        <f t="shared" si="50"/>
        <v>0</v>
      </c>
      <c r="L160" s="16"/>
      <c r="M160" s="220"/>
      <c r="N160" s="221"/>
    </row>
    <row r="161" spans="1:14" ht="17.25" customHeight="1">
      <c r="A161" s="8"/>
      <c r="B161" s="28" t="s">
        <v>13</v>
      </c>
      <c r="C161" s="8" t="s">
        <v>155</v>
      </c>
      <c r="D161" s="10">
        <v>0.75</v>
      </c>
      <c r="E161" s="8"/>
      <c r="F161" s="8"/>
      <c r="G161" s="10">
        <f t="shared" si="48"/>
        <v>0</v>
      </c>
      <c r="H161" s="10">
        <f>D161+ян!H161</f>
        <v>1.5</v>
      </c>
      <c r="I161" s="8"/>
      <c r="J161" s="8">
        <f>F161+ян!J161</f>
        <v>0</v>
      </c>
      <c r="K161" s="10">
        <f t="shared" si="50"/>
        <v>0</v>
      </c>
      <c r="L161" s="16"/>
      <c r="M161" s="220"/>
      <c r="N161" s="221"/>
    </row>
    <row r="162" spans="1:14" ht="17.25" customHeight="1">
      <c r="A162" s="8"/>
      <c r="B162" s="28" t="s">
        <v>15</v>
      </c>
      <c r="C162" s="8" t="s">
        <v>16</v>
      </c>
      <c r="D162" s="16">
        <f>D160/D161*1000</f>
        <v>1230.6666666666667</v>
      </c>
      <c r="E162" s="8"/>
      <c r="F162" s="8"/>
      <c r="G162" s="10">
        <f t="shared" si="48"/>
        <v>0</v>
      </c>
      <c r="H162" s="16">
        <f>H160/H161*1000</f>
        <v>1230.6666666666667</v>
      </c>
      <c r="I162" s="8"/>
      <c r="J162" s="8"/>
      <c r="K162" s="10">
        <f t="shared" si="50"/>
        <v>0</v>
      </c>
      <c r="L162" s="16"/>
      <c r="M162" s="220"/>
      <c r="N162" s="221"/>
    </row>
    <row r="163" spans="1:14" ht="17.25" customHeight="1">
      <c r="A163" s="8" t="s">
        <v>156</v>
      </c>
      <c r="B163" s="9" t="s">
        <v>157</v>
      </c>
      <c r="C163" s="8" t="s">
        <v>4</v>
      </c>
      <c r="D163" s="10">
        <v>2.1800000000000002</v>
      </c>
      <c r="E163" s="8"/>
      <c r="F163" s="86">
        <v>3.9369999999999998</v>
      </c>
      <c r="G163" s="10">
        <f t="shared" si="48"/>
        <v>3.9369999999999998</v>
      </c>
      <c r="H163" s="10">
        <f>D163+ян!H163</f>
        <v>4.3600000000000003</v>
      </c>
      <c r="I163" s="8"/>
      <c r="J163" s="8">
        <f>F163+ян!J163</f>
        <v>10.965999999999999</v>
      </c>
      <c r="K163" s="10">
        <f t="shared" si="50"/>
        <v>10.965999999999999</v>
      </c>
      <c r="L163" s="16"/>
      <c r="M163" s="220"/>
      <c r="N163" s="221"/>
    </row>
    <row r="164" spans="1:14" ht="17.25" customHeight="1">
      <c r="A164" s="8"/>
      <c r="B164" s="28" t="s">
        <v>13</v>
      </c>
      <c r="C164" s="8" t="s">
        <v>155</v>
      </c>
      <c r="D164" s="14">
        <v>20</v>
      </c>
      <c r="E164" s="8"/>
      <c r="F164" s="8">
        <v>30</v>
      </c>
      <c r="G164" s="10">
        <f t="shared" si="48"/>
        <v>30</v>
      </c>
      <c r="H164" s="10">
        <f>D164+ян!H164</f>
        <v>40</v>
      </c>
      <c r="I164" s="8"/>
      <c r="J164" s="8">
        <f>F164+ян!J164</f>
        <v>85</v>
      </c>
      <c r="K164" s="10">
        <f t="shared" si="50"/>
        <v>85</v>
      </c>
      <c r="L164" s="16"/>
      <c r="M164" s="220"/>
      <c r="N164" s="221"/>
    </row>
    <row r="165" spans="1:14" ht="17.25" customHeight="1">
      <c r="A165" s="8"/>
      <c r="B165" s="28" t="s">
        <v>15</v>
      </c>
      <c r="C165" s="8" t="s">
        <v>16</v>
      </c>
      <c r="D165" s="16">
        <f>D163/D164*1000</f>
        <v>109.00000000000001</v>
      </c>
      <c r="E165" s="16"/>
      <c r="F165" s="16">
        <f t="shared" ref="F165" si="60">F163/F164*1000</f>
        <v>131.23333333333335</v>
      </c>
      <c r="G165" s="10">
        <f t="shared" si="48"/>
        <v>131.23333333333335</v>
      </c>
      <c r="H165" s="16">
        <f>H163/H164*1000</f>
        <v>109.00000000000001</v>
      </c>
      <c r="I165" s="8"/>
      <c r="J165" s="8"/>
      <c r="K165" s="10">
        <f t="shared" si="50"/>
        <v>0</v>
      </c>
      <c r="L165" s="16"/>
      <c r="M165" s="220"/>
      <c r="N165" s="221"/>
    </row>
    <row r="166" spans="1:14" ht="17.25" customHeight="1">
      <c r="A166" s="8" t="s">
        <v>158</v>
      </c>
      <c r="B166" s="9" t="s">
        <v>159</v>
      </c>
      <c r="C166" s="8" t="s">
        <v>4</v>
      </c>
      <c r="D166" s="10">
        <v>19.058</v>
      </c>
      <c r="E166" s="8"/>
      <c r="F166" s="8"/>
      <c r="G166" s="10">
        <f t="shared" si="48"/>
        <v>0</v>
      </c>
      <c r="H166" s="10">
        <f>D166+ян!H166</f>
        <v>38.116</v>
      </c>
      <c r="I166" s="8"/>
      <c r="J166" s="8">
        <f>F166+ян!J166</f>
        <v>0</v>
      </c>
      <c r="K166" s="10">
        <f t="shared" si="50"/>
        <v>0</v>
      </c>
      <c r="L166" s="16"/>
      <c r="M166" s="220"/>
      <c r="N166" s="221"/>
    </row>
    <row r="167" spans="1:14" ht="17.25" customHeight="1">
      <c r="A167" s="8"/>
      <c r="B167" s="28" t="s">
        <v>13</v>
      </c>
      <c r="C167" s="8" t="s">
        <v>155</v>
      </c>
      <c r="D167" s="14">
        <v>16</v>
      </c>
      <c r="E167" s="8"/>
      <c r="F167" s="8"/>
      <c r="G167" s="10">
        <f t="shared" si="48"/>
        <v>0</v>
      </c>
      <c r="H167" s="10">
        <f>D167+ян!H167</f>
        <v>32</v>
      </c>
      <c r="I167" s="8"/>
      <c r="J167" s="8">
        <f>F167+ян!J167</f>
        <v>0</v>
      </c>
      <c r="K167" s="10">
        <f t="shared" si="50"/>
        <v>0</v>
      </c>
      <c r="L167" s="16"/>
      <c r="M167" s="220"/>
      <c r="N167" s="221"/>
    </row>
    <row r="168" spans="1:14" ht="17.25" customHeight="1">
      <c r="A168" s="8"/>
      <c r="B168" s="28" t="s">
        <v>15</v>
      </c>
      <c r="C168" s="8" t="s">
        <v>16</v>
      </c>
      <c r="D168" s="16">
        <f>D166/D167*1000</f>
        <v>1191.125</v>
      </c>
      <c r="E168" s="8"/>
      <c r="F168" s="8"/>
      <c r="G168" s="10">
        <f t="shared" si="48"/>
        <v>0</v>
      </c>
      <c r="H168" s="16">
        <f>H166/H167*1000</f>
        <v>1191.125</v>
      </c>
      <c r="I168" s="8"/>
      <c r="J168" s="8"/>
      <c r="K168" s="10">
        <f t="shared" si="50"/>
        <v>0</v>
      </c>
      <c r="L168" s="16"/>
      <c r="M168" s="220"/>
      <c r="N168" s="221"/>
    </row>
    <row r="169" spans="1:14" ht="17.25" customHeight="1">
      <c r="A169" s="8" t="s">
        <v>158</v>
      </c>
      <c r="B169" s="9" t="s">
        <v>224</v>
      </c>
      <c r="C169" s="8" t="s">
        <v>4</v>
      </c>
      <c r="D169" s="10">
        <v>0</v>
      </c>
      <c r="E169" s="8"/>
      <c r="F169" s="55">
        <v>2.1379999999999999</v>
      </c>
      <c r="G169" s="10">
        <f t="shared" si="48"/>
        <v>2.1379999999999999</v>
      </c>
      <c r="H169" s="10">
        <f>D169+ян!H169</f>
        <v>0</v>
      </c>
      <c r="I169" s="8"/>
      <c r="J169" s="8">
        <f>F169+ян!J169</f>
        <v>5.9409999999999998</v>
      </c>
      <c r="K169" s="10">
        <f t="shared" si="50"/>
        <v>5.9409999999999998</v>
      </c>
      <c r="L169" s="16"/>
      <c r="M169" s="220"/>
      <c r="N169" s="221"/>
    </row>
    <row r="170" spans="1:14" ht="17.25" customHeight="1">
      <c r="A170" s="8"/>
      <c r="B170" s="28" t="s">
        <v>13</v>
      </c>
      <c r="C170" s="8" t="s">
        <v>155</v>
      </c>
      <c r="D170" s="14">
        <v>0</v>
      </c>
      <c r="E170" s="8"/>
      <c r="F170" s="8">
        <v>30</v>
      </c>
      <c r="G170" s="10">
        <f t="shared" si="48"/>
        <v>30</v>
      </c>
      <c r="H170" s="10">
        <f>D170+ян!H170</f>
        <v>0</v>
      </c>
      <c r="I170" s="8"/>
      <c r="J170" s="8">
        <f>F170+ян!J170</f>
        <v>85</v>
      </c>
      <c r="K170" s="10">
        <f t="shared" si="50"/>
        <v>85</v>
      </c>
      <c r="L170" s="16"/>
      <c r="M170" s="220"/>
      <c r="N170" s="221"/>
    </row>
    <row r="171" spans="1:14" ht="17.25" customHeight="1">
      <c r="A171" s="8"/>
      <c r="B171" s="28" t="s">
        <v>15</v>
      </c>
      <c r="C171" s="8" t="s">
        <v>16</v>
      </c>
      <c r="D171" s="16" t="e">
        <f>D169/D170*1000</f>
        <v>#DIV/0!</v>
      </c>
      <c r="E171" s="8"/>
      <c r="F171" s="8"/>
      <c r="G171" s="10">
        <f t="shared" si="48"/>
        <v>0</v>
      </c>
      <c r="H171" s="16" t="e">
        <f>H169/H170*1000</f>
        <v>#DIV/0!</v>
      </c>
      <c r="I171" s="8"/>
      <c r="J171" s="8"/>
      <c r="K171" s="10">
        <f t="shared" si="50"/>
        <v>0</v>
      </c>
      <c r="L171" s="16"/>
      <c r="M171" s="220"/>
      <c r="N171" s="221"/>
    </row>
    <row r="172" spans="1:14" ht="17.25" customHeight="1">
      <c r="A172" s="16" t="s">
        <v>160</v>
      </c>
      <c r="B172" s="9" t="s">
        <v>108</v>
      </c>
      <c r="C172" s="8" t="s">
        <v>4</v>
      </c>
      <c r="D172" s="10">
        <v>62.704999999999998</v>
      </c>
      <c r="E172" s="8">
        <v>62.667000000000002</v>
      </c>
      <c r="F172" s="8">
        <f>F173+F174+F175</f>
        <v>75.111000000000004</v>
      </c>
      <c r="G172" s="10">
        <f t="shared" si="48"/>
        <v>12.444000000000003</v>
      </c>
      <c r="H172" s="10">
        <f>D172+ян!H172</f>
        <v>125.41</v>
      </c>
      <c r="I172" s="8">
        <f>E172+ян!I172</f>
        <v>125.334</v>
      </c>
      <c r="J172" s="8">
        <f>J173+J174+J175</f>
        <v>118.78100000000001</v>
      </c>
      <c r="K172" s="10">
        <f t="shared" si="50"/>
        <v>-6.5529999999999973</v>
      </c>
      <c r="L172" s="16">
        <f t="shared" si="57"/>
        <v>-5.2284296360125726</v>
      </c>
      <c r="M172" s="220"/>
      <c r="N172" s="221"/>
    </row>
    <row r="173" spans="1:14" ht="17.25" customHeight="1">
      <c r="A173" s="16"/>
      <c r="B173" s="9" t="s">
        <v>221</v>
      </c>
      <c r="C173" s="8" t="s">
        <v>4</v>
      </c>
      <c r="D173" s="10"/>
      <c r="E173" s="8"/>
      <c r="F173" s="87">
        <v>43.29</v>
      </c>
      <c r="G173" s="10">
        <f t="shared" si="48"/>
        <v>43.29</v>
      </c>
      <c r="H173" s="10"/>
      <c r="I173" s="8"/>
      <c r="J173" s="8">
        <f>F173+ян!J173</f>
        <v>76.960000000000008</v>
      </c>
      <c r="K173" s="10">
        <f t="shared" si="50"/>
        <v>76.960000000000008</v>
      </c>
      <c r="L173" s="16"/>
      <c r="M173" s="220"/>
      <c r="N173" s="221"/>
    </row>
    <row r="174" spans="1:14" ht="37.5" customHeight="1">
      <c r="A174" s="16"/>
      <c r="B174" s="9" t="s">
        <v>222</v>
      </c>
      <c r="C174" s="8" t="s">
        <v>4</v>
      </c>
      <c r="D174" s="10"/>
      <c r="E174" s="8"/>
      <c r="F174" s="87">
        <v>31.821000000000002</v>
      </c>
      <c r="G174" s="10">
        <f t="shared" si="48"/>
        <v>31.821000000000002</v>
      </c>
      <c r="H174" s="10"/>
      <c r="I174" s="8"/>
      <c r="J174" s="8">
        <f>F174+ян!J174</f>
        <v>41.820999999999998</v>
      </c>
      <c r="K174" s="10">
        <f t="shared" si="50"/>
        <v>41.820999999999998</v>
      </c>
      <c r="L174" s="16"/>
      <c r="M174" s="220"/>
      <c r="N174" s="221"/>
    </row>
    <row r="175" spans="1:14" ht="18.75" customHeight="1">
      <c r="A175" s="16"/>
      <c r="B175" s="9" t="s">
        <v>223</v>
      </c>
      <c r="C175" s="8" t="s">
        <v>4</v>
      </c>
      <c r="D175" s="10"/>
      <c r="E175" s="8"/>
      <c r="F175" s="8"/>
      <c r="G175" s="10">
        <f t="shared" si="48"/>
        <v>0</v>
      </c>
      <c r="H175" s="10"/>
      <c r="I175" s="8"/>
      <c r="J175" s="8">
        <f>F175+ян!J175</f>
        <v>0</v>
      </c>
      <c r="K175" s="10">
        <f t="shared" si="50"/>
        <v>0</v>
      </c>
      <c r="L175" s="16"/>
      <c r="M175" s="220"/>
      <c r="N175" s="221"/>
    </row>
    <row r="176" spans="1:14" ht="18.75">
      <c r="A176" s="16" t="s">
        <v>161</v>
      </c>
      <c r="B176" s="9" t="s">
        <v>162</v>
      </c>
      <c r="C176" s="8" t="s">
        <v>4</v>
      </c>
      <c r="D176" s="10">
        <v>64.906000000000006</v>
      </c>
      <c r="E176" s="8">
        <v>64.917000000000002</v>
      </c>
      <c r="F176" s="86">
        <f>8.554+33.863+7.798+13.634+13.125</f>
        <v>76.974000000000004</v>
      </c>
      <c r="G176" s="10">
        <f t="shared" si="48"/>
        <v>12.057000000000002</v>
      </c>
      <c r="H176" s="10">
        <f>D176+ян!H176</f>
        <v>129.81200000000001</v>
      </c>
      <c r="I176" s="8">
        <f>E176+ян!I176</f>
        <v>129.834</v>
      </c>
      <c r="J176" s="8">
        <f>F176+ян!J176</f>
        <v>148.423</v>
      </c>
      <c r="K176" s="10">
        <f t="shared" si="50"/>
        <v>18.588999999999999</v>
      </c>
      <c r="L176" s="16">
        <f t="shared" si="57"/>
        <v>14.317513132153364</v>
      </c>
      <c r="M176" s="220"/>
      <c r="N176" s="221"/>
    </row>
    <row r="177" spans="1:14" ht="35.25" customHeight="1">
      <c r="A177" s="16" t="s">
        <v>163</v>
      </c>
      <c r="B177" s="9" t="s">
        <v>165</v>
      </c>
      <c r="C177" s="8" t="s">
        <v>4</v>
      </c>
      <c r="D177" s="10">
        <f>D178</f>
        <v>2.2330000000000001</v>
      </c>
      <c r="E177" s="8"/>
      <c r="F177" s="8"/>
      <c r="G177" s="10">
        <f t="shared" si="48"/>
        <v>0</v>
      </c>
      <c r="H177" s="10">
        <f>H178</f>
        <v>4.4660000000000002</v>
      </c>
      <c r="I177" s="8"/>
      <c r="J177" s="8"/>
      <c r="K177" s="10">
        <f t="shared" si="50"/>
        <v>0</v>
      </c>
      <c r="L177" s="16"/>
      <c r="M177" s="220"/>
      <c r="N177" s="221"/>
    </row>
    <row r="178" spans="1:14" ht="18.75" customHeight="1">
      <c r="A178" s="16"/>
      <c r="B178" s="9" t="s">
        <v>100</v>
      </c>
      <c r="C178" s="8" t="s">
        <v>4</v>
      </c>
      <c r="D178" s="10">
        <v>2.2330000000000001</v>
      </c>
      <c r="E178" s="8"/>
      <c r="F178" s="8"/>
      <c r="G178" s="10">
        <f t="shared" si="48"/>
        <v>0</v>
      </c>
      <c r="H178" s="10">
        <f>D178+ян!H178</f>
        <v>4.4660000000000002</v>
      </c>
      <c r="I178" s="8"/>
      <c r="J178" s="8">
        <f>F178+ян!J178</f>
        <v>0</v>
      </c>
      <c r="K178" s="10">
        <f t="shared" si="50"/>
        <v>0</v>
      </c>
      <c r="L178" s="16"/>
      <c r="M178" s="45"/>
      <c r="N178" s="46"/>
    </row>
    <row r="179" spans="1:14" ht="17.25" customHeight="1">
      <c r="A179" s="16" t="s">
        <v>164</v>
      </c>
      <c r="B179" s="6" t="s">
        <v>169</v>
      </c>
      <c r="C179" s="47" t="s">
        <v>4</v>
      </c>
      <c r="D179" s="7">
        <f t="shared" ref="D179:F179" si="61">D180+D181+D182</f>
        <v>318.99799999999999</v>
      </c>
      <c r="E179" s="7">
        <f t="shared" si="61"/>
        <v>637.41600000000005</v>
      </c>
      <c r="F179" s="7">
        <f t="shared" si="61"/>
        <v>0</v>
      </c>
      <c r="G179" s="10">
        <f t="shared" si="48"/>
        <v>-637.41600000000005</v>
      </c>
      <c r="H179" s="7">
        <f t="shared" ref="H179:J179" si="62">H180+H181+H182</f>
        <v>637.99599999999998</v>
      </c>
      <c r="I179" s="7">
        <f t="shared" si="62"/>
        <v>1274.8320000000001</v>
      </c>
      <c r="J179" s="7">
        <f t="shared" si="62"/>
        <v>0</v>
      </c>
      <c r="K179" s="10">
        <f t="shared" si="50"/>
        <v>-1274.8320000000001</v>
      </c>
      <c r="L179" s="16">
        <f t="shared" si="57"/>
        <v>-100</v>
      </c>
      <c r="M179" s="220"/>
      <c r="N179" s="221"/>
    </row>
    <row r="180" spans="1:14" ht="17.25" customHeight="1">
      <c r="A180" s="8" t="s">
        <v>166</v>
      </c>
      <c r="B180" s="9" t="s">
        <v>170</v>
      </c>
      <c r="C180" s="8" t="s">
        <v>4</v>
      </c>
      <c r="D180" s="10">
        <v>61.292999999999999</v>
      </c>
      <c r="E180" s="8">
        <v>61.332999999999998</v>
      </c>
      <c r="F180" s="8"/>
      <c r="G180" s="10">
        <f t="shared" si="48"/>
        <v>-61.332999999999998</v>
      </c>
      <c r="H180" s="10">
        <f>D180+ян!H180</f>
        <v>122.586</v>
      </c>
      <c r="I180" s="8">
        <f>E180+ян!I180</f>
        <v>122.666</v>
      </c>
      <c r="J180" s="8">
        <f>F180+ян!J180</f>
        <v>0</v>
      </c>
      <c r="K180" s="10">
        <f t="shared" si="50"/>
        <v>-122.666</v>
      </c>
      <c r="L180" s="16">
        <f t="shared" si="57"/>
        <v>-100</v>
      </c>
      <c r="M180" s="220"/>
      <c r="N180" s="221"/>
    </row>
    <row r="181" spans="1:14" ht="17.25" customHeight="1">
      <c r="A181" s="8" t="s">
        <v>167</v>
      </c>
      <c r="B181" s="9" t="s">
        <v>171</v>
      </c>
      <c r="C181" s="8" t="s">
        <v>4</v>
      </c>
      <c r="D181" s="10">
        <v>168.477</v>
      </c>
      <c r="E181" s="8">
        <v>486.83300000000003</v>
      </c>
      <c r="F181" s="8"/>
      <c r="G181" s="10">
        <f t="shared" si="48"/>
        <v>-486.83300000000003</v>
      </c>
      <c r="H181" s="10">
        <f>D181+ян!H181</f>
        <v>336.95400000000001</v>
      </c>
      <c r="I181" s="8">
        <f>E181+ян!I181</f>
        <v>973.66600000000005</v>
      </c>
      <c r="J181" s="8">
        <f>F181+ян!J181</f>
        <v>0</v>
      </c>
      <c r="K181" s="10">
        <f t="shared" si="50"/>
        <v>-973.66600000000005</v>
      </c>
      <c r="L181" s="16">
        <f t="shared" si="57"/>
        <v>-100</v>
      </c>
      <c r="M181" s="227" t="s">
        <v>300</v>
      </c>
      <c r="N181" s="228"/>
    </row>
    <row r="182" spans="1:14" ht="17.25" customHeight="1">
      <c r="A182" s="8" t="s">
        <v>267</v>
      </c>
      <c r="B182" s="9" t="s">
        <v>172</v>
      </c>
      <c r="C182" s="8" t="s">
        <v>4</v>
      </c>
      <c r="D182" s="10">
        <v>89.227999999999994</v>
      </c>
      <c r="E182" s="10">
        <v>89.25</v>
      </c>
      <c r="F182" s="8"/>
      <c r="G182" s="10">
        <f t="shared" si="48"/>
        <v>-89.25</v>
      </c>
      <c r="H182" s="10">
        <f>D182+ян!H182</f>
        <v>178.45599999999999</v>
      </c>
      <c r="I182" s="10">
        <f>E182+ян!I182</f>
        <v>178.5</v>
      </c>
      <c r="J182" s="8">
        <f>F182+ян!J182</f>
        <v>0</v>
      </c>
      <c r="K182" s="10">
        <f t="shared" si="50"/>
        <v>-178.5</v>
      </c>
      <c r="L182" s="16">
        <f t="shared" si="57"/>
        <v>-100</v>
      </c>
      <c r="M182" s="227" t="s">
        <v>300</v>
      </c>
      <c r="N182" s="228"/>
    </row>
    <row r="183" spans="1:14" ht="53.25" customHeight="1">
      <c r="A183" s="8" t="s">
        <v>168</v>
      </c>
      <c r="B183" s="9" t="s">
        <v>174</v>
      </c>
      <c r="C183" s="8" t="s">
        <v>4</v>
      </c>
      <c r="D183" s="10">
        <v>95.709000000000003</v>
      </c>
      <c r="E183" s="8">
        <v>93.167000000000002</v>
      </c>
      <c r="F183" s="86">
        <v>112.974</v>
      </c>
      <c r="G183" s="10">
        <f t="shared" si="48"/>
        <v>19.807000000000002</v>
      </c>
      <c r="H183" s="10">
        <f>D183+ян!H183</f>
        <v>191.41800000000001</v>
      </c>
      <c r="I183" s="8">
        <f>E183+ян!I183</f>
        <v>186.334</v>
      </c>
      <c r="J183" s="8">
        <f>F183+ян!J183</f>
        <v>189.53200000000001</v>
      </c>
      <c r="K183" s="10">
        <f t="shared" si="50"/>
        <v>3.1980000000000075</v>
      </c>
      <c r="L183" s="16">
        <f t="shared" si="57"/>
        <v>1.716272929256071</v>
      </c>
      <c r="M183" s="222" t="s">
        <v>303</v>
      </c>
      <c r="N183" s="223"/>
    </row>
    <row r="184" spans="1:14" ht="33" customHeight="1">
      <c r="A184" s="47" t="s">
        <v>173</v>
      </c>
      <c r="B184" s="6" t="s">
        <v>176</v>
      </c>
      <c r="C184" s="47" t="s">
        <v>4</v>
      </c>
      <c r="D184" s="7">
        <f t="shared" ref="D184:F184" si="63">D185+D186+D187</f>
        <v>50.518000000000001</v>
      </c>
      <c r="E184" s="7">
        <v>50.5</v>
      </c>
      <c r="F184" s="7">
        <f t="shared" si="63"/>
        <v>0</v>
      </c>
      <c r="G184" s="10">
        <f t="shared" si="48"/>
        <v>-50.5</v>
      </c>
      <c r="H184" s="7">
        <f t="shared" ref="H184" si="64">H185+H186+H187</f>
        <v>101.036</v>
      </c>
      <c r="I184" s="10">
        <f>E184+ян!I184</f>
        <v>101</v>
      </c>
      <c r="J184" s="7">
        <f t="shared" ref="J184" si="65">J185+J186+J187</f>
        <v>0</v>
      </c>
      <c r="K184" s="10">
        <f t="shared" si="50"/>
        <v>-101</v>
      </c>
      <c r="L184" s="16">
        <f t="shared" si="57"/>
        <v>-100</v>
      </c>
      <c r="M184" s="229" t="s">
        <v>293</v>
      </c>
      <c r="N184" s="230"/>
    </row>
    <row r="185" spans="1:14" ht="17.25" customHeight="1">
      <c r="A185" s="8" t="s">
        <v>268</v>
      </c>
      <c r="B185" s="9" t="s">
        <v>177</v>
      </c>
      <c r="C185" s="8" t="s">
        <v>4</v>
      </c>
      <c r="D185" s="10">
        <v>19.254000000000001</v>
      </c>
      <c r="E185" s="8"/>
      <c r="F185" s="8"/>
      <c r="G185" s="10">
        <f t="shared" si="48"/>
        <v>0</v>
      </c>
      <c r="H185" s="10">
        <f>D185+ян!H185</f>
        <v>38.508000000000003</v>
      </c>
      <c r="I185" s="8"/>
      <c r="J185" s="8">
        <f>F185+ян!J185</f>
        <v>0</v>
      </c>
      <c r="K185" s="10">
        <f t="shared" si="50"/>
        <v>0</v>
      </c>
      <c r="L185" s="16"/>
      <c r="M185" s="220"/>
      <c r="N185" s="221"/>
    </row>
    <row r="186" spans="1:14" ht="17.25" customHeight="1">
      <c r="A186" s="8" t="s">
        <v>269</v>
      </c>
      <c r="B186" s="9" t="s">
        <v>178</v>
      </c>
      <c r="C186" s="8" t="s">
        <v>4</v>
      </c>
      <c r="D186" s="10">
        <v>8.7639999999999993</v>
      </c>
      <c r="E186" s="8"/>
      <c r="F186" s="8"/>
      <c r="G186" s="10">
        <f t="shared" si="48"/>
        <v>0</v>
      </c>
      <c r="H186" s="10">
        <f>D186+ян!H186</f>
        <v>17.527999999999999</v>
      </c>
      <c r="I186" s="8"/>
      <c r="J186" s="8">
        <f>F186+ян!J186</f>
        <v>0</v>
      </c>
      <c r="K186" s="10">
        <f t="shared" si="50"/>
        <v>0</v>
      </c>
      <c r="L186" s="16"/>
      <c r="M186" s="220"/>
      <c r="N186" s="221"/>
    </row>
    <row r="187" spans="1:14" ht="17.25" customHeight="1">
      <c r="A187" s="8" t="s">
        <v>270</v>
      </c>
      <c r="B187" s="9" t="s">
        <v>179</v>
      </c>
      <c r="C187" s="8" t="s">
        <v>4</v>
      </c>
      <c r="D187" s="10">
        <v>22.5</v>
      </c>
      <c r="E187" s="8"/>
      <c r="F187" s="8"/>
      <c r="G187" s="10">
        <f t="shared" si="48"/>
        <v>0</v>
      </c>
      <c r="H187" s="10">
        <f>D187+ян!H187</f>
        <v>45</v>
      </c>
      <c r="I187" s="8"/>
      <c r="J187" s="8">
        <f>F187+ян!J187</f>
        <v>0</v>
      </c>
      <c r="K187" s="10">
        <f t="shared" si="50"/>
        <v>0</v>
      </c>
      <c r="L187" s="16"/>
      <c r="M187" s="220"/>
      <c r="N187" s="221"/>
    </row>
    <row r="188" spans="1:14" ht="17.25" customHeight="1">
      <c r="A188" s="47" t="s">
        <v>175</v>
      </c>
      <c r="B188" s="6" t="s">
        <v>180</v>
      </c>
      <c r="C188" s="47" t="s">
        <v>4</v>
      </c>
      <c r="D188" s="7">
        <f>D189+D190+D191+D192+D197+D198+D199+D200+D204</f>
        <v>186.78400000000005</v>
      </c>
      <c r="E188" s="7">
        <f>E189+E190+E191+E192+E197+E198+E199+E200+E204</f>
        <v>193.416</v>
      </c>
      <c r="F188" s="7">
        <f>F189+F190+F191+F192+F197+F198+F199+F200+F204</f>
        <v>141.75500000000002</v>
      </c>
      <c r="G188" s="10">
        <f t="shared" si="48"/>
        <v>-51.660999999999973</v>
      </c>
      <c r="H188" s="7">
        <f>H189+H190+H191+H192+H197+H198+H199+H200+H204</f>
        <v>373.5680000000001</v>
      </c>
      <c r="I188" s="7">
        <f>I189+I190+I191+I192+I197+I198+I199+I200+I204</f>
        <v>386.83199999999999</v>
      </c>
      <c r="J188" s="7">
        <f>J189+J190+J191+J192+J197+J198+J199+J200+J204</f>
        <v>229.87</v>
      </c>
      <c r="K188" s="10">
        <f t="shared" si="50"/>
        <v>-156.96199999999999</v>
      </c>
      <c r="L188" s="16">
        <f t="shared" si="57"/>
        <v>-40.576270835918429</v>
      </c>
      <c r="M188" s="226"/>
      <c r="N188" s="221"/>
    </row>
    <row r="189" spans="1:14" ht="17.25" customHeight="1">
      <c r="A189" s="18" t="s">
        <v>271</v>
      </c>
      <c r="B189" s="9" t="s">
        <v>181</v>
      </c>
      <c r="C189" s="8" t="s">
        <v>4</v>
      </c>
      <c r="D189" s="10">
        <v>0</v>
      </c>
      <c r="E189" s="8"/>
      <c r="F189" s="8"/>
      <c r="G189" s="10">
        <f t="shared" si="48"/>
        <v>0</v>
      </c>
      <c r="H189" s="10">
        <f>D189+ян!H189</f>
        <v>0</v>
      </c>
      <c r="I189" s="8"/>
      <c r="J189" s="8">
        <f>F189+ян!J189</f>
        <v>0</v>
      </c>
      <c r="K189" s="10">
        <f t="shared" si="50"/>
        <v>0</v>
      </c>
      <c r="L189" s="16"/>
      <c r="M189" s="220"/>
      <c r="N189" s="221"/>
    </row>
    <row r="190" spans="1:14" ht="17.25" customHeight="1">
      <c r="A190" s="18" t="s">
        <v>272</v>
      </c>
      <c r="B190" s="9" t="s">
        <v>182</v>
      </c>
      <c r="C190" s="8" t="s">
        <v>4</v>
      </c>
      <c r="D190" s="10">
        <v>15.651</v>
      </c>
      <c r="E190" s="10">
        <v>22.25</v>
      </c>
      <c r="F190" s="86">
        <v>58.491</v>
      </c>
      <c r="G190" s="10">
        <f t="shared" si="48"/>
        <v>36.241</v>
      </c>
      <c r="H190" s="10">
        <f>D190+ян!H190</f>
        <v>31.302</v>
      </c>
      <c r="I190" s="10">
        <f>E190+ян!I190</f>
        <v>44.5</v>
      </c>
      <c r="J190" s="8">
        <f>F190+ян!J190</f>
        <v>79.846000000000004</v>
      </c>
      <c r="K190" s="10">
        <f t="shared" si="50"/>
        <v>35.346000000000004</v>
      </c>
      <c r="L190" s="16">
        <f t="shared" si="57"/>
        <v>79.429213483146071</v>
      </c>
      <c r="M190" s="220"/>
      <c r="N190" s="221"/>
    </row>
    <row r="191" spans="1:14" ht="33.75" customHeight="1">
      <c r="A191" s="18" t="s">
        <v>273</v>
      </c>
      <c r="B191" s="9" t="s">
        <v>237</v>
      </c>
      <c r="C191" s="8" t="s">
        <v>4</v>
      </c>
      <c r="D191" s="10">
        <v>1.4910000000000001</v>
      </c>
      <c r="E191" s="10">
        <v>1.5</v>
      </c>
      <c r="F191" s="87">
        <v>1.2</v>
      </c>
      <c r="G191" s="10">
        <f t="shared" si="48"/>
        <v>-0.30000000000000004</v>
      </c>
      <c r="H191" s="10">
        <f>D191+ян!H191</f>
        <v>2.9820000000000002</v>
      </c>
      <c r="I191" s="10">
        <f>E191+ян!I191</f>
        <v>3</v>
      </c>
      <c r="J191" s="8">
        <f>F191+ян!J191</f>
        <v>2.99</v>
      </c>
      <c r="K191" s="10">
        <f t="shared" si="50"/>
        <v>-9.9999999999997868E-3</v>
      </c>
      <c r="L191" s="16">
        <f t="shared" si="57"/>
        <v>-0.33333333333332626</v>
      </c>
      <c r="M191" s="220"/>
      <c r="N191" s="221"/>
    </row>
    <row r="192" spans="1:14" ht="36.75" customHeight="1">
      <c r="A192" s="18" t="s">
        <v>274</v>
      </c>
      <c r="B192" s="9" t="s">
        <v>183</v>
      </c>
      <c r="C192" s="8" t="s">
        <v>4</v>
      </c>
      <c r="D192" s="10">
        <f t="shared" ref="D192:F192" si="66">D193+D194+D195+D196</f>
        <v>149.55900000000003</v>
      </c>
      <c r="E192" s="10">
        <f t="shared" si="66"/>
        <v>149.583</v>
      </c>
      <c r="F192" s="10">
        <f t="shared" si="66"/>
        <v>80.233999999999995</v>
      </c>
      <c r="G192" s="10">
        <f t="shared" si="48"/>
        <v>-69.349000000000004</v>
      </c>
      <c r="H192" s="10">
        <f t="shared" ref="H192:J192" si="67">H193+H194+H195+H196</f>
        <v>299.11800000000005</v>
      </c>
      <c r="I192" s="10">
        <f t="shared" si="67"/>
        <v>299.166</v>
      </c>
      <c r="J192" s="10">
        <f t="shared" si="67"/>
        <v>143.18599999999998</v>
      </c>
      <c r="K192" s="10">
        <f t="shared" si="50"/>
        <v>-155.98000000000002</v>
      </c>
      <c r="L192" s="16">
        <f t="shared" si="57"/>
        <v>-52.138277745465736</v>
      </c>
      <c r="M192" s="220"/>
      <c r="N192" s="221"/>
    </row>
    <row r="193" spans="1:14" ht="74.25" customHeight="1">
      <c r="A193" s="8" t="s">
        <v>275</v>
      </c>
      <c r="B193" s="9" t="s">
        <v>184</v>
      </c>
      <c r="C193" s="8" t="s">
        <v>4</v>
      </c>
      <c r="D193" s="10">
        <v>33.363999999999997</v>
      </c>
      <c r="E193" s="8">
        <v>33.332999999999998</v>
      </c>
      <c r="F193" s="86">
        <f>40.329+12.495</f>
        <v>52.823999999999998</v>
      </c>
      <c r="G193" s="10">
        <f t="shared" si="48"/>
        <v>19.491</v>
      </c>
      <c r="H193" s="10">
        <f>D193+ян!H193</f>
        <v>66.727999999999994</v>
      </c>
      <c r="I193" s="8">
        <f>E193+ян!I193</f>
        <v>66.665999999999997</v>
      </c>
      <c r="J193" s="8">
        <f>F193+ян!J193</f>
        <v>93.152999999999992</v>
      </c>
      <c r="K193" s="10">
        <f t="shared" si="50"/>
        <v>26.486999999999995</v>
      </c>
      <c r="L193" s="16">
        <f t="shared" si="57"/>
        <v>39.730897308973084</v>
      </c>
      <c r="M193" s="220"/>
      <c r="N193" s="221"/>
    </row>
    <row r="194" spans="1:14" ht="93" customHeight="1">
      <c r="A194" s="8" t="s">
        <v>276</v>
      </c>
      <c r="B194" s="9" t="s">
        <v>238</v>
      </c>
      <c r="C194" s="8" t="s">
        <v>4</v>
      </c>
      <c r="D194" s="10">
        <v>89.792000000000002</v>
      </c>
      <c r="E194" s="8">
        <v>89.832999999999998</v>
      </c>
      <c r="F194" s="8"/>
      <c r="G194" s="10">
        <f t="shared" si="48"/>
        <v>-89.832999999999998</v>
      </c>
      <c r="H194" s="10">
        <f>D194+ян!H194</f>
        <v>179.584</v>
      </c>
      <c r="I194" s="8">
        <f>E194+ян!I194</f>
        <v>179.666</v>
      </c>
      <c r="J194" s="8">
        <f>F194+ян!J194</f>
        <v>0</v>
      </c>
      <c r="K194" s="10">
        <f t="shared" si="50"/>
        <v>-179.666</v>
      </c>
      <c r="L194" s="16">
        <f t="shared" si="57"/>
        <v>-100</v>
      </c>
      <c r="M194" s="220"/>
      <c r="N194" s="221"/>
    </row>
    <row r="195" spans="1:14" ht="90.75" customHeight="1">
      <c r="A195" s="8" t="s">
        <v>277</v>
      </c>
      <c r="B195" s="9" t="s">
        <v>185</v>
      </c>
      <c r="C195" s="8" t="s">
        <v>4</v>
      </c>
      <c r="D195" s="10">
        <v>7.9660000000000002</v>
      </c>
      <c r="E195" s="8">
        <v>8</v>
      </c>
      <c r="F195" s="86">
        <v>10.023999999999999</v>
      </c>
      <c r="G195" s="10">
        <f t="shared" si="48"/>
        <v>2.0239999999999991</v>
      </c>
      <c r="H195" s="10">
        <f>D195+ян!H195</f>
        <v>15.932</v>
      </c>
      <c r="I195" s="8">
        <f>E195+ян!I195</f>
        <v>16</v>
      </c>
      <c r="J195" s="8">
        <f>F195+ян!J195</f>
        <v>15.260999999999999</v>
      </c>
      <c r="K195" s="10">
        <f t="shared" si="50"/>
        <v>-0.73900000000000077</v>
      </c>
      <c r="L195" s="16">
        <f t="shared" si="57"/>
        <v>-4.6187500000000048</v>
      </c>
      <c r="M195" s="220"/>
      <c r="N195" s="221"/>
    </row>
    <row r="196" spans="1:14" ht="37.5" customHeight="1">
      <c r="A196" s="8" t="s">
        <v>278</v>
      </c>
      <c r="B196" s="9" t="s">
        <v>186</v>
      </c>
      <c r="C196" s="8" t="s">
        <v>4</v>
      </c>
      <c r="D196" s="10">
        <v>18.437000000000001</v>
      </c>
      <c r="E196" s="8">
        <v>18.417000000000002</v>
      </c>
      <c r="F196" s="86">
        <v>17.385999999999999</v>
      </c>
      <c r="G196" s="10">
        <f t="shared" si="48"/>
        <v>-1.0310000000000024</v>
      </c>
      <c r="H196" s="10">
        <f>D196+ян!H196</f>
        <v>36.874000000000002</v>
      </c>
      <c r="I196" s="8">
        <f>E196+ян!I196</f>
        <v>36.834000000000003</v>
      </c>
      <c r="J196" s="8">
        <f>F196+ян!J196</f>
        <v>34.771999999999998</v>
      </c>
      <c r="K196" s="10">
        <f t="shared" si="50"/>
        <v>-2.0620000000000047</v>
      </c>
      <c r="L196" s="16">
        <f t="shared" si="57"/>
        <v>-5.5980887223760778</v>
      </c>
      <c r="M196" s="220"/>
      <c r="N196" s="221"/>
    </row>
    <row r="197" spans="1:14" ht="17.25" customHeight="1">
      <c r="A197" s="18" t="s">
        <v>279</v>
      </c>
      <c r="B197" s="26" t="s">
        <v>187</v>
      </c>
      <c r="C197" s="8" t="s">
        <v>4</v>
      </c>
      <c r="D197" s="10">
        <v>15.818</v>
      </c>
      <c r="E197" s="8">
        <v>15.833</v>
      </c>
      <c r="F197" s="8"/>
      <c r="G197" s="10">
        <f t="shared" si="48"/>
        <v>-15.833</v>
      </c>
      <c r="H197" s="10">
        <f>D197+ян!H197</f>
        <v>31.635999999999999</v>
      </c>
      <c r="I197" s="8">
        <f>E197+ян!I197</f>
        <v>31.666</v>
      </c>
      <c r="J197" s="8">
        <f>F197+ян!J197</f>
        <v>0</v>
      </c>
      <c r="K197" s="10">
        <f t="shared" si="50"/>
        <v>-31.666</v>
      </c>
      <c r="L197" s="16">
        <f t="shared" si="57"/>
        <v>-100</v>
      </c>
      <c r="M197" s="220"/>
      <c r="N197" s="221"/>
    </row>
    <row r="198" spans="1:14" ht="17.25" customHeight="1">
      <c r="A198" s="18"/>
      <c r="B198" s="26" t="s">
        <v>125</v>
      </c>
      <c r="C198" s="8" t="s">
        <v>4</v>
      </c>
      <c r="D198" s="10">
        <v>0.34200000000000003</v>
      </c>
      <c r="E198" s="8">
        <v>0.33300000000000002</v>
      </c>
      <c r="F198" s="8"/>
      <c r="G198" s="10">
        <f t="shared" si="48"/>
        <v>-0.33300000000000002</v>
      </c>
      <c r="H198" s="10">
        <f>D198+ян!H198</f>
        <v>0.68400000000000005</v>
      </c>
      <c r="I198" s="8">
        <f>E198+ян!I198</f>
        <v>0.66600000000000004</v>
      </c>
      <c r="J198" s="8">
        <f>F198+ян!J198</f>
        <v>0</v>
      </c>
      <c r="K198" s="10">
        <f t="shared" si="50"/>
        <v>-0.66600000000000004</v>
      </c>
      <c r="L198" s="16">
        <f t="shared" si="57"/>
        <v>-100</v>
      </c>
      <c r="M198" s="220"/>
      <c r="N198" s="221"/>
    </row>
    <row r="199" spans="1:14" ht="17.25" customHeight="1">
      <c r="A199" s="18" t="s">
        <v>280</v>
      </c>
      <c r="B199" s="26" t="s">
        <v>188</v>
      </c>
      <c r="C199" s="8" t="s">
        <v>4</v>
      </c>
      <c r="D199" s="10">
        <v>0</v>
      </c>
      <c r="E199" s="8"/>
      <c r="F199" s="8"/>
      <c r="G199" s="10">
        <f t="shared" si="48"/>
        <v>0</v>
      </c>
      <c r="H199" s="10">
        <f>D199+ян!H199</f>
        <v>0</v>
      </c>
      <c r="I199" s="8">
        <f>E199+ян!I199</f>
        <v>0</v>
      </c>
      <c r="J199" s="8">
        <f>F199+ян!J199</f>
        <v>0</v>
      </c>
      <c r="K199" s="10">
        <f t="shared" si="50"/>
        <v>0</v>
      </c>
      <c r="L199" s="16"/>
      <c r="M199" s="220"/>
      <c r="N199" s="221"/>
    </row>
    <row r="200" spans="1:14" ht="27" customHeight="1">
      <c r="A200" s="18" t="s">
        <v>281</v>
      </c>
      <c r="B200" s="26" t="s">
        <v>189</v>
      </c>
      <c r="C200" s="8" t="s">
        <v>4</v>
      </c>
      <c r="D200" s="10">
        <v>3.923</v>
      </c>
      <c r="E200" s="8">
        <v>3.9169999999999998</v>
      </c>
      <c r="F200" s="87">
        <v>1.83</v>
      </c>
      <c r="G200" s="10">
        <f t="shared" si="48"/>
        <v>-2.0869999999999997</v>
      </c>
      <c r="H200" s="10">
        <f>D200+ян!H200</f>
        <v>7.8460000000000001</v>
      </c>
      <c r="I200" s="8">
        <f>E200+ян!I200</f>
        <v>7.8339999999999996</v>
      </c>
      <c r="J200" s="8">
        <f>F200+ян!J200</f>
        <v>3.8479999999999999</v>
      </c>
      <c r="K200" s="10">
        <f t="shared" si="50"/>
        <v>-3.9859999999999998</v>
      </c>
      <c r="L200" s="16">
        <f t="shared" si="57"/>
        <v>-50.880776104161349</v>
      </c>
      <c r="M200" s="222" t="s">
        <v>289</v>
      </c>
      <c r="N200" s="223"/>
    </row>
    <row r="201" spans="1:14" ht="17.25" hidden="1" customHeight="1">
      <c r="A201" s="18" t="s">
        <v>282</v>
      </c>
      <c r="B201" s="26" t="s">
        <v>225</v>
      </c>
      <c r="C201" s="8" t="s">
        <v>4</v>
      </c>
      <c r="D201" s="10">
        <v>0</v>
      </c>
      <c r="E201" s="8"/>
      <c r="F201" s="8"/>
      <c r="G201" s="10">
        <f t="shared" si="48"/>
        <v>0</v>
      </c>
      <c r="H201" s="10">
        <f>D201+ян!H201</f>
        <v>0</v>
      </c>
      <c r="I201" s="8"/>
      <c r="J201" s="8">
        <f>F201+ян!J201</f>
        <v>0</v>
      </c>
      <c r="K201" s="10">
        <f t="shared" si="50"/>
        <v>0</v>
      </c>
      <c r="L201" s="16" t="e">
        <f t="shared" si="57"/>
        <v>#DIV/0!</v>
      </c>
      <c r="M201" s="222" t="s">
        <v>290</v>
      </c>
      <c r="N201" s="223"/>
    </row>
    <row r="202" spans="1:14" ht="17.25" hidden="1" customHeight="1">
      <c r="A202" s="18" t="s">
        <v>283</v>
      </c>
      <c r="B202" s="26" t="s">
        <v>228</v>
      </c>
      <c r="C202" s="8" t="s">
        <v>4</v>
      </c>
      <c r="D202" s="10">
        <v>0</v>
      </c>
      <c r="E202" s="8"/>
      <c r="F202" s="8"/>
      <c r="G202" s="10">
        <f t="shared" si="48"/>
        <v>0</v>
      </c>
      <c r="H202" s="10">
        <f>D202+ян!H202</f>
        <v>0</v>
      </c>
      <c r="I202" s="8"/>
      <c r="J202" s="8">
        <f>F202+ян!J202</f>
        <v>0</v>
      </c>
      <c r="K202" s="10">
        <f t="shared" si="50"/>
        <v>0</v>
      </c>
      <c r="L202" s="16" t="e">
        <f t="shared" si="57"/>
        <v>#DIV/0!</v>
      </c>
      <c r="M202" s="222" t="s">
        <v>290</v>
      </c>
      <c r="N202" s="223"/>
    </row>
    <row r="203" spans="1:14" ht="34.5" hidden="1" customHeight="1">
      <c r="A203" s="18" t="s">
        <v>284</v>
      </c>
      <c r="B203" s="26" t="s">
        <v>231</v>
      </c>
      <c r="C203" s="8" t="s">
        <v>4</v>
      </c>
      <c r="D203" s="10">
        <v>0</v>
      </c>
      <c r="E203" s="8"/>
      <c r="F203" s="8"/>
      <c r="G203" s="10">
        <f t="shared" si="48"/>
        <v>0</v>
      </c>
      <c r="H203" s="10">
        <f>D203+ян!H203</f>
        <v>0</v>
      </c>
      <c r="I203" s="8"/>
      <c r="J203" s="8">
        <f>F203+ян!J203</f>
        <v>0</v>
      </c>
      <c r="K203" s="10">
        <f t="shared" si="50"/>
        <v>0</v>
      </c>
      <c r="L203" s="16" t="e">
        <f t="shared" si="57"/>
        <v>#DIV/0!</v>
      </c>
      <c r="M203" s="222" t="s">
        <v>290</v>
      </c>
      <c r="N203" s="223"/>
    </row>
    <row r="204" spans="1:14" ht="17.25" customHeight="1">
      <c r="A204" s="18" t="s">
        <v>282</v>
      </c>
      <c r="B204" s="26" t="s">
        <v>230</v>
      </c>
      <c r="C204" s="8" t="s">
        <v>4</v>
      </c>
      <c r="D204" s="10">
        <v>0</v>
      </c>
      <c r="E204" s="8"/>
      <c r="F204" s="8"/>
      <c r="G204" s="10">
        <f t="shared" si="48"/>
        <v>0</v>
      </c>
      <c r="H204" s="10">
        <f>D204+ян!H204</f>
        <v>0</v>
      </c>
      <c r="I204" s="8"/>
      <c r="J204" s="8">
        <f>F204+ян!J204</f>
        <v>0</v>
      </c>
      <c r="K204" s="10">
        <f t="shared" si="50"/>
        <v>0</v>
      </c>
      <c r="L204" s="16"/>
      <c r="M204" s="220"/>
      <c r="N204" s="221"/>
    </row>
    <row r="205" spans="1:14" ht="21" customHeight="1">
      <c r="A205" s="47" t="s">
        <v>190</v>
      </c>
      <c r="B205" s="6" t="s">
        <v>191</v>
      </c>
      <c r="C205" s="47" t="s">
        <v>4</v>
      </c>
      <c r="D205" s="7">
        <f>D8+D138</f>
        <v>76555.231</v>
      </c>
      <c r="E205" s="21">
        <f>E8+E138</f>
        <v>71086.831999999995</v>
      </c>
      <c r="F205" s="7">
        <f>F8+F138</f>
        <v>73822.439999999988</v>
      </c>
      <c r="G205" s="10">
        <f t="shared" ref="G205:G213" si="68">F205-E205</f>
        <v>2735.6079999999929</v>
      </c>
      <c r="H205" s="7">
        <f>H8+H138</f>
        <v>153110.462</v>
      </c>
      <c r="I205" s="21">
        <f>I8+I138</f>
        <v>142173.66399999999</v>
      </c>
      <c r="J205" s="7">
        <f>J8+J138</f>
        <v>142011.11599999998</v>
      </c>
      <c r="K205" s="10">
        <f t="shared" ref="K205:K213" si="69">J205-I205</f>
        <v>-162.54800000000978</v>
      </c>
      <c r="L205" s="16">
        <f t="shared" ref="L205:L213" si="70">K205/I205*100</f>
        <v>-0.11433059782436908</v>
      </c>
      <c r="M205" s="220"/>
      <c r="N205" s="221"/>
    </row>
    <row r="206" spans="1:14" ht="17.25" customHeight="1">
      <c r="A206" s="47" t="s">
        <v>192</v>
      </c>
      <c r="B206" s="6" t="s">
        <v>193</v>
      </c>
      <c r="C206" s="47" t="s">
        <v>4</v>
      </c>
      <c r="D206" s="7">
        <v>1469.992</v>
      </c>
      <c r="E206" s="47">
        <v>1470.0830000000001</v>
      </c>
      <c r="F206" s="21">
        <f>F209-F205</f>
        <v>28836.656959999993</v>
      </c>
      <c r="G206" s="10">
        <f t="shared" si="68"/>
        <v>27366.573959999994</v>
      </c>
      <c r="H206" s="10">
        <f>D206+ян!H206</f>
        <v>2939.9839999999999</v>
      </c>
      <c r="I206" s="8">
        <f>E206+ян!I206</f>
        <v>2940.1660000000002</v>
      </c>
      <c r="J206" s="8">
        <f>F206+ян!J206</f>
        <v>28142.85679999998</v>
      </c>
      <c r="K206" s="10">
        <f t="shared" si="69"/>
        <v>25202.690799999978</v>
      </c>
      <c r="L206" s="16">
        <f t="shared" si="70"/>
        <v>857.1859820159807</v>
      </c>
      <c r="M206" s="220"/>
      <c r="N206" s="221"/>
    </row>
    <row r="207" spans="1:14" ht="17.25" customHeight="1">
      <c r="A207" s="47" t="s">
        <v>194</v>
      </c>
      <c r="B207" s="6" t="s">
        <v>195</v>
      </c>
      <c r="C207" s="47" t="s">
        <v>4</v>
      </c>
      <c r="D207" s="7">
        <f>D205+D206</f>
        <v>78025.222999999998</v>
      </c>
      <c r="E207" s="21">
        <f>E205+E206</f>
        <v>72556.914999999994</v>
      </c>
      <c r="F207" s="7">
        <f>F205+F206</f>
        <v>102659.09695999998</v>
      </c>
      <c r="G207" s="10">
        <f t="shared" si="68"/>
        <v>30102.181959999987</v>
      </c>
      <c r="H207" s="7">
        <f>H205+H206</f>
        <v>156050.446</v>
      </c>
      <c r="I207" s="21">
        <f>I205+I206</f>
        <v>145113.82999999999</v>
      </c>
      <c r="J207" s="7">
        <f>J205+J206</f>
        <v>170153.97279999996</v>
      </c>
      <c r="K207" s="10">
        <f t="shared" si="69"/>
        <v>25040.142799999972</v>
      </c>
      <c r="L207" s="16">
        <f t="shared" si="70"/>
        <v>17.255517823490688</v>
      </c>
      <c r="M207" s="220"/>
      <c r="N207" s="221"/>
    </row>
    <row r="208" spans="1:14" ht="17.25" customHeight="1">
      <c r="A208" s="224" t="s">
        <v>196</v>
      </c>
      <c r="B208" s="225" t="s">
        <v>197</v>
      </c>
      <c r="C208" s="47" t="s">
        <v>114</v>
      </c>
      <c r="D208" s="7">
        <v>559.39200000000005</v>
      </c>
      <c r="E208" s="47">
        <v>523.61</v>
      </c>
      <c r="F208" s="57">
        <v>744.33799999999997</v>
      </c>
      <c r="G208" s="10">
        <f t="shared" si="68"/>
        <v>220.72799999999995</v>
      </c>
      <c r="H208" s="10">
        <f>D208+ян!H208</f>
        <v>1118.7840000000001</v>
      </c>
      <c r="I208" s="8">
        <f>E208+ян!I208</f>
        <v>1047.22</v>
      </c>
      <c r="J208" s="8">
        <f>F208+ян!J208</f>
        <v>1233.7149999999999</v>
      </c>
      <c r="K208" s="10">
        <f t="shared" si="69"/>
        <v>186.49499999999989</v>
      </c>
      <c r="L208" s="16">
        <f t="shared" si="70"/>
        <v>17.808578904146206</v>
      </c>
      <c r="M208" s="220"/>
      <c r="N208" s="221"/>
    </row>
    <row r="209" spans="1:19" ht="17.25" customHeight="1">
      <c r="A209" s="224"/>
      <c r="B209" s="225"/>
      <c r="C209" s="47" t="s">
        <v>4</v>
      </c>
      <c r="D209" s="7">
        <f>D207</f>
        <v>78025.222999999998</v>
      </c>
      <c r="E209" s="21">
        <f>E207</f>
        <v>72556.914999999994</v>
      </c>
      <c r="F209" s="57">
        <f>F213*F208</f>
        <v>102659.09695999998</v>
      </c>
      <c r="G209" s="10">
        <f t="shared" si="68"/>
        <v>30102.181959999987</v>
      </c>
      <c r="H209" s="10">
        <f>D209+ян!H209</f>
        <v>156050.446</v>
      </c>
      <c r="I209" s="21">
        <f>I207</f>
        <v>145113.82999999999</v>
      </c>
      <c r="J209" s="47">
        <f>J213*J208</f>
        <v>170153.97279999996</v>
      </c>
      <c r="K209" s="10">
        <f t="shared" si="69"/>
        <v>25040.142799999972</v>
      </c>
      <c r="L209" s="16">
        <f t="shared" si="70"/>
        <v>17.255517823490688</v>
      </c>
      <c r="M209" s="220"/>
      <c r="N209" s="221"/>
    </row>
    <row r="210" spans="1:19" ht="17.25" customHeight="1">
      <c r="A210" s="47" t="s">
        <v>198</v>
      </c>
      <c r="B210" s="48" t="s">
        <v>199</v>
      </c>
      <c r="C210" s="47" t="s">
        <v>114</v>
      </c>
      <c r="D210" s="7">
        <v>761.69899999999996</v>
      </c>
      <c r="E210" s="21">
        <v>713</v>
      </c>
      <c r="F210" s="57">
        <v>952.72</v>
      </c>
      <c r="G210" s="10">
        <f t="shared" si="68"/>
        <v>239.72000000000003</v>
      </c>
      <c r="H210" s="10">
        <f>D210+ян!H210</f>
        <v>1523.3979999999999</v>
      </c>
      <c r="I210" s="8">
        <f>E210+ян!I210</f>
        <v>1426</v>
      </c>
      <c r="J210" s="8">
        <f>F210+ян!J210</f>
        <v>1598.3430000000001</v>
      </c>
      <c r="K210" s="10">
        <f t="shared" si="69"/>
        <v>172.34300000000007</v>
      </c>
      <c r="L210" s="16">
        <f t="shared" si="70"/>
        <v>12.085764375876582</v>
      </c>
      <c r="M210" s="220"/>
      <c r="N210" s="221"/>
    </row>
    <row r="211" spans="1:19" ht="17.25" customHeight="1">
      <c r="A211" s="224" t="s">
        <v>200</v>
      </c>
      <c r="B211" s="225" t="s">
        <v>201</v>
      </c>
      <c r="C211" s="47" t="s">
        <v>202</v>
      </c>
      <c r="D211" s="21">
        <f>D212/D210*100</f>
        <v>26.559966600980168</v>
      </c>
      <c r="E211" s="21">
        <f>E212/E210*100</f>
        <v>26.562412342215985</v>
      </c>
      <c r="F211" s="21">
        <f>F212/F210*100</f>
        <v>21.872323452850793</v>
      </c>
      <c r="G211" s="10">
        <f t="shared" si="68"/>
        <v>-4.6900888893651924</v>
      </c>
      <c r="H211" s="21">
        <f>H212/H210*100</f>
        <v>26.559966600980168</v>
      </c>
      <c r="I211" s="21">
        <f>I212/I210*100</f>
        <v>26.562412342215985</v>
      </c>
      <c r="J211" s="21">
        <f>J212/J210*100</f>
        <v>22.812875584276977</v>
      </c>
      <c r="K211" s="10">
        <f t="shared" si="69"/>
        <v>-3.7495367579390084</v>
      </c>
      <c r="L211" s="16">
        <f t="shared" si="70"/>
        <v>-14.11594967216069</v>
      </c>
      <c r="M211" s="220"/>
      <c r="N211" s="221"/>
    </row>
    <row r="212" spans="1:19" ht="17.25" customHeight="1">
      <c r="A212" s="224"/>
      <c r="B212" s="225"/>
      <c r="C212" s="47" t="s">
        <v>114</v>
      </c>
      <c r="D212" s="7">
        <f>D210-D208</f>
        <v>202.3069999999999</v>
      </c>
      <c r="E212" s="7">
        <f>E210-E208</f>
        <v>189.39</v>
      </c>
      <c r="F212" s="7">
        <f>F210-F208</f>
        <v>208.38200000000006</v>
      </c>
      <c r="G212" s="10">
        <f t="shared" si="68"/>
        <v>18.992000000000075</v>
      </c>
      <c r="H212" s="7">
        <f>H210-H208</f>
        <v>404.61399999999981</v>
      </c>
      <c r="I212" s="7">
        <f>I210-I208</f>
        <v>378.78</v>
      </c>
      <c r="J212" s="7">
        <f>J210-J208</f>
        <v>364.62800000000016</v>
      </c>
      <c r="K212" s="10">
        <f t="shared" si="69"/>
        <v>-14.151999999999816</v>
      </c>
      <c r="L212" s="16">
        <f t="shared" si="70"/>
        <v>-3.7362057130787836</v>
      </c>
      <c r="M212" s="220"/>
      <c r="N212" s="221"/>
    </row>
    <row r="213" spans="1:19" s="1" customFormat="1" ht="21" customHeight="1">
      <c r="A213" s="47" t="s">
        <v>203</v>
      </c>
      <c r="B213" s="6" t="s">
        <v>204</v>
      </c>
      <c r="C213" s="47" t="s">
        <v>205</v>
      </c>
      <c r="D213" s="21">
        <f>D207/D208</f>
        <v>139.48219316686686</v>
      </c>
      <c r="E213" s="21">
        <f>E209/E208</f>
        <v>138.57052959263572</v>
      </c>
      <c r="F213" s="57">
        <v>137.91999999999999</v>
      </c>
      <c r="G213" s="10">
        <f t="shared" si="68"/>
        <v>-0.65052959263573484</v>
      </c>
      <c r="H213" s="21">
        <f>H207/H208</f>
        <v>139.48219316686686</v>
      </c>
      <c r="I213" s="21">
        <f>I207/I208</f>
        <v>138.57052959263572</v>
      </c>
      <c r="J213" s="47">
        <v>137.91999999999999</v>
      </c>
      <c r="K213" s="10">
        <f t="shared" si="69"/>
        <v>-0.65052959263573484</v>
      </c>
      <c r="L213" s="16">
        <f t="shared" si="70"/>
        <v>-0.46945739079451926</v>
      </c>
      <c r="M213" s="220"/>
      <c r="N213" s="221"/>
      <c r="O213"/>
      <c r="P213"/>
      <c r="Q213"/>
      <c r="R213"/>
      <c r="S213"/>
    </row>
    <row r="214" spans="1:19" ht="17.25" customHeight="1">
      <c r="A214" s="8"/>
      <c r="B214" s="9" t="s">
        <v>206</v>
      </c>
      <c r="C214" s="8"/>
      <c r="D214" s="21"/>
      <c r="E214" s="8"/>
      <c r="F214" s="8"/>
      <c r="G214" s="8"/>
      <c r="H214" s="21"/>
      <c r="I214" s="8"/>
      <c r="J214" s="8"/>
      <c r="K214" s="8"/>
      <c r="L214" s="16"/>
      <c r="M214" s="220"/>
      <c r="N214" s="221"/>
    </row>
    <row r="215" spans="1:19" ht="35.25" customHeight="1">
      <c r="A215" s="8">
        <v>7</v>
      </c>
      <c r="B215" s="9" t="s">
        <v>207</v>
      </c>
      <c r="C215" s="8" t="s">
        <v>208</v>
      </c>
      <c r="D215" s="14">
        <f>D216+D217</f>
        <v>253</v>
      </c>
      <c r="E215" s="14">
        <f t="shared" ref="E215:G215" si="71">E216+E217</f>
        <v>0</v>
      </c>
      <c r="F215" s="14">
        <f t="shared" si="71"/>
        <v>0</v>
      </c>
      <c r="G215" s="14">
        <f t="shared" si="71"/>
        <v>0</v>
      </c>
      <c r="H215" s="14">
        <f>H216+H217</f>
        <v>253</v>
      </c>
      <c r="I215" s="14">
        <f t="shared" ref="I215:K215" si="72">I216+I217</f>
        <v>0</v>
      </c>
      <c r="J215" s="14">
        <f t="shared" si="72"/>
        <v>0</v>
      </c>
      <c r="K215" s="14">
        <f t="shared" si="72"/>
        <v>0</v>
      </c>
      <c r="L215" s="16"/>
      <c r="M215" s="220"/>
      <c r="N215" s="221"/>
    </row>
    <row r="216" spans="1:19" ht="17.25" customHeight="1">
      <c r="A216" s="18" t="s">
        <v>209</v>
      </c>
      <c r="B216" s="9" t="s">
        <v>210</v>
      </c>
      <c r="C216" s="8" t="s">
        <v>208</v>
      </c>
      <c r="D216" s="14">
        <v>236</v>
      </c>
      <c r="E216" s="8"/>
      <c r="F216" s="8"/>
      <c r="G216" s="8"/>
      <c r="H216" s="14">
        <v>236</v>
      </c>
      <c r="I216" s="8"/>
      <c r="J216" s="8"/>
      <c r="K216" s="8"/>
      <c r="L216" s="16"/>
      <c r="M216" s="220"/>
      <c r="N216" s="221"/>
    </row>
    <row r="217" spans="1:19" ht="17.25" customHeight="1">
      <c r="A217" s="18" t="s">
        <v>211</v>
      </c>
      <c r="B217" s="9" t="s">
        <v>212</v>
      </c>
      <c r="C217" s="8" t="s">
        <v>208</v>
      </c>
      <c r="D217" s="14">
        <v>17</v>
      </c>
      <c r="E217" s="8"/>
      <c r="F217" s="8"/>
      <c r="G217" s="8"/>
      <c r="H217" s="14">
        <v>17</v>
      </c>
      <c r="I217" s="8"/>
      <c r="J217" s="8"/>
      <c r="K217" s="8"/>
      <c r="L217" s="16"/>
      <c r="M217" s="220"/>
      <c r="N217" s="221"/>
    </row>
    <row r="218" spans="1:19" ht="36" customHeight="1">
      <c r="A218" s="18" t="s">
        <v>213</v>
      </c>
      <c r="B218" s="9" t="s">
        <v>214</v>
      </c>
      <c r="C218" s="8" t="s">
        <v>16</v>
      </c>
      <c r="D218" s="14">
        <f>(D88+D145)/D215*1000</f>
        <v>86746.573122529648</v>
      </c>
      <c r="E218" s="8"/>
      <c r="F218" s="8"/>
      <c r="G218" s="8"/>
      <c r="H218" s="14">
        <f>(H88+H145)/H215*1000</f>
        <v>173493.1462450593</v>
      </c>
      <c r="I218" s="8"/>
      <c r="J218" s="8"/>
      <c r="K218" s="8"/>
      <c r="L218" s="16"/>
      <c r="M218" s="220"/>
      <c r="N218" s="221"/>
    </row>
    <row r="219" spans="1:19" ht="17.25" customHeight="1">
      <c r="A219" s="18" t="s">
        <v>215</v>
      </c>
      <c r="B219" s="9" t="s">
        <v>210</v>
      </c>
      <c r="C219" s="8" t="s">
        <v>16</v>
      </c>
      <c r="D219" s="14">
        <f>D88/D216*1000</f>
        <v>84883.580508474581</v>
      </c>
      <c r="E219" s="8"/>
      <c r="F219" s="8"/>
      <c r="G219" s="8"/>
      <c r="H219" s="14">
        <f>H88/H216*1000</f>
        <v>169767.16101694916</v>
      </c>
      <c r="I219" s="8"/>
      <c r="J219" s="8"/>
      <c r="K219" s="8"/>
      <c r="L219" s="16"/>
      <c r="M219" s="220"/>
      <c r="N219" s="221"/>
    </row>
    <row r="220" spans="1:19" ht="17.25" customHeight="1">
      <c r="A220" s="18" t="s">
        <v>216</v>
      </c>
      <c r="B220" s="9" t="s">
        <v>212</v>
      </c>
      <c r="C220" s="8" t="s">
        <v>16</v>
      </c>
      <c r="D220" s="14">
        <f>D145/D217*1000</f>
        <v>112609.29411764705</v>
      </c>
      <c r="E220" s="8"/>
      <c r="F220" s="8"/>
      <c r="G220" s="8"/>
      <c r="H220" s="14">
        <f>H145/H217*1000</f>
        <v>225218.5882352941</v>
      </c>
      <c r="I220" s="8"/>
      <c r="J220" s="8"/>
      <c r="K220" s="8"/>
      <c r="L220" s="16"/>
      <c r="M220" s="220"/>
      <c r="N220" s="221"/>
    </row>
    <row r="221" spans="1:19" ht="18.75">
      <c r="A221" s="29"/>
      <c r="B221" s="29"/>
      <c r="C221" s="29"/>
      <c r="D221" s="29"/>
      <c r="E221" s="29"/>
      <c r="F221" s="29"/>
      <c r="G221" s="29"/>
      <c r="H221" s="29">
        <f>H220*I217*12/1000</f>
        <v>0</v>
      </c>
      <c r="I221" s="29">
        <f>H218*I216*12/1000</f>
        <v>0</v>
      </c>
      <c r="J221" s="29"/>
      <c r="K221" s="29"/>
      <c r="L221" s="29"/>
      <c r="M221" s="29"/>
      <c r="N221" s="29">
        <f>H221+I221</f>
        <v>0</v>
      </c>
    </row>
    <row r="222" spans="1:19" ht="18.75">
      <c r="A222" s="29"/>
      <c r="B222" s="29"/>
      <c r="C222" s="29"/>
      <c r="D222" s="29"/>
      <c r="E222" s="29"/>
      <c r="F222" s="29"/>
      <c r="G222" s="29"/>
      <c r="H222" s="29">
        <v>607.40800000000002</v>
      </c>
      <c r="I222" s="29">
        <v>9999.5409999999993</v>
      </c>
      <c r="J222" s="29"/>
      <c r="K222" s="29"/>
      <c r="L222" s="29"/>
      <c r="M222" s="29"/>
      <c r="N222" s="29"/>
    </row>
    <row r="223" spans="1:19" ht="18.75">
      <c r="A223" s="29"/>
      <c r="B223" s="29"/>
      <c r="C223" s="29"/>
      <c r="D223" s="29"/>
      <c r="E223" s="29"/>
      <c r="F223" s="29"/>
      <c r="G223" s="29"/>
      <c r="H223" s="29">
        <v>953.40200000000004</v>
      </c>
      <c r="I223" s="29">
        <v>10043.467000000001</v>
      </c>
      <c r="J223" s="29"/>
      <c r="K223" s="29"/>
      <c r="L223" s="29"/>
      <c r="M223" s="29"/>
      <c r="N223" s="29"/>
    </row>
    <row r="224" spans="1:19" ht="18.75">
      <c r="A224" s="29"/>
      <c r="B224" s="29"/>
      <c r="C224" s="29"/>
      <c r="D224" s="29"/>
      <c r="E224" s="29"/>
      <c r="F224" s="29"/>
      <c r="G224" s="29"/>
      <c r="H224" s="29"/>
      <c r="I224" s="29">
        <f>888.772+371.175+148.47</f>
        <v>1408.4170000000001</v>
      </c>
      <c r="J224" s="29"/>
      <c r="K224" s="29"/>
      <c r="L224" s="29"/>
      <c r="M224" s="29"/>
      <c r="N224" s="29"/>
    </row>
    <row r="225" spans="1:14" ht="18.75">
      <c r="A225" s="29"/>
      <c r="B225" s="29"/>
      <c r="C225" s="29"/>
      <c r="D225" s="29"/>
      <c r="E225" s="29"/>
      <c r="F225" s="29"/>
      <c r="G225" s="29"/>
      <c r="H225" s="29">
        <f>SUM(H221:H223)</f>
        <v>1560.81</v>
      </c>
      <c r="I225" s="29">
        <f>SUM(I221:I224)</f>
        <v>21451.425000000003</v>
      </c>
      <c r="J225" s="29"/>
      <c r="K225" s="29"/>
      <c r="L225" s="29"/>
      <c r="M225" s="29"/>
      <c r="N225" s="29">
        <f>SUM(H225:M225)</f>
        <v>23012.235000000004</v>
      </c>
    </row>
    <row r="226" spans="1:14" ht="72.75" customHeight="1">
      <c r="A226" s="29"/>
      <c r="B226" s="29" t="s">
        <v>295</v>
      </c>
      <c r="C226" s="29"/>
      <c r="D226" s="29"/>
      <c r="E226" s="29"/>
      <c r="F226" s="29"/>
      <c r="G226" s="29"/>
      <c r="H226" s="29"/>
      <c r="I226" s="29" t="s">
        <v>296</v>
      </c>
      <c r="J226" s="29"/>
      <c r="K226" s="29"/>
      <c r="L226" s="29"/>
      <c r="M226" s="29"/>
      <c r="N226" s="29"/>
    </row>
    <row r="227" spans="1:14" ht="9" customHeigh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</row>
    <row r="228" spans="1:14" ht="52.5" hidden="1" customHeight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</row>
    <row r="229" spans="1:14" ht="15.75" hidden="1" customHeight="1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</row>
    <row r="230" spans="1:14" ht="27" hidden="1" customHeight="1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</row>
    <row r="231" spans="1:14" ht="30" customHeight="1">
      <c r="A231" s="29"/>
      <c r="B231" s="29" t="s">
        <v>233</v>
      </c>
      <c r="C231" s="29"/>
      <c r="D231" s="29"/>
      <c r="E231" s="29"/>
      <c r="F231" s="29"/>
      <c r="G231" s="29"/>
      <c r="H231" s="29"/>
      <c r="I231" s="29" t="s">
        <v>234</v>
      </c>
      <c r="J231" s="29"/>
      <c r="K231" s="29"/>
      <c r="L231" s="29"/>
      <c r="M231" s="29"/>
      <c r="N231" s="29"/>
    </row>
    <row r="232" spans="1:14" ht="28.5" customHeight="1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</row>
    <row r="233" spans="1:14" ht="4.5" hidden="1" customHeight="1">
      <c r="B233" s="3" t="s">
        <v>233</v>
      </c>
      <c r="C233" s="3"/>
      <c r="D233" s="3"/>
      <c r="E233" s="3"/>
      <c r="F233" s="3"/>
      <c r="G233" s="3"/>
      <c r="H233" t="s">
        <v>234</v>
      </c>
    </row>
    <row r="234" spans="1:14" ht="16.5" customHeight="1">
      <c r="B234" s="4"/>
      <c r="C234" s="2"/>
      <c r="D234" s="2"/>
      <c r="E234" s="2"/>
      <c r="F234" s="2"/>
      <c r="G234" s="2"/>
    </row>
    <row r="235" spans="1:14" ht="15.75">
      <c r="A235" s="2"/>
      <c r="B235" s="2"/>
      <c r="C235" s="2"/>
      <c r="D235" s="2"/>
      <c r="E235" s="2"/>
      <c r="F235" s="2"/>
      <c r="G235" s="2"/>
    </row>
    <row r="236" spans="1:14" ht="15.75">
      <c r="A236" s="2"/>
      <c r="B236" s="2"/>
      <c r="C236" s="2"/>
      <c r="D236" s="2"/>
      <c r="E236" s="2"/>
      <c r="F236" s="2"/>
      <c r="G236" s="2"/>
    </row>
    <row r="237" spans="1:14" ht="15.75">
      <c r="A237" s="2"/>
      <c r="B237" s="2"/>
      <c r="C237" s="2"/>
      <c r="D237" s="2"/>
      <c r="E237" s="2"/>
      <c r="F237" s="2"/>
      <c r="G237" s="2"/>
    </row>
    <row r="238" spans="1:14" ht="15.75">
      <c r="A238" s="4" t="s">
        <v>235</v>
      </c>
      <c r="B238" s="2"/>
      <c r="C238" s="2"/>
      <c r="D238" s="2"/>
      <c r="E238" s="2"/>
      <c r="F238" s="2"/>
      <c r="G238" s="2"/>
    </row>
    <row r="239" spans="1:14" ht="15.75">
      <c r="A239" s="2"/>
      <c r="B239" s="2"/>
      <c r="C239" s="2"/>
      <c r="D239" s="2"/>
      <c r="E239" s="2"/>
      <c r="F239" s="2"/>
      <c r="G239" s="2"/>
    </row>
  </sheetData>
  <mergeCells count="222">
    <mergeCell ref="E5:E6"/>
    <mergeCell ref="F5:F6"/>
    <mergeCell ref="G5:G6"/>
    <mergeCell ref="H5:H6"/>
    <mergeCell ref="I5:I6"/>
    <mergeCell ref="J5:J6"/>
    <mergeCell ref="A1:N1"/>
    <mergeCell ref="A2:N2"/>
    <mergeCell ref="A3:C3"/>
    <mergeCell ref="A4:A6"/>
    <mergeCell ref="B4:B6"/>
    <mergeCell ref="C4:C6"/>
    <mergeCell ref="D4:G4"/>
    <mergeCell ref="H4:L4"/>
    <mergeCell ref="M4:N6"/>
    <mergeCell ref="D5:D6"/>
    <mergeCell ref="K5:K6"/>
    <mergeCell ref="L5:L6"/>
    <mergeCell ref="M11:N11"/>
    <mergeCell ref="M12:N12"/>
    <mergeCell ref="M13:N13"/>
    <mergeCell ref="M14:N14"/>
    <mergeCell ref="M15:N15"/>
    <mergeCell ref="M16:N16"/>
    <mergeCell ref="M7:N7"/>
    <mergeCell ref="M8:N8"/>
    <mergeCell ref="M9:N9"/>
    <mergeCell ref="M10:N10"/>
    <mergeCell ref="M23:N23"/>
    <mergeCell ref="M24:N24"/>
    <mergeCell ref="M25:N25"/>
    <mergeCell ref="M26:N26"/>
    <mergeCell ref="M27:N27"/>
    <mergeCell ref="M28:N28"/>
    <mergeCell ref="M17:N17"/>
    <mergeCell ref="M18:N18"/>
    <mergeCell ref="M19:N19"/>
    <mergeCell ref="M20:N20"/>
    <mergeCell ref="M21:N21"/>
    <mergeCell ref="M22:N22"/>
    <mergeCell ref="M35:N35"/>
    <mergeCell ref="M36:N36"/>
    <mergeCell ref="M37:N37"/>
    <mergeCell ref="M38:N38"/>
    <mergeCell ref="M39:N39"/>
    <mergeCell ref="M40:N40"/>
    <mergeCell ref="M29:N29"/>
    <mergeCell ref="M30:N30"/>
    <mergeCell ref="M31:N31"/>
    <mergeCell ref="M32:N32"/>
    <mergeCell ref="M33:N33"/>
    <mergeCell ref="M34:N34"/>
    <mergeCell ref="M48:N48"/>
    <mergeCell ref="M49:N49"/>
    <mergeCell ref="M50:N50"/>
    <mergeCell ref="M51:N51"/>
    <mergeCell ref="M52:N52"/>
    <mergeCell ref="M53:N53"/>
    <mergeCell ref="M41:N41"/>
    <mergeCell ref="M42:N43"/>
    <mergeCell ref="M44:N44"/>
    <mergeCell ref="M45:N45"/>
    <mergeCell ref="M46:N46"/>
    <mergeCell ref="M47:N47"/>
    <mergeCell ref="M62:N62"/>
    <mergeCell ref="M63:N63"/>
    <mergeCell ref="M64:N64"/>
    <mergeCell ref="M65:N65"/>
    <mergeCell ref="M66:N66"/>
    <mergeCell ref="M67:N67"/>
    <mergeCell ref="M54:N54"/>
    <mergeCell ref="M55:N55"/>
    <mergeCell ref="M56:N56"/>
    <mergeCell ref="M57:N58"/>
    <mergeCell ref="M59:N59"/>
    <mergeCell ref="M60:N61"/>
    <mergeCell ref="M75:N75"/>
    <mergeCell ref="M76:N76"/>
    <mergeCell ref="M77:N77"/>
    <mergeCell ref="M78:N78"/>
    <mergeCell ref="M79:N79"/>
    <mergeCell ref="M80:N80"/>
    <mergeCell ref="M68:N68"/>
    <mergeCell ref="M69:N70"/>
    <mergeCell ref="M71:N71"/>
    <mergeCell ref="M72:N72"/>
    <mergeCell ref="M73:N73"/>
    <mergeCell ref="M74:N74"/>
    <mergeCell ref="M88:N88"/>
    <mergeCell ref="M89:N89"/>
    <mergeCell ref="M93:N93"/>
    <mergeCell ref="M94:N94"/>
    <mergeCell ref="M95:N95"/>
    <mergeCell ref="M96:N96"/>
    <mergeCell ref="M81:N81"/>
    <mergeCell ref="M82:N82"/>
    <mergeCell ref="M83:N83"/>
    <mergeCell ref="M84:N85"/>
    <mergeCell ref="M86:N86"/>
    <mergeCell ref="M87:N87"/>
    <mergeCell ref="M103:N103"/>
    <mergeCell ref="M104:N104"/>
    <mergeCell ref="M105:N105"/>
    <mergeCell ref="M106:N106"/>
    <mergeCell ref="M107:N107"/>
    <mergeCell ref="M108:N108"/>
    <mergeCell ref="M97:N97"/>
    <mergeCell ref="M98:N98"/>
    <mergeCell ref="M99:N99"/>
    <mergeCell ref="M100:N100"/>
    <mergeCell ref="M101:N101"/>
    <mergeCell ref="M102:N102"/>
    <mergeCell ref="M115:N115"/>
    <mergeCell ref="M116:N116"/>
    <mergeCell ref="M117:N117"/>
    <mergeCell ref="M118:N118"/>
    <mergeCell ref="M119:N119"/>
    <mergeCell ref="M120:N120"/>
    <mergeCell ref="M109:N109"/>
    <mergeCell ref="M110:N110"/>
    <mergeCell ref="M111:N111"/>
    <mergeCell ref="M112:N112"/>
    <mergeCell ref="M113:N113"/>
    <mergeCell ref="M114:N114"/>
    <mergeCell ref="M127:N127"/>
    <mergeCell ref="M128:N128"/>
    <mergeCell ref="M129:N129"/>
    <mergeCell ref="M130:N130"/>
    <mergeCell ref="M131:N131"/>
    <mergeCell ref="M132:N132"/>
    <mergeCell ref="M121:N121"/>
    <mergeCell ref="M122:N122"/>
    <mergeCell ref="M123:N123"/>
    <mergeCell ref="M124:N124"/>
    <mergeCell ref="M125:N125"/>
    <mergeCell ref="M126:N126"/>
    <mergeCell ref="M141:N141"/>
    <mergeCell ref="M142:N142"/>
    <mergeCell ref="M143:N143"/>
    <mergeCell ref="M144:N144"/>
    <mergeCell ref="M145:N145"/>
    <mergeCell ref="M146:N146"/>
    <mergeCell ref="M133:N133"/>
    <mergeCell ref="M134:N134"/>
    <mergeCell ref="M135:N135"/>
    <mergeCell ref="M138:N138"/>
    <mergeCell ref="M139:N139"/>
    <mergeCell ref="M140:N140"/>
    <mergeCell ref="M156:N156"/>
    <mergeCell ref="M157:N157"/>
    <mergeCell ref="M158:N158"/>
    <mergeCell ref="M159:N159"/>
    <mergeCell ref="M160:N160"/>
    <mergeCell ref="M161:N161"/>
    <mergeCell ref="M150:N150"/>
    <mergeCell ref="M151:N151"/>
    <mergeCell ref="M152:N152"/>
    <mergeCell ref="M153:N153"/>
    <mergeCell ref="M154:N154"/>
    <mergeCell ref="M155:N155"/>
    <mergeCell ref="M168:N168"/>
    <mergeCell ref="M169:N169"/>
    <mergeCell ref="M170:N170"/>
    <mergeCell ref="M171:N171"/>
    <mergeCell ref="M172:N172"/>
    <mergeCell ref="M173:N173"/>
    <mergeCell ref="M162:N162"/>
    <mergeCell ref="M163:N163"/>
    <mergeCell ref="M164:N164"/>
    <mergeCell ref="M165:N165"/>
    <mergeCell ref="M166:N166"/>
    <mergeCell ref="M167:N167"/>
    <mergeCell ref="M181:N181"/>
    <mergeCell ref="M182:N182"/>
    <mergeCell ref="M183:N183"/>
    <mergeCell ref="M184:N184"/>
    <mergeCell ref="M185:N185"/>
    <mergeCell ref="M186:N186"/>
    <mergeCell ref="M174:N174"/>
    <mergeCell ref="M175:N175"/>
    <mergeCell ref="M176:N176"/>
    <mergeCell ref="M177:N177"/>
    <mergeCell ref="M179:N179"/>
    <mergeCell ref="M180:N180"/>
    <mergeCell ref="M193:N193"/>
    <mergeCell ref="M194:N194"/>
    <mergeCell ref="M195:N195"/>
    <mergeCell ref="M196:N196"/>
    <mergeCell ref="M197:N197"/>
    <mergeCell ref="M198:N198"/>
    <mergeCell ref="M187:N187"/>
    <mergeCell ref="M188:N188"/>
    <mergeCell ref="M189:N189"/>
    <mergeCell ref="M190:N190"/>
    <mergeCell ref="M191:N191"/>
    <mergeCell ref="M192:N192"/>
    <mergeCell ref="M205:N205"/>
    <mergeCell ref="M206:N206"/>
    <mergeCell ref="M207:N207"/>
    <mergeCell ref="A208:A209"/>
    <mergeCell ref="B208:B209"/>
    <mergeCell ref="M208:N208"/>
    <mergeCell ref="M209:N209"/>
    <mergeCell ref="M199:N199"/>
    <mergeCell ref="M200:N200"/>
    <mergeCell ref="M201:N201"/>
    <mergeCell ref="M202:N202"/>
    <mergeCell ref="M203:N203"/>
    <mergeCell ref="M204:N204"/>
    <mergeCell ref="M220:N220"/>
    <mergeCell ref="M214:N214"/>
    <mergeCell ref="M215:N215"/>
    <mergeCell ref="M216:N216"/>
    <mergeCell ref="M217:N217"/>
    <mergeCell ref="M218:N218"/>
    <mergeCell ref="M219:N219"/>
    <mergeCell ref="M210:N210"/>
    <mergeCell ref="A211:A212"/>
    <mergeCell ref="B211:B212"/>
    <mergeCell ref="M211:N211"/>
    <mergeCell ref="M212:N212"/>
    <mergeCell ref="M213:N213"/>
  </mergeCells>
  <pageMargins left="0" right="0" top="0.94488188976377963" bottom="0.39370078740157483" header="0.31496062992125984" footer="0.31496062992125984"/>
  <pageSetup paperSize="9" scale="78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T259"/>
  <sheetViews>
    <sheetView workbookViewId="0">
      <pane xSplit="10" ySplit="15" topLeftCell="K197" activePane="bottomRight" state="frozen"/>
      <selection pane="topRight" activeCell="J1" sqref="J1"/>
      <selection pane="bottomLeft" activeCell="A16" sqref="A16"/>
      <selection pane="bottomRight" activeCell="H192" sqref="H192"/>
    </sheetView>
  </sheetViews>
  <sheetFormatPr defaultRowHeight="15"/>
  <cols>
    <col min="1" max="1" width="8.85546875" customWidth="1"/>
    <col min="2" max="2" width="38.42578125" customWidth="1"/>
    <col min="3" max="3" width="13.140625" customWidth="1"/>
    <col min="4" max="4" width="14.5703125" customWidth="1"/>
    <col min="5" max="5" width="13" style="83" customWidth="1"/>
    <col min="6" max="6" width="14.5703125" style="84" customWidth="1"/>
    <col min="7" max="7" width="12.5703125" style="83" customWidth="1"/>
    <col min="8" max="8" width="15" style="83" customWidth="1"/>
    <col min="9" max="9" width="14.7109375" style="84" customWidth="1"/>
    <col min="10" max="10" width="15.85546875" style="83" customWidth="1"/>
    <col min="11" max="11" width="12.140625" customWidth="1"/>
    <col min="12" max="12" width="10.7109375" customWidth="1"/>
    <col min="13" max="13" width="14.85546875" hidden="1" customWidth="1"/>
    <col min="14" max="14" width="15.5703125" hidden="1" customWidth="1"/>
    <col min="15" max="15" width="12.42578125" customWidth="1"/>
    <col min="16" max="16" width="15.5703125" customWidth="1"/>
    <col min="17" max="17" width="12.85546875" customWidth="1"/>
    <col min="18" max="18" width="13.28515625" customWidth="1"/>
    <col min="19" max="19" width="13.7109375" customWidth="1"/>
    <col min="20" max="20" width="11.85546875" customWidth="1"/>
  </cols>
  <sheetData>
    <row r="1" spans="1:20" ht="54" customHeight="1">
      <c r="A1" s="241" t="s">
        <v>226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</row>
    <row r="2" spans="1:20" ht="42.75" customHeight="1">
      <c r="A2" s="242" t="s">
        <v>317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</row>
    <row r="3" spans="1:20" ht="1.5" customHeight="1">
      <c r="A3" s="243"/>
      <c r="B3" s="243"/>
      <c r="C3" s="243"/>
      <c r="D3" s="69"/>
      <c r="E3" s="80"/>
      <c r="F3" s="80"/>
      <c r="G3" s="80"/>
      <c r="H3" s="82"/>
      <c r="I3" s="82"/>
      <c r="J3" s="82"/>
      <c r="K3" s="29"/>
      <c r="L3" s="29"/>
      <c r="M3" s="29"/>
      <c r="N3" s="29"/>
    </row>
    <row r="4" spans="1:20" ht="18.75">
      <c r="A4" s="244" t="s">
        <v>0</v>
      </c>
      <c r="B4" s="247" t="s">
        <v>1</v>
      </c>
      <c r="C4" s="244" t="s">
        <v>217</v>
      </c>
      <c r="D4" s="250" t="s">
        <v>304</v>
      </c>
      <c r="E4" s="251"/>
      <c r="F4" s="251"/>
      <c r="G4" s="252"/>
      <c r="H4" s="250" t="s">
        <v>227</v>
      </c>
      <c r="I4" s="251"/>
      <c r="J4" s="251"/>
      <c r="K4" s="251"/>
      <c r="L4" s="252"/>
      <c r="M4" s="253" t="s">
        <v>239</v>
      </c>
      <c r="N4" s="254"/>
    </row>
    <row r="5" spans="1:20" ht="15" customHeight="1">
      <c r="A5" s="245"/>
      <c r="B5" s="248"/>
      <c r="C5" s="245"/>
      <c r="D5" s="237" t="s">
        <v>305</v>
      </c>
      <c r="E5" s="237" t="s">
        <v>306</v>
      </c>
      <c r="F5" s="237" t="s">
        <v>229</v>
      </c>
      <c r="G5" s="237" t="s">
        <v>319</v>
      </c>
      <c r="H5" s="237" t="s">
        <v>305</v>
      </c>
      <c r="I5" s="237" t="s">
        <v>306</v>
      </c>
      <c r="J5" s="237" t="s">
        <v>229</v>
      </c>
      <c r="K5" s="237" t="s">
        <v>319</v>
      </c>
      <c r="L5" s="237" t="s">
        <v>320</v>
      </c>
      <c r="M5" s="255"/>
      <c r="N5" s="256"/>
    </row>
    <row r="6" spans="1:20" ht="41.25" customHeight="1">
      <c r="A6" s="246"/>
      <c r="B6" s="249"/>
      <c r="C6" s="246"/>
      <c r="D6" s="238"/>
      <c r="E6" s="238"/>
      <c r="F6" s="238"/>
      <c r="G6" s="238"/>
      <c r="H6" s="238"/>
      <c r="I6" s="238"/>
      <c r="J6" s="238"/>
      <c r="K6" s="238"/>
      <c r="L6" s="238"/>
      <c r="M6" s="257"/>
      <c r="N6" s="258"/>
    </row>
    <row r="7" spans="1:20" ht="15.75" customHeight="1">
      <c r="A7" s="35">
        <v>1</v>
      </c>
      <c r="B7" s="35">
        <v>2</v>
      </c>
      <c r="C7" s="35">
        <v>3</v>
      </c>
      <c r="D7" s="35"/>
      <c r="E7" s="35"/>
      <c r="F7" s="35"/>
      <c r="G7" s="35"/>
      <c r="H7" s="35">
        <v>4</v>
      </c>
      <c r="I7" s="35">
        <v>5</v>
      </c>
      <c r="J7" s="35">
        <v>6</v>
      </c>
      <c r="K7" s="35"/>
      <c r="L7" s="35">
        <v>7</v>
      </c>
      <c r="M7" s="239">
        <v>8</v>
      </c>
      <c r="N7" s="240"/>
      <c r="Q7">
        <v>69376.203999999998</v>
      </c>
      <c r="R7" s="30">
        <f>F8-Q7</f>
        <v>66.285499999998137</v>
      </c>
    </row>
    <row r="8" spans="1:20" ht="39" customHeight="1">
      <c r="A8" s="65" t="s">
        <v>2</v>
      </c>
      <c r="B8" s="6" t="s">
        <v>3</v>
      </c>
      <c r="C8" s="65" t="s">
        <v>4</v>
      </c>
      <c r="D8" s="7">
        <f>D9+D87+D93+D95+D97</f>
        <v>73170.115000000005</v>
      </c>
      <c r="E8" s="21">
        <f>E9+E87+E93+E95+E97</f>
        <v>68097.582999999999</v>
      </c>
      <c r="F8" s="7">
        <f>F9+F87+F93+F95+F97</f>
        <v>69442.489499999996</v>
      </c>
      <c r="G8" s="7">
        <f>F8-E8</f>
        <v>1344.9064999999973</v>
      </c>
      <c r="H8" s="7">
        <f>H9+H87+H93+H95+H97</f>
        <v>219510.345</v>
      </c>
      <c r="I8" s="21">
        <f>I9+I87+I93+I95+I97</f>
        <v>204292.74900000001</v>
      </c>
      <c r="J8" s="7">
        <f>J9+J87+J93+J95+J97</f>
        <v>207107.45049999998</v>
      </c>
      <c r="K8" s="71">
        <f>J8-I8</f>
        <v>2814.7014999999665</v>
      </c>
      <c r="L8" s="21">
        <f>K8/I8*100</f>
        <v>1.3777784643741644</v>
      </c>
      <c r="M8" s="220"/>
      <c r="N8" s="221"/>
      <c r="P8" s="30">
        <f>F8+фев!J8</f>
        <v>207107.44949999999</v>
      </c>
      <c r="Q8">
        <f>D8*3</f>
        <v>219510.34500000003</v>
      </c>
      <c r="R8" s="44">
        <f>E8+фев!I8</f>
        <v>204292.74900000001</v>
      </c>
      <c r="S8" s="30">
        <f>F8+фев!J8</f>
        <v>207107.44949999999</v>
      </c>
      <c r="T8" s="30">
        <f>J8-S8</f>
        <v>9.9999998928979039E-4</v>
      </c>
    </row>
    <row r="9" spans="1:20" ht="17.25" customHeight="1">
      <c r="A9" s="65" t="s">
        <v>5</v>
      </c>
      <c r="B9" s="6" t="s">
        <v>6</v>
      </c>
      <c r="C9" s="65" t="s">
        <v>4</v>
      </c>
      <c r="D9" s="7">
        <f>D10+D37+D72</f>
        <v>35732.106</v>
      </c>
      <c r="E9" s="21">
        <f>E10+E37+E72</f>
        <v>32135.084000000003</v>
      </c>
      <c r="F9" s="7">
        <f>F10+F37+F72</f>
        <v>32345.094000000005</v>
      </c>
      <c r="G9" s="7">
        <f>F9-E9</f>
        <v>210.01000000000204</v>
      </c>
      <c r="H9" s="7">
        <f>H10+H37+H72</f>
        <v>107196.318</v>
      </c>
      <c r="I9" s="21">
        <f>I10+I37+I72</f>
        <v>96405.252000000008</v>
      </c>
      <c r="J9" s="7">
        <f>J10+J37+J72</f>
        <v>106214.848</v>
      </c>
      <c r="K9" s="21">
        <f>J9-I9</f>
        <v>9809.5959999999905</v>
      </c>
      <c r="L9" s="21">
        <f>K9/I9*100</f>
        <v>10.175375092634983</v>
      </c>
      <c r="M9" s="220"/>
      <c r="N9" s="221"/>
      <c r="Q9">
        <f t="shared" ref="Q9:Q72" si="0">D9*3</f>
        <v>107196.318</v>
      </c>
      <c r="R9" s="44">
        <f>E9+фев!I9</f>
        <v>96405.252000000008</v>
      </c>
      <c r="S9" s="30">
        <f>F9+фев!J9</f>
        <v>106214.848</v>
      </c>
    </row>
    <row r="10" spans="1:20" ht="17.25" customHeight="1">
      <c r="A10" s="8" t="s">
        <v>7</v>
      </c>
      <c r="B10" s="9" t="s">
        <v>8</v>
      </c>
      <c r="C10" s="8" t="s">
        <v>4</v>
      </c>
      <c r="D10" s="10">
        <f>D11+D30+D35</f>
        <v>7601.0440000000008</v>
      </c>
      <c r="E10" s="10">
        <f>E11+E30+E35</f>
        <v>5895.3339999999998</v>
      </c>
      <c r="F10" s="10">
        <f>F11+F30+F35</f>
        <v>2756.6960000000004</v>
      </c>
      <c r="G10" s="10">
        <f>F10-E10</f>
        <v>-3138.6379999999995</v>
      </c>
      <c r="H10" s="10">
        <f>H11+H30+H35</f>
        <v>22803.132000000001</v>
      </c>
      <c r="I10" s="10">
        <f>I11+I30+I35</f>
        <v>17686.002</v>
      </c>
      <c r="J10" s="10">
        <f>J11+J30+J35</f>
        <v>19639.962</v>
      </c>
      <c r="K10" s="10">
        <f>J10-I10</f>
        <v>1953.9599999999991</v>
      </c>
      <c r="L10" s="16">
        <f>K10/I10*100</f>
        <v>11.048059363557684</v>
      </c>
      <c r="M10" s="220"/>
      <c r="N10" s="221"/>
      <c r="Q10">
        <f t="shared" si="0"/>
        <v>22803.132000000001</v>
      </c>
      <c r="R10" s="44">
        <f>E10+фев!I10</f>
        <v>17686.002</v>
      </c>
      <c r="S10" s="30">
        <f>F10+фев!J10</f>
        <v>19639.962</v>
      </c>
    </row>
    <row r="11" spans="1:20" ht="17.25" customHeight="1">
      <c r="A11" s="8" t="s">
        <v>9</v>
      </c>
      <c r="B11" s="9" t="s">
        <v>10</v>
      </c>
      <c r="C11" s="8" t="s">
        <v>4</v>
      </c>
      <c r="D11" s="10">
        <f>D12+D15+D18+D21+D24+D27</f>
        <v>5032.2450000000008</v>
      </c>
      <c r="E11" s="8">
        <v>4970.0829999999996</v>
      </c>
      <c r="F11" s="10">
        <f>F12+F15+F18+F21+F24+F27</f>
        <v>2098.8690000000001</v>
      </c>
      <c r="G11" s="10">
        <f t="shared" ref="G11:G74" si="1">F11-E11</f>
        <v>-2871.2139999999995</v>
      </c>
      <c r="H11" s="10">
        <f>H12+H15+H18+H21+H24+H27</f>
        <v>15096.735000000001</v>
      </c>
      <c r="I11" s="8">
        <f>E11+фев!I11</f>
        <v>14910.249</v>
      </c>
      <c r="J11" s="10">
        <f>J12+J15+J18+J21+J24+J27</f>
        <v>9363.7289999999994</v>
      </c>
      <c r="K11" s="10">
        <f t="shared" ref="K11:K74" si="2">J11-I11</f>
        <v>-5546.52</v>
      </c>
      <c r="L11" s="16">
        <f t="shared" ref="L11:L72" si="3">K11/I11*100</f>
        <v>-37.199378762889879</v>
      </c>
      <c r="M11" s="220"/>
      <c r="N11" s="221"/>
      <c r="Q11">
        <f t="shared" si="0"/>
        <v>15096.735000000002</v>
      </c>
      <c r="R11" s="44">
        <f>E11+фев!I11</f>
        <v>14910.249</v>
      </c>
      <c r="S11" s="30">
        <f>F11+фев!J11</f>
        <v>9363.7289999999994</v>
      </c>
    </row>
    <row r="12" spans="1:20" ht="18.75" customHeight="1">
      <c r="A12" s="8" t="s">
        <v>11</v>
      </c>
      <c r="B12" s="9" t="s">
        <v>12</v>
      </c>
      <c r="C12" s="8" t="s">
        <v>4</v>
      </c>
      <c r="D12" s="10">
        <v>852.13199999999995</v>
      </c>
      <c r="E12" s="8"/>
      <c r="F12" s="10">
        <v>590.75</v>
      </c>
      <c r="G12" s="10">
        <f t="shared" si="1"/>
        <v>590.75</v>
      </c>
      <c r="H12" s="10">
        <f>D12+фев!H12</f>
        <v>2556.3959999999997</v>
      </c>
      <c r="I12" s="8"/>
      <c r="J12" s="8">
        <f>F12+фев!J12</f>
        <v>1715.7860000000001</v>
      </c>
      <c r="K12" s="10">
        <f t="shared" si="2"/>
        <v>1715.7860000000001</v>
      </c>
      <c r="L12" s="16"/>
      <c r="M12" s="222" t="s">
        <v>297</v>
      </c>
      <c r="N12" s="223"/>
      <c r="Q12">
        <f t="shared" si="0"/>
        <v>2556.3959999999997</v>
      </c>
      <c r="R12" s="44">
        <f>E12+фев!I12</f>
        <v>0</v>
      </c>
      <c r="S12" s="30">
        <f>F12+фев!J12</f>
        <v>1715.7860000000001</v>
      </c>
    </row>
    <row r="13" spans="1:20" ht="17.25" customHeight="1">
      <c r="A13" s="8"/>
      <c r="B13" s="12" t="s">
        <v>13</v>
      </c>
      <c r="C13" s="13" t="s">
        <v>14</v>
      </c>
      <c r="D13" s="14">
        <v>3667</v>
      </c>
      <c r="E13" s="13"/>
      <c r="F13" s="8">
        <v>1946</v>
      </c>
      <c r="G13" s="10">
        <f t="shared" si="1"/>
        <v>1946</v>
      </c>
      <c r="H13" s="10">
        <f>D13+фев!H13</f>
        <v>11001</v>
      </c>
      <c r="I13" s="8"/>
      <c r="J13" s="8">
        <f>F13+фев!J13</f>
        <v>5652</v>
      </c>
      <c r="K13" s="14">
        <f t="shared" si="2"/>
        <v>5652</v>
      </c>
      <c r="L13" s="16"/>
      <c r="M13" s="220"/>
      <c r="N13" s="221"/>
      <c r="Q13">
        <f t="shared" si="0"/>
        <v>11001</v>
      </c>
      <c r="R13" s="44">
        <f>E13+фев!I13</f>
        <v>0</v>
      </c>
      <c r="S13" s="30">
        <f>F13+фев!J13</f>
        <v>5652</v>
      </c>
    </row>
    <row r="14" spans="1:20" ht="17.25" customHeight="1">
      <c r="A14" s="15"/>
      <c r="B14" s="12" t="s">
        <v>15</v>
      </c>
      <c r="C14" s="13" t="s">
        <v>16</v>
      </c>
      <c r="D14" s="16">
        <f>D12/D13*1000</f>
        <v>232.37851104445048</v>
      </c>
      <c r="E14" s="16"/>
      <c r="F14" s="16">
        <f t="shared" ref="F14" si="4">F12/F13*1000</f>
        <v>303.57142857142856</v>
      </c>
      <c r="G14" s="10">
        <f t="shared" si="1"/>
        <v>303.57142857142856</v>
      </c>
      <c r="H14" s="16">
        <f>H12/H13*1000</f>
        <v>232.37851104445048</v>
      </c>
      <c r="I14" s="16"/>
      <c r="J14" s="16">
        <f t="shared" ref="J14" si="5">J12/J13*1000</f>
        <v>303.57147912243454</v>
      </c>
      <c r="K14" s="16">
        <f t="shared" si="2"/>
        <v>303.57147912243454</v>
      </c>
      <c r="L14" s="16"/>
      <c r="M14" s="220"/>
      <c r="N14" s="221"/>
      <c r="Q14">
        <f t="shared" si="0"/>
        <v>697.13553313335137</v>
      </c>
      <c r="R14" s="44">
        <f>E14+фев!I14</f>
        <v>0</v>
      </c>
      <c r="S14" s="30">
        <f>F14+фев!J14</f>
        <v>607.14293423791537</v>
      </c>
    </row>
    <row r="15" spans="1:20" ht="17.25" customHeight="1">
      <c r="A15" s="8" t="s">
        <v>17</v>
      </c>
      <c r="B15" s="9" t="s">
        <v>18</v>
      </c>
      <c r="C15" s="8" t="s">
        <v>4</v>
      </c>
      <c r="D15" s="10">
        <v>2808.576</v>
      </c>
      <c r="E15" s="8"/>
      <c r="F15" s="87">
        <v>370.09899999999999</v>
      </c>
      <c r="G15" s="10">
        <f t="shared" si="1"/>
        <v>370.09899999999999</v>
      </c>
      <c r="H15" s="10">
        <f>D15+фев!H15</f>
        <v>8425.7279999999992</v>
      </c>
      <c r="I15" s="8"/>
      <c r="J15" s="8">
        <f>F15+фев!J15</f>
        <v>4264.1030000000001</v>
      </c>
      <c r="K15" s="10">
        <f t="shared" si="2"/>
        <v>4264.1030000000001</v>
      </c>
      <c r="L15" s="16"/>
      <c r="M15" s="220"/>
      <c r="N15" s="221"/>
      <c r="Q15">
        <f t="shared" si="0"/>
        <v>8425.7279999999992</v>
      </c>
      <c r="R15" s="44">
        <f>E15+фев!I15</f>
        <v>0</v>
      </c>
      <c r="S15" s="30">
        <f>F15+фев!J15</f>
        <v>4264.1030000000001</v>
      </c>
    </row>
    <row r="16" spans="1:20" ht="17.25" customHeight="1">
      <c r="A16" s="8"/>
      <c r="B16" s="12" t="s">
        <v>13</v>
      </c>
      <c r="C16" s="13" t="s">
        <v>14</v>
      </c>
      <c r="D16" s="14">
        <v>15000</v>
      </c>
      <c r="E16" s="13"/>
      <c r="F16" s="8">
        <v>2928</v>
      </c>
      <c r="G16" s="10">
        <f t="shared" si="1"/>
        <v>2928</v>
      </c>
      <c r="H16" s="10">
        <f>D16+фев!H16</f>
        <v>45000</v>
      </c>
      <c r="I16" s="8"/>
      <c r="J16" s="8">
        <f>F16+фев!J16</f>
        <v>33735</v>
      </c>
      <c r="K16" s="14">
        <f t="shared" si="2"/>
        <v>33735</v>
      </c>
      <c r="L16" s="16"/>
      <c r="M16" s="220"/>
      <c r="N16" s="221"/>
      <c r="Q16">
        <f t="shared" si="0"/>
        <v>45000</v>
      </c>
      <c r="R16" s="44">
        <f>E16+фев!I16</f>
        <v>0</v>
      </c>
      <c r="S16" s="30">
        <f>F16+фев!J16</f>
        <v>33735</v>
      </c>
    </row>
    <row r="17" spans="1:19" ht="17.25" customHeight="1">
      <c r="A17" s="8"/>
      <c r="B17" s="12" t="s">
        <v>15</v>
      </c>
      <c r="C17" s="13" t="s">
        <v>16</v>
      </c>
      <c r="D17" s="16">
        <f>D15/D16*1000</f>
        <v>187.23840000000001</v>
      </c>
      <c r="E17" s="16"/>
      <c r="F17" s="16">
        <f t="shared" ref="F17" si="6">F15/F16*1000</f>
        <v>126.39993169398906</v>
      </c>
      <c r="G17" s="10">
        <f t="shared" si="1"/>
        <v>126.39993169398906</v>
      </c>
      <c r="H17" s="16">
        <f>H15/H16*1000</f>
        <v>187.23839999999998</v>
      </c>
      <c r="I17" s="16" t="e">
        <f t="shared" ref="I17:J17" si="7">I15/I16*1000</f>
        <v>#DIV/0!</v>
      </c>
      <c r="J17" s="16">
        <f t="shared" si="7"/>
        <v>126.3999703571958</v>
      </c>
      <c r="K17" s="16" t="e">
        <f t="shared" si="2"/>
        <v>#DIV/0!</v>
      </c>
      <c r="L17" s="16"/>
      <c r="M17" s="220"/>
      <c r="N17" s="221"/>
      <c r="Q17">
        <f t="shared" si="0"/>
        <v>561.7152000000001</v>
      </c>
      <c r="R17" s="44">
        <f>E17+фев!I17</f>
        <v>0</v>
      </c>
      <c r="S17" s="30">
        <f>F17+фев!J17</f>
        <v>126.39993169398906</v>
      </c>
    </row>
    <row r="18" spans="1:19" ht="17.25" customHeight="1">
      <c r="A18" s="8" t="s">
        <v>19</v>
      </c>
      <c r="B18" s="9" t="s">
        <v>20</v>
      </c>
      <c r="C18" s="8" t="s">
        <v>4</v>
      </c>
      <c r="D18" s="10">
        <v>241.64599999999999</v>
      </c>
      <c r="E18" s="8"/>
      <c r="F18" s="87">
        <v>32.200000000000003</v>
      </c>
      <c r="G18" s="10">
        <f t="shared" si="1"/>
        <v>32.200000000000003</v>
      </c>
      <c r="H18" s="10">
        <f>D18+фев!H18</f>
        <v>724.93799999999999</v>
      </c>
      <c r="I18" s="8"/>
      <c r="J18" s="10">
        <f>F18+фев!J18</f>
        <v>120.2</v>
      </c>
      <c r="K18" s="10">
        <f t="shared" si="2"/>
        <v>120.2</v>
      </c>
      <c r="L18" s="16"/>
      <c r="M18" s="220"/>
      <c r="N18" s="221"/>
      <c r="Q18">
        <f t="shared" si="0"/>
        <v>724.93799999999999</v>
      </c>
      <c r="R18" s="44">
        <f>E18+фев!I18</f>
        <v>0</v>
      </c>
      <c r="S18" s="30">
        <f>F18+фев!J18</f>
        <v>120.2</v>
      </c>
    </row>
    <row r="19" spans="1:19" ht="17.25" customHeight="1">
      <c r="A19" s="8"/>
      <c r="B19" s="12" t="s">
        <v>13</v>
      </c>
      <c r="C19" s="13" t="s">
        <v>14</v>
      </c>
      <c r="D19" s="14">
        <v>1025</v>
      </c>
      <c r="E19" s="13"/>
      <c r="F19" s="8">
        <v>50</v>
      </c>
      <c r="G19" s="10">
        <f t="shared" si="1"/>
        <v>50</v>
      </c>
      <c r="H19" s="10">
        <f>D19+фев!H19</f>
        <v>3075</v>
      </c>
      <c r="I19" s="8"/>
      <c r="J19" s="8">
        <f>F19+фев!J19</f>
        <v>250</v>
      </c>
      <c r="K19" s="14">
        <f t="shared" si="2"/>
        <v>250</v>
      </c>
      <c r="L19" s="16"/>
      <c r="M19" s="220"/>
      <c r="N19" s="221"/>
      <c r="Q19">
        <f t="shared" si="0"/>
        <v>3075</v>
      </c>
      <c r="R19" s="44">
        <f>E19+фев!I19</f>
        <v>0</v>
      </c>
      <c r="S19" s="30">
        <f>F19+фев!J19</f>
        <v>250</v>
      </c>
    </row>
    <row r="20" spans="1:19" ht="17.25" customHeight="1">
      <c r="A20" s="8"/>
      <c r="B20" s="12" t="s">
        <v>15</v>
      </c>
      <c r="C20" s="13" t="s">
        <v>16</v>
      </c>
      <c r="D20" s="16">
        <f>D18/D19*1000</f>
        <v>235.75219512195119</v>
      </c>
      <c r="E20" s="13"/>
      <c r="F20" s="8"/>
      <c r="G20" s="10">
        <f t="shared" si="1"/>
        <v>0</v>
      </c>
      <c r="H20" s="16">
        <f>H18/H19*1000</f>
        <v>235.75219512195122</v>
      </c>
      <c r="I20" s="16"/>
      <c r="J20" s="16">
        <f t="shared" ref="J20" si="8">J18/J19*1000</f>
        <v>480.8</v>
      </c>
      <c r="K20" s="16">
        <f t="shared" si="2"/>
        <v>480.8</v>
      </c>
      <c r="L20" s="16"/>
      <c r="M20" s="220"/>
      <c r="N20" s="221"/>
      <c r="Q20">
        <f t="shared" si="0"/>
        <v>707.25658536585354</v>
      </c>
      <c r="R20" s="44">
        <f>E20+фев!I20</f>
        <v>0</v>
      </c>
      <c r="S20" s="30">
        <f>F20+фев!J20</f>
        <v>0</v>
      </c>
    </row>
    <row r="21" spans="1:19" ht="17.25" customHeight="1">
      <c r="A21" s="8" t="s">
        <v>21</v>
      </c>
      <c r="B21" s="9" t="s">
        <v>22</v>
      </c>
      <c r="C21" s="8" t="s">
        <v>4</v>
      </c>
      <c r="D21" s="10">
        <v>750.73</v>
      </c>
      <c r="E21" s="8"/>
      <c r="F21" s="87">
        <v>897.9</v>
      </c>
      <c r="G21" s="10">
        <f t="shared" si="1"/>
        <v>897.9</v>
      </c>
      <c r="H21" s="10">
        <f>D21+фев!H21</f>
        <v>2252.19</v>
      </c>
      <c r="I21" s="8"/>
      <c r="J21" s="10">
        <f>F21+фев!J21</f>
        <v>3055.72</v>
      </c>
      <c r="K21" s="10">
        <f t="shared" si="2"/>
        <v>3055.72</v>
      </c>
      <c r="L21" s="16"/>
      <c r="M21" s="220"/>
      <c r="N21" s="221"/>
      <c r="Q21">
        <f t="shared" si="0"/>
        <v>2252.19</v>
      </c>
      <c r="R21" s="44">
        <f>E21+фев!I21</f>
        <v>0</v>
      </c>
      <c r="S21" s="30">
        <f>F21+фев!J21</f>
        <v>3055.72</v>
      </c>
    </row>
    <row r="22" spans="1:19" ht="17.25" customHeight="1">
      <c r="A22" s="8"/>
      <c r="B22" s="12" t="s">
        <v>13</v>
      </c>
      <c r="C22" s="13" t="s">
        <v>14</v>
      </c>
      <c r="D22" s="14">
        <v>5883</v>
      </c>
      <c r="E22" s="13"/>
      <c r="F22" s="8">
        <v>5250</v>
      </c>
      <c r="G22" s="10">
        <f t="shared" si="1"/>
        <v>5250</v>
      </c>
      <c r="H22" s="10">
        <f>D22+фев!H22</f>
        <v>17649</v>
      </c>
      <c r="I22" s="8"/>
      <c r="J22" s="8">
        <f>F22+фев!J22</f>
        <v>17540</v>
      </c>
      <c r="K22" s="14">
        <f t="shared" si="2"/>
        <v>17540</v>
      </c>
      <c r="L22" s="16"/>
      <c r="M22" s="220"/>
      <c r="N22" s="221"/>
      <c r="Q22">
        <f t="shared" si="0"/>
        <v>17649</v>
      </c>
      <c r="R22" s="44">
        <f>E22+фев!I22</f>
        <v>0</v>
      </c>
      <c r="S22" s="30">
        <f>F22+фев!J22</f>
        <v>17540</v>
      </c>
    </row>
    <row r="23" spans="1:19" ht="17.25" customHeight="1">
      <c r="A23" s="8"/>
      <c r="B23" s="12" t="s">
        <v>15</v>
      </c>
      <c r="C23" s="13" t="s">
        <v>16</v>
      </c>
      <c r="D23" s="16">
        <f>D21/D22*1000</f>
        <v>127.61006289308177</v>
      </c>
      <c r="E23" s="13"/>
      <c r="F23" s="16">
        <f t="shared" ref="F23" si="9">F21/F22*1000</f>
        <v>171.02857142857141</v>
      </c>
      <c r="G23" s="10">
        <f t="shared" si="1"/>
        <v>171.02857142857141</v>
      </c>
      <c r="H23" s="16">
        <f>H21/H22*1000</f>
        <v>127.61006289308177</v>
      </c>
      <c r="I23" s="8"/>
      <c r="J23" s="16">
        <f t="shared" ref="J23" si="10">J21/J22*1000</f>
        <v>174.21436716077534</v>
      </c>
      <c r="K23" s="16">
        <f t="shared" si="2"/>
        <v>174.21436716077534</v>
      </c>
      <c r="L23" s="16"/>
      <c r="M23" s="220"/>
      <c r="N23" s="221"/>
      <c r="Q23">
        <f t="shared" si="0"/>
        <v>382.83018867924534</v>
      </c>
      <c r="R23" s="44">
        <f>E23+фев!I23</f>
        <v>0</v>
      </c>
      <c r="S23" s="30">
        <f>F23+фев!J23</f>
        <v>171.02857142857141</v>
      </c>
    </row>
    <row r="24" spans="1:19" ht="17.25" customHeight="1">
      <c r="A24" s="8" t="s">
        <v>23</v>
      </c>
      <c r="B24" s="9" t="s">
        <v>24</v>
      </c>
      <c r="C24" s="8" t="s">
        <v>4</v>
      </c>
      <c r="D24" s="10">
        <v>165.005</v>
      </c>
      <c r="E24" s="13"/>
      <c r="F24" s="10">
        <v>207.92</v>
      </c>
      <c r="G24" s="10">
        <f t="shared" si="1"/>
        <v>207.92</v>
      </c>
      <c r="H24" s="10">
        <f>D24+фев!H24</f>
        <v>495.01499999999999</v>
      </c>
      <c r="I24" s="8"/>
      <c r="J24" s="10">
        <f>F24+фев!J24</f>
        <v>207.92</v>
      </c>
      <c r="K24" s="10">
        <f t="shared" si="2"/>
        <v>207.92</v>
      </c>
      <c r="L24" s="16"/>
      <c r="M24" s="220"/>
      <c r="N24" s="221"/>
      <c r="Q24">
        <f t="shared" si="0"/>
        <v>495.01499999999999</v>
      </c>
      <c r="R24" s="44">
        <f>E24+фев!I24</f>
        <v>0</v>
      </c>
      <c r="S24" s="30">
        <f>F24+фев!J24</f>
        <v>207.92</v>
      </c>
    </row>
    <row r="25" spans="1:19" ht="17.25" customHeight="1">
      <c r="A25" s="8"/>
      <c r="B25" s="12" t="s">
        <v>13</v>
      </c>
      <c r="C25" s="13" t="s">
        <v>14</v>
      </c>
      <c r="D25" s="14">
        <v>251</v>
      </c>
      <c r="E25" s="13"/>
      <c r="F25" s="8">
        <v>400</v>
      </c>
      <c r="G25" s="10">
        <f t="shared" si="1"/>
        <v>400</v>
      </c>
      <c r="H25" s="10">
        <f>D25+фев!H25</f>
        <v>753</v>
      </c>
      <c r="I25" s="8"/>
      <c r="J25" s="8">
        <f>F25+фев!J25</f>
        <v>400</v>
      </c>
      <c r="K25" s="14">
        <f t="shared" si="2"/>
        <v>400</v>
      </c>
      <c r="L25" s="16"/>
      <c r="M25" s="220"/>
      <c r="N25" s="221"/>
      <c r="Q25">
        <f t="shared" si="0"/>
        <v>753</v>
      </c>
      <c r="R25" s="44">
        <f>E25+фев!I25</f>
        <v>0</v>
      </c>
      <c r="S25" s="30">
        <f>F25+фев!J25</f>
        <v>400</v>
      </c>
    </row>
    <row r="26" spans="1:19" ht="17.25" customHeight="1">
      <c r="A26" s="8"/>
      <c r="B26" s="12" t="s">
        <v>15</v>
      </c>
      <c r="C26" s="13" t="s">
        <v>16</v>
      </c>
      <c r="D26" s="16">
        <f>D24/D25*1000</f>
        <v>657.39043824701196</v>
      </c>
      <c r="E26" s="16"/>
      <c r="F26" s="16">
        <f t="shared" ref="F26" si="11">F24/F25*1000</f>
        <v>519.79999999999995</v>
      </c>
      <c r="G26" s="10">
        <f t="shared" si="1"/>
        <v>519.79999999999995</v>
      </c>
      <c r="H26" s="16">
        <f>H24/H25*1000</f>
        <v>657.39043824701196</v>
      </c>
      <c r="I26" s="16"/>
      <c r="J26" s="16"/>
      <c r="K26" s="10"/>
      <c r="L26" s="16"/>
      <c r="M26" s="220"/>
      <c r="N26" s="221"/>
      <c r="Q26">
        <f t="shared" si="0"/>
        <v>1972.171314741036</v>
      </c>
      <c r="R26" s="44">
        <f>E26+фев!I26</f>
        <v>0</v>
      </c>
      <c r="S26" s="30">
        <f>F26+фев!J26</f>
        <v>519.79999999999995</v>
      </c>
    </row>
    <row r="27" spans="1:19" ht="17.25" customHeight="1">
      <c r="A27" s="8" t="s">
        <v>23</v>
      </c>
      <c r="B27" s="9" t="s">
        <v>25</v>
      </c>
      <c r="C27" s="8" t="s">
        <v>4</v>
      </c>
      <c r="D27" s="10">
        <v>214.15600000000001</v>
      </c>
      <c r="E27" s="8"/>
      <c r="F27" s="8"/>
      <c r="G27" s="10">
        <f t="shared" si="1"/>
        <v>0</v>
      </c>
      <c r="H27" s="10">
        <f>D27+фев!H27</f>
        <v>642.46800000000007</v>
      </c>
      <c r="I27" s="8"/>
      <c r="J27" s="8">
        <f>F27+фев!J27</f>
        <v>0</v>
      </c>
      <c r="K27" s="10">
        <f t="shared" si="2"/>
        <v>0</v>
      </c>
      <c r="L27" s="16"/>
      <c r="M27" s="220"/>
      <c r="N27" s="221"/>
      <c r="Q27">
        <f t="shared" si="0"/>
        <v>642.46800000000007</v>
      </c>
      <c r="R27" s="44">
        <f>E27+фев!I27</f>
        <v>0</v>
      </c>
      <c r="S27" s="30">
        <f>F27+фев!J27</f>
        <v>0</v>
      </c>
    </row>
    <row r="28" spans="1:19" ht="17.25" customHeight="1">
      <c r="A28" s="8"/>
      <c r="B28" s="12" t="s">
        <v>13</v>
      </c>
      <c r="C28" s="13" t="s">
        <v>14</v>
      </c>
      <c r="D28" s="14">
        <v>238</v>
      </c>
      <c r="E28" s="13"/>
      <c r="F28" s="8"/>
      <c r="G28" s="10">
        <f t="shared" si="1"/>
        <v>0</v>
      </c>
      <c r="H28" s="10">
        <f>D28+фев!H28</f>
        <v>714</v>
      </c>
      <c r="I28" s="8"/>
      <c r="J28" s="8">
        <f>F28+фев!J28</f>
        <v>0</v>
      </c>
      <c r="K28" s="14">
        <f t="shared" si="2"/>
        <v>0</v>
      </c>
      <c r="L28" s="16"/>
      <c r="M28" s="220"/>
      <c r="N28" s="221"/>
      <c r="Q28">
        <f t="shared" si="0"/>
        <v>714</v>
      </c>
      <c r="R28" s="44">
        <f>E28+фев!I28</f>
        <v>0</v>
      </c>
      <c r="S28" s="30">
        <f>F28+фев!J28</f>
        <v>0</v>
      </c>
    </row>
    <row r="29" spans="1:19" ht="17.25" customHeight="1">
      <c r="A29" s="8"/>
      <c r="B29" s="12" t="s">
        <v>15</v>
      </c>
      <c r="C29" s="13" t="s">
        <v>16</v>
      </c>
      <c r="D29" s="16">
        <f>D27/D28*1000</f>
        <v>899.81512605042019</v>
      </c>
      <c r="E29" s="13"/>
      <c r="F29" s="8"/>
      <c r="G29" s="10">
        <f t="shared" si="1"/>
        <v>0</v>
      </c>
      <c r="H29" s="16">
        <f>H27/H28*1000</f>
        <v>899.81512605042019</v>
      </c>
      <c r="I29" s="8"/>
      <c r="J29" s="13"/>
      <c r="K29" s="16">
        <f t="shared" si="2"/>
        <v>0</v>
      </c>
      <c r="L29" s="16"/>
      <c r="M29" s="220"/>
      <c r="N29" s="221"/>
      <c r="Q29">
        <f t="shared" si="0"/>
        <v>2699.4453781512607</v>
      </c>
      <c r="R29" s="44">
        <f>E29+фев!I29</f>
        <v>0</v>
      </c>
      <c r="S29" s="30">
        <f>F29+фев!J29</f>
        <v>0</v>
      </c>
    </row>
    <row r="30" spans="1:19" ht="17.25" customHeight="1">
      <c r="A30" s="18" t="s">
        <v>26</v>
      </c>
      <c r="B30" s="9" t="s">
        <v>27</v>
      </c>
      <c r="C30" s="8" t="s">
        <v>4</v>
      </c>
      <c r="D30" s="10">
        <f t="shared" ref="D30" si="12">D31+D32+D33+D34</f>
        <v>2406.0839999999998</v>
      </c>
      <c r="E30" s="8">
        <v>762.50099999999998</v>
      </c>
      <c r="F30" s="10">
        <f>F31+F32+F33+F34</f>
        <v>309.06299999999999</v>
      </c>
      <c r="G30" s="10">
        <f t="shared" si="1"/>
        <v>-453.43799999999999</v>
      </c>
      <c r="H30" s="10">
        <f t="shared" ref="H30" si="13">H31+H32+H33+H34</f>
        <v>7218.2520000000004</v>
      </c>
      <c r="I30" s="8">
        <f>E30+фев!I30</f>
        <v>2287.5029999999997</v>
      </c>
      <c r="J30" s="10">
        <f t="shared" ref="J30" si="14">J31+J32+J33+J34</f>
        <v>8571.0569999999989</v>
      </c>
      <c r="K30" s="10">
        <f t="shared" si="2"/>
        <v>6283.5539999999992</v>
      </c>
      <c r="L30" s="16">
        <f t="shared" si="3"/>
        <v>274.69052499603276</v>
      </c>
      <c r="M30" s="220"/>
      <c r="N30" s="221"/>
      <c r="Q30">
        <f t="shared" si="0"/>
        <v>7218.2519999999995</v>
      </c>
      <c r="R30" s="44">
        <f>E30+фев!I30</f>
        <v>2287.5029999999997</v>
      </c>
      <c r="S30" s="30">
        <f>F30+фев!J30</f>
        <v>8571.0570000000007</v>
      </c>
    </row>
    <row r="31" spans="1:19" ht="35.25" customHeight="1">
      <c r="A31" s="18" t="s">
        <v>28</v>
      </c>
      <c r="B31" s="9" t="s">
        <v>29</v>
      </c>
      <c r="C31" s="8" t="s">
        <v>4</v>
      </c>
      <c r="D31" s="10">
        <v>2288.5219999999999</v>
      </c>
      <c r="E31" s="8"/>
      <c r="F31" s="8">
        <v>257.50299999999999</v>
      </c>
      <c r="G31" s="10">
        <f t="shared" si="1"/>
        <v>257.50299999999999</v>
      </c>
      <c r="H31" s="10">
        <f>D31+фев!H31</f>
        <v>6865.5659999999998</v>
      </c>
      <c r="I31" s="8"/>
      <c r="J31" s="8">
        <f>F31+фев!J31</f>
        <v>8310.4809999999998</v>
      </c>
      <c r="K31" s="10">
        <f t="shared" si="2"/>
        <v>8310.4809999999998</v>
      </c>
      <c r="L31" s="16"/>
      <c r="M31" s="220"/>
      <c r="N31" s="221"/>
      <c r="O31">
        <f>P31-J31</f>
        <v>0</v>
      </c>
      <c r="P31">
        <f>8310.481</f>
        <v>8310.4809999999998</v>
      </c>
      <c r="Q31">
        <f t="shared" si="0"/>
        <v>6865.5659999999998</v>
      </c>
      <c r="R31" s="44">
        <f>E31+фев!I31</f>
        <v>0</v>
      </c>
      <c r="S31" s="30">
        <f>F31+фев!J31</f>
        <v>8310.4809999999998</v>
      </c>
    </row>
    <row r="32" spans="1:19" ht="51.75" customHeight="1">
      <c r="A32" s="18" t="s">
        <v>30</v>
      </c>
      <c r="B32" s="9" t="s">
        <v>31</v>
      </c>
      <c r="C32" s="8" t="s">
        <v>4</v>
      </c>
      <c r="D32" s="10">
        <v>60.337000000000003</v>
      </c>
      <c r="E32" s="8"/>
      <c r="F32" s="10">
        <v>19.641999999999999</v>
      </c>
      <c r="G32" s="10">
        <f t="shared" si="1"/>
        <v>19.641999999999999</v>
      </c>
      <c r="H32" s="10">
        <f>D32+фев!H32</f>
        <v>181.01100000000002</v>
      </c>
      <c r="I32" s="8"/>
      <c r="J32" s="8">
        <f>F32+фев!J32</f>
        <v>149.80199999999999</v>
      </c>
      <c r="K32" s="10">
        <f t="shared" si="2"/>
        <v>149.80199999999999</v>
      </c>
      <c r="L32" s="16"/>
      <c r="M32" s="222" t="s">
        <v>285</v>
      </c>
      <c r="N32" s="223"/>
      <c r="Q32">
        <f t="shared" si="0"/>
        <v>181.01100000000002</v>
      </c>
      <c r="R32" s="44">
        <f>E32+фев!I32</f>
        <v>0</v>
      </c>
      <c r="S32" s="30">
        <f>F32+фев!J32</f>
        <v>149.80199999999999</v>
      </c>
    </row>
    <row r="33" spans="1:19" ht="17.25" customHeight="1">
      <c r="A33" s="18" t="s">
        <v>32</v>
      </c>
      <c r="B33" s="9" t="s">
        <v>33</v>
      </c>
      <c r="C33" s="8" t="s">
        <v>4</v>
      </c>
      <c r="D33" s="10">
        <v>19.736999999999998</v>
      </c>
      <c r="E33" s="8"/>
      <c r="F33" s="8">
        <v>19.367000000000001</v>
      </c>
      <c r="G33" s="10">
        <f t="shared" si="1"/>
        <v>19.367000000000001</v>
      </c>
      <c r="H33" s="10">
        <f>D33+фев!H33</f>
        <v>59.210999999999999</v>
      </c>
      <c r="I33" s="8"/>
      <c r="J33" s="8">
        <f>F33+фев!J33</f>
        <v>35.088999999999999</v>
      </c>
      <c r="K33" s="10">
        <f t="shared" si="2"/>
        <v>35.088999999999999</v>
      </c>
      <c r="L33" s="16"/>
      <c r="M33" s="220"/>
      <c r="N33" s="221"/>
      <c r="Q33">
        <f t="shared" si="0"/>
        <v>59.210999999999999</v>
      </c>
      <c r="R33" s="44">
        <f>E33+фев!I33</f>
        <v>0</v>
      </c>
      <c r="S33" s="30">
        <f>F33+фев!J33</f>
        <v>35.088999999999999</v>
      </c>
    </row>
    <row r="34" spans="1:19" ht="33" customHeight="1">
      <c r="A34" s="18" t="s">
        <v>34</v>
      </c>
      <c r="B34" s="9" t="s">
        <v>35</v>
      </c>
      <c r="C34" s="8" t="s">
        <v>4</v>
      </c>
      <c r="D34" s="10">
        <v>37.488</v>
      </c>
      <c r="E34" s="8"/>
      <c r="F34" s="8">
        <v>12.551</v>
      </c>
      <c r="G34" s="10">
        <f t="shared" si="1"/>
        <v>12.551</v>
      </c>
      <c r="H34" s="10">
        <f>D34+фев!H34</f>
        <v>112.464</v>
      </c>
      <c r="I34" s="8"/>
      <c r="J34" s="8">
        <f>F34+фев!J34</f>
        <v>75.685000000000002</v>
      </c>
      <c r="K34" s="10">
        <f t="shared" si="2"/>
        <v>75.685000000000002</v>
      </c>
      <c r="L34" s="16"/>
      <c r="M34" s="220"/>
      <c r="N34" s="221"/>
      <c r="Q34">
        <f t="shared" si="0"/>
        <v>112.464</v>
      </c>
      <c r="R34" s="44">
        <f>E34+фев!I34</f>
        <v>0</v>
      </c>
      <c r="S34" s="30">
        <f>F34+фев!J34</f>
        <v>75.685000000000002</v>
      </c>
    </row>
    <row r="35" spans="1:19" ht="17.25" customHeight="1">
      <c r="A35" s="18" t="s">
        <v>36</v>
      </c>
      <c r="B35" s="9" t="s">
        <v>37</v>
      </c>
      <c r="C35" s="8" t="s">
        <v>4</v>
      </c>
      <c r="D35" s="10">
        <f t="shared" ref="D35:J35" si="15">D36</f>
        <v>162.715</v>
      </c>
      <c r="E35" s="10">
        <f t="shared" si="15"/>
        <v>162.75</v>
      </c>
      <c r="F35" s="10">
        <f t="shared" si="15"/>
        <v>348.76400000000001</v>
      </c>
      <c r="G35" s="10">
        <f t="shared" si="1"/>
        <v>186.01400000000001</v>
      </c>
      <c r="H35" s="10">
        <f t="shared" si="15"/>
        <v>488.14499999999998</v>
      </c>
      <c r="I35" s="10">
        <f t="shared" si="15"/>
        <v>488.25</v>
      </c>
      <c r="J35" s="10">
        <f t="shared" si="15"/>
        <v>1705.1759999999999</v>
      </c>
      <c r="K35" s="10">
        <f t="shared" si="2"/>
        <v>1216.9259999999999</v>
      </c>
      <c r="L35" s="16">
        <f t="shared" si="3"/>
        <v>249.24239631336405</v>
      </c>
      <c r="M35" s="220"/>
      <c r="N35" s="221"/>
      <c r="Q35">
        <f t="shared" si="0"/>
        <v>488.14499999999998</v>
      </c>
      <c r="R35" s="44">
        <f>E35+фев!I35</f>
        <v>488.25</v>
      </c>
      <c r="S35" s="30">
        <f>F35+фев!J35</f>
        <v>1705.1759999999999</v>
      </c>
    </row>
    <row r="36" spans="1:19" ht="17.25" customHeight="1">
      <c r="A36" s="8" t="s">
        <v>38</v>
      </c>
      <c r="B36" s="9" t="s">
        <v>39</v>
      </c>
      <c r="C36" s="8" t="s">
        <v>4</v>
      </c>
      <c r="D36" s="10">
        <v>162.715</v>
      </c>
      <c r="E36" s="8">
        <v>162.75</v>
      </c>
      <c r="F36" s="86">
        <f>348.764</f>
        <v>348.76400000000001</v>
      </c>
      <c r="G36" s="10">
        <f t="shared" si="1"/>
        <v>186.01400000000001</v>
      </c>
      <c r="H36" s="10">
        <f>D36+фев!H36</f>
        <v>488.14499999999998</v>
      </c>
      <c r="I36" s="8">
        <f>E36+фев!I36</f>
        <v>488.25</v>
      </c>
      <c r="J36" s="8">
        <f>F36+фев!J36</f>
        <v>1705.1759999999999</v>
      </c>
      <c r="K36" s="10">
        <f t="shared" si="2"/>
        <v>1216.9259999999999</v>
      </c>
      <c r="L36" s="16">
        <f t="shared" si="3"/>
        <v>249.24239631336405</v>
      </c>
      <c r="M36" s="220"/>
      <c r="N36" s="221"/>
      <c r="O36">
        <f>P36-J36</f>
        <v>0</v>
      </c>
      <c r="P36">
        <v>1705.1759999999999</v>
      </c>
      <c r="Q36">
        <f t="shared" si="0"/>
        <v>488.14499999999998</v>
      </c>
      <c r="R36" s="44">
        <f>E36+фев!I36</f>
        <v>488.25</v>
      </c>
      <c r="S36" s="30">
        <f>F36+фев!J36</f>
        <v>1705.1759999999999</v>
      </c>
    </row>
    <row r="37" spans="1:19" ht="17.25" customHeight="1">
      <c r="A37" s="18" t="s">
        <v>40</v>
      </c>
      <c r="B37" s="9" t="s">
        <v>41</v>
      </c>
      <c r="C37" s="8" t="s">
        <v>4</v>
      </c>
      <c r="D37" s="10">
        <f>D38+D41+D48+D51</f>
        <v>1613.3909999999998</v>
      </c>
      <c r="E37" s="8">
        <v>1933.0830000000001</v>
      </c>
      <c r="F37" s="10">
        <f>F38+F41+F48+F51</f>
        <v>2187.5830000000001</v>
      </c>
      <c r="G37" s="10">
        <f t="shared" si="1"/>
        <v>254.5</v>
      </c>
      <c r="H37" s="10">
        <f>H38+H41+H48+H51</f>
        <v>4840.1730000000007</v>
      </c>
      <c r="I37" s="8">
        <f>E37+фев!I37</f>
        <v>5799.2489999999998</v>
      </c>
      <c r="J37" s="10">
        <f>J38+J41+J48+J51</f>
        <v>7594.4030000000002</v>
      </c>
      <c r="K37" s="10">
        <f t="shared" si="2"/>
        <v>1795.1540000000005</v>
      </c>
      <c r="L37" s="16">
        <f t="shared" si="3"/>
        <v>30.954939165398837</v>
      </c>
      <c r="M37" s="220"/>
      <c r="N37" s="221"/>
      <c r="Q37">
        <f t="shared" si="0"/>
        <v>4840.1729999999998</v>
      </c>
      <c r="R37" s="44">
        <f>E37+фев!I37</f>
        <v>5799.2489999999998</v>
      </c>
      <c r="S37" s="30">
        <f>F37+фев!J37</f>
        <v>7594.4030000000002</v>
      </c>
    </row>
    <row r="38" spans="1:19" ht="17.25" customHeight="1">
      <c r="A38" s="18" t="s">
        <v>42</v>
      </c>
      <c r="B38" s="9" t="s">
        <v>43</v>
      </c>
      <c r="C38" s="8" t="s">
        <v>4</v>
      </c>
      <c r="D38" s="10">
        <v>707.32500000000005</v>
      </c>
      <c r="E38" s="8">
        <v>707.33299999999997</v>
      </c>
      <c r="F38" s="8">
        <v>1102.002</v>
      </c>
      <c r="G38" s="10">
        <f t="shared" si="1"/>
        <v>394.66899999999998</v>
      </c>
      <c r="H38" s="10">
        <f>D38+фев!H38</f>
        <v>2121.9750000000004</v>
      </c>
      <c r="I38" s="8">
        <f>E38+фев!I38</f>
        <v>2121.9989999999998</v>
      </c>
      <c r="J38" s="10">
        <f>F38+фев!J38</f>
        <v>4327.07</v>
      </c>
      <c r="K38" s="10">
        <f t="shared" si="2"/>
        <v>2205.0709999999999</v>
      </c>
      <c r="L38" s="16">
        <f t="shared" si="3"/>
        <v>103.91479920584317</v>
      </c>
      <c r="M38" s="220"/>
      <c r="N38" s="221"/>
      <c r="Q38">
        <f t="shared" si="0"/>
        <v>2121.9750000000004</v>
      </c>
      <c r="R38" s="44">
        <f>E38+фев!I38</f>
        <v>2121.9989999999998</v>
      </c>
      <c r="S38" s="30">
        <f>F38+фев!J38</f>
        <v>4327.07</v>
      </c>
    </row>
    <row r="39" spans="1:19" ht="17.25" customHeight="1">
      <c r="A39" s="8"/>
      <c r="B39" s="12" t="s">
        <v>13</v>
      </c>
      <c r="C39" s="13" t="s">
        <v>44</v>
      </c>
      <c r="D39" s="14">
        <v>87</v>
      </c>
      <c r="E39" s="13"/>
      <c r="F39" s="8">
        <v>177</v>
      </c>
      <c r="G39" s="10">
        <f t="shared" si="1"/>
        <v>177</v>
      </c>
      <c r="H39" s="10">
        <f>D39+фев!H39</f>
        <v>261</v>
      </c>
      <c r="I39" s="8"/>
      <c r="J39" s="8">
        <f>F39+фев!J39</f>
        <v>695</v>
      </c>
      <c r="K39" s="14">
        <f t="shared" si="2"/>
        <v>695</v>
      </c>
      <c r="L39" s="16"/>
      <c r="M39" s="220"/>
      <c r="N39" s="221"/>
      <c r="Q39">
        <f t="shared" si="0"/>
        <v>261</v>
      </c>
      <c r="R39" s="44">
        <f>E39+фев!I39</f>
        <v>0</v>
      </c>
      <c r="S39" s="30">
        <f>F39+фев!J39</f>
        <v>695</v>
      </c>
    </row>
    <row r="40" spans="1:19" ht="17.25" customHeight="1">
      <c r="A40" s="8"/>
      <c r="B40" s="12" t="s">
        <v>15</v>
      </c>
      <c r="C40" s="13" t="s">
        <v>16</v>
      </c>
      <c r="D40" s="16">
        <f>D38/D39*1000</f>
        <v>8130.1724137931051</v>
      </c>
      <c r="E40" s="16"/>
      <c r="F40" s="16">
        <f t="shared" ref="F40" si="16">F38/F39*1000</f>
        <v>6226</v>
      </c>
      <c r="G40" s="10">
        <f t="shared" si="1"/>
        <v>6226</v>
      </c>
      <c r="H40" s="16">
        <f>H38/H39*1000</f>
        <v>8130.1724137931051</v>
      </c>
      <c r="I40" s="16"/>
      <c r="J40" s="16">
        <f t="shared" ref="J40" si="17">J38/J39*1000</f>
        <v>6226</v>
      </c>
      <c r="K40" s="14">
        <f t="shared" si="2"/>
        <v>6226</v>
      </c>
      <c r="L40" s="16"/>
      <c r="M40" s="220"/>
      <c r="N40" s="221"/>
      <c r="Q40">
        <f t="shared" si="0"/>
        <v>24390.517241379315</v>
      </c>
      <c r="R40" s="44">
        <f>E40+фев!I40</f>
        <v>0</v>
      </c>
      <c r="S40" s="30">
        <f>F40+фев!J40</f>
        <v>12452</v>
      </c>
    </row>
    <row r="41" spans="1:19" ht="17.25" customHeight="1">
      <c r="A41" s="18" t="s">
        <v>45</v>
      </c>
      <c r="B41" s="9" t="s">
        <v>46</v>
      </c>
      <c r="C41" s="8" t="s">
        <v>4</v>
      </c>
      <c r="D41" s="10">
        <f t="shared" ref="D41:F41" si="18">D42+D45</f>
        <v>315.00200000000001</v>
      </c>
      <c r="E41" s="10">
        <f t="shared" si="18"/>
        <v>0</v>
      </c>
      <c r="F41" s="10">
        <f t="shared" si="18"/>
        <v>319.78800000000001</v>
      </c>
      <c r="G41" s="10">
        <f t="shared" si="1"/>
        <v>319.78800000000001</v>
      </c>
      <c r="H41" s="10">
        <f t="shared" ref="H41:J41" si="19">H42+H45</f>
        <v>945.00600000000009</v>
      </c>
      <c r="I41" s="10">
        <f t="shared" si="19"/>
        <v>0</v>
      </c>
      <c r="J41" s="10">
        <f t="shared" si="19"/>
        <v>1140.3879999999999</v>
      </c>
      <c r="K41" s="10">
        <f t="shared" si="2"/>
        <v>1140.3879999999999</v>
      </c>
      <c r="L41" s="16"/>
      <c r="M41" s="220"/>
      <c r="N41" s="221"/>
      <c r="Q41">
        <f t="shared" si="0"/>
        <v>945.00600000000009</v>
      </c>
      <c r="R41" s="44">
        <f>E41+фев!I41</f>
        <v>0</v>
      </c>
      <c r="S41" s="30">
        <f>F41+фев!J41</f>
        <v>1140.3879999999999</v>
      </c>
    </row>
    <row r="42" spans="1:19" ht="16.5" customHeight="1">
      <c r="A42" s="8"/>
      <c r="B42" s="9" t="s">
        <v>47</v>
      </c>
      <c r="C42" s="8" t="s">
        <v>4</v>
      </c>
      <c r="D42" s="10">
        <v>152.298</v>
      </c>
      <c r="E42" s="8"/>
      <c r="F42" s="8"/>
      <c r="G42" s="10">
        <f t="shared" si="1"/>
        <v>0</v>
      </c>
      <c r="H42" s="10">
        <f>D42+фев!H42</f>
        <v>456.89400000000001</v>
      </c>
      <c r="I42" s="8"/>
      <c r="J42" s="8">
        <f>F42+фев!J42</f>
        <v>0</v>
      </c>
      <c r="K42" s="10">
        <f t="shared" si="2"/>
        <v>0</v>
      </c>
      <c r="L42" s="16"/>
      <c r="M42" s="233" t="s">
        <v>286</v>
      </c>
      <c r="N42" s="234"/>
      <c r="Q42">
        <f t="shared" si="0"/>
        <v>456.89400000000001</v>
      </c>
      <c r="R42" s="44">
        <f>E42+фев!I42</f>
        <v>0</v>
      </c>
      <c r="S42" s="30">
        <f>F42+фев!J42</f>
        <v>0</v>
      </c>
    </row>
    <row r="43" spans="1:19" ht="17.25" customHeight="1">
      <c r="A43" s="8"/>
      <c r="B43" s="12" t="s">
        <v>48</v>
      </c>
      <c r="C43" s="13" t="s">
        <v>49</v>
      </c>
      <c r="D43" s="14">
        <v>1917</v>
      </c>
      <c r="E43" s="13"/>
      <c r="F43" s="8"/>
      <c r="G43" s="10">
        <f t="shared" si="1"/>
        <v>0</v>
      </c>
      <c r="H43" s="10">
        <f>D43+фев!H43</f>
        <v>5751</v>
      </c>
      <c r="I43" s="8"/>
      <c r="J43" s="8">
        <f>F43+фев!J43</f>
        <v>0</v>
      </c>
      <c r="K43" s="14">
        <f t="shared" si="2"/>
        <v>0</v>
      </c>
      <c r="L43" s="16"/>
      <c r="M43" s="235"/>
      <c r="N43" s="236"/>
      <c r="Q43">
        <f t="shared" si="0"/>
        <v>5751</v>
      </c>
      <c r="R43" s="44">
        <f>E43+фев!I43</f>
        <v>0</v>
      </c>
      <c r="S43" s="30">
        <f>F43+фев!J43</f>
        <v>0</v>
      </c>
    </row>
    <row r="44" spans="1:19" ht="17.25" customHeight="1">
      <c r="A44" s="8"/>
      <c r="B44" s="12" t="s">
        <v>15</v>
      </c>
      <c r="C44" s="13" t="s">
        <v>16</v>
      </c>
      <c r="D44" s="16">
        <f>D42/D43*1000</f>
        <v>79.44600938967136</v>
      </c>
      <c r="E44" s="13"/>
      <c r="F44" s="8"/>
      <c r="G44" s="10">
        <f t="shared" si="1"/>
        <v>0</v>
      </c>
      <c r="H44" s="16">
        <f>H42/H43*1000</f>
        <v>79.44600938967136</v>
      </c>
      <c r="I44" s="8"/>
      <c r="J44" s="13"/>
      <c r="K44" s="11">
        <f t="shared" si="2"/>
        <v>0</v>
      </c>
      <c r="L44" s="16"/>
      <c r="M44" s="220"/>
      <c r="N44" s="221"/>
      <c r="Q44">
        <f t="shared" si="0"/>
        <v>238.33802816901408</v>
      </c>
      <c r="R44" s="44">
        <f>E44+фев!I44</f>
        <v>0</v>
      </c>
      <c r="S44" s="30">
        <f>F44+фев!J44</f>
        <v>0</v>
      </c>
    </row>
    <row r="45" spans="1:19" ht="17.25" customHeight="1">
      <c r="A45" s="8"/>
      <c r="B45" s="19" t="s">
        <v>50</v>
      </c>
      <c r="C45" s="8" t="s">
        <v>4</v>
      </c>
      <c r="D45" s="10">
        <v>162.70400000000001</v>
      </c>
      <c r="E45" s="8"/>
      <c r="F45" s="86">
        <v>319.78800000000001</v>
      </c>
      <c r="G45" s="10">
        <f t="shared" si="1"/>
        <v>319.78800000000001</v>
      </c>
      <c r="H45" s="10">
        <f>D45+фев!H45</f>
        <v>488.11200000000002</v>
      </c>
      <c r="I45" s="8">
        <f>E45+фев!I45</f>
        <v>0</v>
      </c>
      <c r="J45" s="8">
        <f>F45+фев!J45</f>
        <v>1140.3879999999999</v>
      </c>
      <c r="K45" s="10">
        <f t="shared" si="2"/>
        <v>1140.3879999999999</v>
      </c>
      <c r="L45" s="16"/>
      <c r="M45" s="220"/>
      <c r="N45" s="221"/>
      <c r="Q45">
        <f t="shared" si="0"/>
        <v>488.11200000000002</v>
      </c>
      <c r="R45" s="44">
        <f>E45+фев!I45</f>
        <v>0</v>
      </c>
      <c r="S45" s="30">
        <f>F45+фев!J45</f>
        <v>1140.3879999999999</v>
      </c>
    </row>
    <row r="46" spans="1:19" ht="17.25" customHeight="1">
      <c r="A46" s="8"/>
      <c r="B46" s="12" t="s">
        <v>51</v>
      </c>
      <c r="C46" s="13" t="s">
        <v>49</v>
      </c>
      <c r="D46" s="14">
        <v>1417</v>
      </c>
      <c r="E46" s="13"/>
      <c r="F46" s="8">
        <v>2323</v>
      </c>
      <c r="G46" s="10">
        <f t="shared" si="1"/>
        <v>2323</v>
      </c>
      <c r="H46" s="10">
        <f>D46+фев!H46</f>
        <v>4251</v>
      </c>
      <c r="I46" s="8"/>
      <c r="J46" s="8">
        <f>F46+фев!J46</f>
        <v>8026</v>
      </c>
      <c r="K46" s="14">
        <f t="shared" si="2"/>
        <v>8026</v>
      </c>
      <c r="L46" s="16"/>
      <c r="M46" s="220"/>
      <c r="N46" s="221"/>
      <c r="Q46">
        <f t="shared" si="0"/>
        <v>4251</v>
      </c>
      <c r="R46" s="44">
        <f>E46+фев!I46</f>
        <v>0</v>
      </c>
      <c r="S46" s="30">
        <f>F46+фев!J46</f>
        <v>8026</v>
      </c>
    </row>
    <row r="47" spans="1:19" ht="17.25" customHeight="1">
      <c r="A47" s="8"/>
      <c r="B47" s="12" t="s">
        <v>15</v>
      </c>
      <c r="C47" s="13" t="s">
        <v>16</v>
      </c>
      <c r="D47" s="16">
        <f>D45/D46*1000</f>
        <v>114.82286520818631</v>
      </c>
      <c r="E47" s="16"/>
      <c r="F47" s="16">
        <f t="shared" ref="F47" si="20">F45/F46*1000</f>
        <v>137.66164442531209</v>
      </c>
      <c r="G47" s="10">
        <f t="shared" si="1"/>
        <v>137.66164442531209</v>
      </c>
      <c r="H47" s="16">
        <f>H45/H46*1000</f>
        <v>114.82286520818631</v>
      </c>
      <c r="I47" s="16"/>
      <c r="J47" s="16">
        <f t="shared" ref="J47" si="21">J45/J46*1000</f>
        <v>142.0867181659606</v>
      </c>
      <c r="K47" s="16">
        <f t="shared" si="2"/>
        <v>142.0867181659606</v>
      </c>
      <c r="L47" s="16"/>
      <c r="M47" s="220"/>
      <c r="N47" s="221"/>
      <c r="Q47">
        <f t="shared" si="0"/>
        <v>344.46859562455893</v>
      </c>
      <c r="R47" s="44">
        <f>E47+фев!I47</f>
        <v>0</v>
      </c>
      <c r="S47" s="30">
        <f>F47+фев!J47</f>
        <v>137.66164442531209</v>
      </c>
    </row>
    <row r="48" spans="1:19" ht="17.25" customHeight="1">
      <c r="A48" s="18" t="s">
        <v>52</v>
      </c>
      <c r="B48" s="9" t="s">
        <v>53</v>
      </c>
      <c r="C48" s="8" t="s">
        <v>4</v>
      </c>
      <c r="D48" s="10">
        <v>515.60799999999995</v>
      </c>
      <c r="E48" s="8"/>
      <c r="F48" s="86">
        <f>618.869+146.334</f>
        <v>765.20299999999997</v>
      </c>
      <c r="G48" s="10">
        <f t="shared" si="1"/>
        <v>765.20299999999997</v>
      </c>
      <c r="H48" s="10">
        <f>D48+фев!H48</f>
        <v>1546.8239999999998</v>
      </c>
      <c r="I48" s="8"/>
      <c r="J48" s="8">
        <f>F48+фев!J48</f>
        <v>2115.0950000000003</v>
      </c>
      <c r="K48" s="10">
        <f t="shared" si="2"/>
        <v>2115.0950000000003</v>
      </c>
      <c r="L48" s="16"/>
      <c r="M48" s="220"/>
      <c r="N48" s="221"/>
      <c r="P48">
        <f>1307.681+807.414</f>
        <v>2115.0950000000003</v>
      </c>
      <c r="Q48">
        <f t="shared" si="0"/>
        <v>1546.8239999999998</v>
      </c>
      <c r="R48" s="44">
        <f>E48+фев!I48</f>
        <v>0</v>
      </c>
      <c r="S48" s="30">
        <f>F48+фев!J48</f>
        <v>2115.0950000000003</v>
      </c>
    </row>
    <row r="49" spans="1:19" ht="17.25" customHeight="1">
      <c r="A49" s="8"/>
      <c r="B49" s="12" t="s">
        <v>13</v>
      </c>
      <c r="C49" s="13" t="s">
        <v>49</v>
      </c>
      <c r="D49" s="14">
        <v>5833</v>
      </c>
      <c r="E49" s="13"/>
      <c r="F49" s="8">
        <v>4277</v>
      </c>
      <c r="G49" s="10">
        <f t="shared" si="1"/>
        <v>4277</v>
      </c>
      <c r="H49" s="10">
        <f>D49+фев!H49</f>
        <v>17499</v>
      </c>
      <c r="I49" s="8"/>
      <c r="J49" s="8">
        <f>F49+фев!J49</f>
        <v>12776</v>
      </c>
      <c r="K49" s="10">
        <f t="shared" si="2"/>
        <v>12776</v>
      </c>
      <c r="L49" s="16"/>
      <c r="M49" s="220"/>
      <c r="N49" s="221"/>
      <c r="Q49">
        <f t="shared" si="0"/>
        <v>17499</v>
      </c>
      <c r="R49" s="44">
        <f>E49+фев!I49</f>
        <v>0</v>
      </c>
      <c r="S49" s="30">
        <f>F49+фев!J49</f>
        <v>12776</v>
      </c>
    </row>
    <row r="50" spans="1:19" ht="17.25" customHeight="1">
      <c r="A50" s="8"/>
      <c r="B50" s="12" t="s">
        <v>15</v>
      </c>
      <c r="C50" s="13" t="s">
        <v>16</v>
      </c>
      <c r="D50" s="16">
        <f>D48/D49*1000</f>
        <v>88.394993999657117</v>
      </c>
      <c r="E50" s="16"/>
      <c r="F50" s="16">
        <f t="shared" ref="F50" si="22">F48/F49*1000</f>
        <v>178.9111526771101</v>
      </c>
      <c r="G50" s="10">
        <f t="shared" si="1"/>
        <v>178.9111526771101</v>
      </c>
      <c r="H50" s="16">
        <f>H48/H49*1000</f>
        <v>88.394993999657117</v>
      </c>
      <c r="I50" s="8"/>
      <c r="J50" s="16">
        <f t="shared" ref="J50" si="23">J48/J49*1000</f>
        <v>165.55220726361929</v>
      </c>
      <c r="K50" s="10">
        <f t="shared" si="2"/>
        <v>165.55220726361929</v>
      </c>
      <c r="L50" s="16"/>
      <c r="M50" s="220"/>
      <c r="N50" s="221"/>
      <c r="Q50">
        <f t="shared" si="0"/>
        <v>265.18498199897135</v>
      </c>
      <c r="R50" s="44">
        <f>E50+фев!I50</f>
        <v>0</v>
      </c>
      <c r="S50" s="30">
        <f>F50+фев!J50</f>
        <v>178.9111526771101</v>
      </c>
    </row>
    <row r="51" spans="1:19" ht="17.25" customHeight="1">
      <c r="A51" s="18" t="s">
        <v>54</v>
      </c>
      <c r="B51" s="20" t="s">
        <v>55</v>
      </c>
      <c r="C51" s="8" t="s">
        <v>4</v>
      </c>
      <c r="D51" s="10">
        <f t="shared" ref="D51:F52" si="24">D54+D57+D60+D63+D66+D69</f>
        <v>75.456000000000003</v>
      </c>
      <c r="E51" s="10"/>
      <c r="F51" s="10">
        <f t="shared" si="24"/>
        <v>0.59</v>
      </c>
      <c r="G51" s="10">
        <f t="shared" si="1"/>
        <v>0.59</v>
      </c>
      <c r="H51" s="10">
        <f t="shared" ref="H51:H52" si="25">H54+H57+H60+H63+H66+H69</f>
        <v>226.36799999999999</v>
      </c>
      <c r="I51" s="8"/>
      <c r="J51" s="10">
        <f t="shared" ref="J51" si="26">J54+J57+J60+J63+J66+J69</f>
        <v>11.85</v>
      </c>
      <c r="K51" s="10">
        <f t="shared" si="2"/>
        <v>11.85</v>
      </c>
      <c r="L51" s="16"/>
      <c r="M51" s="220"/>
      <c r="N51" s="221"/>
      <c r="Q51">
        <f t="shared" si="0"/>
        <v>226.36799999999999</v>
      </c>
      <c r="R51" s="44">
        <f>E51+фев!I51</f>
        <v>0</v>
      </c>
      <c r="S51" s="30">
        <f>F51+фев!J51</f>
        <v>11.85</v>
      </c>
    </row>
    <row r="52" spans="1:19" ht="17.25" customHeight="1">
      <c r="A52" s="8"/>
      <c r="B52" s="19" t="s">
        <v>13</v>
      </c>
      <c r="C52" s="13" t="s">
        <v>49</v>
      </c>
      <c r="D52" s="14">
        <f t="shared" si="24"/>
        <v>177</v>
      </c>
      <c r="E52" s="13"/>
      <c r="F52" s="8"/>
      <c r="G52" s="10">
        <f t="shared" si="1"/>
        <v>0</v>
      </c>
      <c r="H52" s="14">
        <f t="shared" si="25"/>
        <v>531</v>
      </c>
      <c r="I52" s="8"/>
      <c r="J52" s="13"/>
      <c r="K52" s="10">
        <f t="shared" si="2"/>
        <v>0</v>
      </c>
      <c r="L52" s="16"/>
      <c r="M52" s="220"/>
      <c r="N52" s="221"/>
      <c r="Q52">
        <f t="shared" si="0"/>
        <v>531</v>
      </c>
      <c r="R52" s="44">
        <f>E52+фев!I52</f>
        <v>0</v>
      </c>
      <c r="S52" s="30">
        <f>F52+фев!J52</f>
        <v>0</v>
      </c>
    </row>
    <row r="53" spans="1:19" ht="17.25" customHeight="1">
      <c r="A53" s="8"/>
      <c r="B53" s="19" t="s">
        <v>15</v>
      </c>
      <c r="C53" s="13" t="s">
        <v>16</v>
      </c>
      <c r="D53" s="16">
        <f>D51/D52*1000</f>
        <v>426.30508474576271</v>
      </c>
      <c r="E53" s="13"/>
      <c r="F53" s="8"/>
      <c r="G53" s="10">
        <f t="shared" si="1"/>
        <v>0</v>
      </c>
      <c r="H53" s="16">
        <f>H51/H52*1000</f>
        <v>426.30508474576271</v>
      </c>
      <c r="I53" s="8"/>
      <c r="J53" s="13"/>
      <c r="K53" s="10">
        <f t="shared" si="2"/>
        <v>0</v>
      </c>
      <c r="L53" s="16"/>
      <c r="M53" s="220"/>
      <c r="N53" s="221"/>
      <c r="Q53">
        <f t="shared" si="0"/>
        <v>1278.9152542372881</v>
      </c>
      <c r="R53" s="44">
        <f>E53+фев!I53</f>
        <v>0</v>
      </c>
      <c r="S53" s="30">
        <f>F53+фев!J53</f>
        <v>0</v>
      </c>
    </row>
    <row r="54" spans="1:19" ht="17.25" customHeight="1">
      <c r="A54" s="8"/>
      <c r="B54" s="20" t="s">
        <v>56</v>
      </c>
      <c r="C54" s="8" t="s">
        <v>4</v>
      </c>
      <c r="D54" s="10">
        <v>7.8079999999999998</v>
      </c>
      <c r="E54" s="8"/>
      <c r="F54" s="8"/>
      <c r="G54" s="10">
        <f t="shared" si="1"/>
        <v>0</v>
      </c>
      <c r="H54" s="10">
        <f>D54+фев!H54</f>
        <v>23.423999999999999</v>
      </c>
      <c r="I54" s="8"/>
      <c r="J54" s="10">
        <f>F54+фев!J54</f>
        <v>11.26</v>
      </c>
      <c r="K54" s="10">
        <f t="shared" si="2"/>
        <v>11.26</v>
      </c>
      <c r="L54" s="16"/>
      <c r="M54" s="220"/>
      <c r="N54" s="221"/>
      <c r="Q54">
        <f t="shared" si="0"/>
        <v>23.423999999999999</v>
      </c>
      <c r="R54" s="44">
        <f>E54+фев!I54</f>
        <v>0</v>
      </c>
      <c r="S54" s="30">
        <f>F54+фев!J54</f>
        <v>11.26</v>
      </c>
    </row>
    <row r="55" spans="1:19" ht="17.25" customHeight="1">
      <c r="A55" s="8"/>
      <c r="B55" s="12" t="s">
        <v>13</v>
      </c>
      <c r="C55" s="13" t="s">
        <v>49</v>
      </c>
      <c r="D55" s="14">
        <v>31</v>
      </c>
      <c r="E55" s="13"/>
      <c r="F55" s="8"/>
      <c r="G55" s="10">
        <f t="shared" si="1"/>
        <v>0</v>
      </c>
      <c r="H55" s="10">
        <f>D55+фев!H55</f>
        <v>93</v>
      </c>
      <c r="I55" s="8"/>
      <c r="J55" s="8">
        <f>F55+фев!J55</f>
        <v>20</v>
      </c>
      <c r="K55" s="10">
        <f t="shared" si="2"/>
        <v>20</v>
      </c>
      <c r="L55" s="16"/>
      <c r="M55" s="220"/>
      <c r="N55" s="221"/>
      <c r="Q55">
        <f t="shared" si="0"/>
        <v>93</v>
      </c>
      <c r="R55" s="44">
        <f>E55+фев!I55</f>
        <v>0</v>
      </c>
      <c r="S55" s="30">
        <f>F55+фев!J55</f>
        <v>20</v>
      </c>
    </row>
    <row r="56" spans="1:19" ht="17.25" customHeight="1">
      <c r="A56" s="8"/>
      <c r="B56" s="12" t="s">
        <v>15</v>
      </c>
      <c r="C56" s="13" t="s">
        <v>16</v>
      </c>
      <c r="D56" s="16">
        <f>D54/D55*1000</f>
        <v>251.87096774193546</v>
      </c>
      <c r="E56" s="13"/>
      <c r="F56" s="8"/>
      <c r="G56" s="10">
        <f t="shared" si="1"/>
        <v>0</v>
      </c>
      <c r="H56" s="16">
        <f>H54/H55*1000</f>
        <v>251.87096774193546</v>
      </c>
      <c r="I56" s="8"/>
      <c r="J56" s="13"/>
      <c r="K56" s="10">
        <f t="shared" si="2"/>
        <v>0</v>
      </c>
      <c r="L56" s="16"/>
      <c r="M56" s="220"/>
      <c r="N56" s="221"/>
      <c r="Q56">
        <f t="shared" si="0"/>
        <v>755.61290322580635</v>
      </c>
      <c r="R56" s="44">
        <f>E56+фев!I56</f>
        <v>0</v>
      </c>
      <c r="S56" s="30">
        <f>F56+фев!J56</f>
        <v>0</v>
      </c>
    </row>
    <row r="57" spans="1:19" ht="17.25" customHeight="1">
      <c r="A57" s="8"/>
      <c r="B57" s="20" t="s">
        <v>57</v>
      </c>
      <c r="C57" s="8" t="s">
        <v>4</v>
      </c>
      <c r="D57" s="10">
        <v>13.96</v>
      </c>
      <c r="E57" s="8"/>
      <c r="F57" s="8"/>
      <c r="G57" s="10">
        <f t="shared" si="1"/>
        <v>0</v>
      </c>
      <c r="H57" s="10">
        <f>D57+фев!H57</f>
        <v>41.88</v>
      </c>
      <c r="I57" s="8"/>
      <c r="J57" s="8">
        <f>F57+фев!J57</f>
        <v>0</v>
      </c>
      <c r="K57" s="10">
        <f t="shared" si="2"/>
        <v>0</v>
      </c>
      <c r="L57" s="16"/>
      <c r="M57" s="233" t="s">
        <v>291</v>
      </c>
      <c r="N57" s="234"/>
      <c r="Q57">
        <f t="shared" si="0"/>
        <v>41.88</v>
      </c>
      <c r="R57" s="44">
        <f>E57+фев!I57</f>
        <v>0</v>
      </c>
      <c r="S57" s="30">
        <f>F57+фев!J57</f>
        <v>0</v>
      </c>
    </row>
    <row r="58" spans="1:19" ht="17.25" customHeight="1">
      <c r="A58" s="8"/>
      <c r="B58" s="12" t="s">
        <v>13</v>
      </c>
      <c r="C58" s="13" t="s">
        <v>49</v>
      </c>
      <c r="D58" s="14">
        <v>33</v>
      </c>
      <c r="E58" s="13"/>
      <c r="F58" s="8"/>
      <c r="G58" s="10">
        <f t="shared" si="1"/>
        <v>0</v>
      </c>
      <c r="H58" s="10">
        <f>D58+фев!H58</f>
        <v>99</v>
      </c>
      <c r="I58" s="8"/>
      <c r="J58" s="8">
        <f>F58+фев!J58</f>
        <v>0</v>
      </c>
      <c r="K58" s="10">
        <f t="shared" si="2"/>
        <v>0</v>
      </c>
      <c r="L58" s="16"/>
      <c r="M58" s="235"/>
      <c r="N58" s="236"/>
      <c r="Q58">
        <f t="shared" si="0"/>
        <v>99</v>
      </c>
      <c r="R58" s="44">
        <f>E58+фев!I58</f>
        <v>0</v>
      </c>
      <c r="S58" s="30">
        <f>F58+фев!J58</f>
        <v>0</v>
      </c>
    </row>
    <row r="59" spans="1:19" ht="17.25" customHeight="1">
      <c r="A59" s="8"/>
      <c r="B59" s="12" t="s">
        <v>15</v>
      </c>
      <c r="C59" s="13" t="s">
        <v>16</v>
      </c>
      <c r="D59" s="16">
        <f>D57/D58*1000</f>
        <v>423.03030303030306</v>
      </c>
      <c r="E59" s="13"/>
      <c r="F59" s="8"/>
      <c r="G59" s="10">
        <f t="shared" si="1"/>
        <v>0</v>
      </c>
      <c r="H59" s="16">
        <f>H57/H58*1000</f>
        <v>423.03030303030306</v>
      </c>
      <c r="I59" s="8"/>
      <c r="J59" s="13"/>
      <c r="K59" s="10">
        <f t="shared" si="2"/>
        <v>0</v>
      </c>
      <c r="L59" s="16"/>
      <c r="M59" s="220"/>
      <c r="N59" s="221"/>
      <c r="Q59">
        <f t="shared" si="0"/>
        <v>1269.0909090909092</v>
      </c>
      <c r="R59" s="44">
        <f>E59+фев!I59</f>
        <v>0</v>
      </c>
      <c r="S59" s="30">
        <f>F59+фев!J59</f>
        <v>0</v>
      </c>
    </row>
    <row r="60" spans="1:19" ht="17.25" customHeight="1">
      <c r="A60" s="8"/>
      <c r="B60" s="20" t="s">
        <v>58</v>
      </c>
      <c r="C60" s="8" t="s">
        <v>4</v>
      </c>
      <c r="D60" s="10">
        <v>28.585000000000001</v>
      </c>
      <c r="E60" s="8"/>
      <c r="F60" s="8"/>
      <c r="G60" s="10">
        <f t="shared" si="1"/>
        <v>0</v>
      </c>
      <c r="H60" s="10">
        <f>D60+фев!H60</f>
        <v>85.754999999999995</v>
      </c>
      <c r="I60" s="8"/>
      <c r="J60" s="8">
        <f>F60+фев!J60</f>
        <v>0</v>
      </c>
      <c r="K60" s="10">
        <f t="shared" si="2"/>
        <v>0</v>
      </c>
      <c r="L60" s="16"/>
      <c r="M60" s="233" t="s">
        <v>291</v>
      </c>
      <c r="N60" s="234"/>
      <c r="Q60">
        <f t="shared" si="0"/>
        <v>85.754999999999995</v>
      </c>
      <c r="R60" s="44">
        <f>E60+фев!I60</f>
        <v>0</v>
      </c>
      <c r="S60" s="30">
        <f>F60+фев!J60</f>
        <v>0</v>
      </c>
    </row>
    <row r="61" spans="1:19" ht="17.25" customHeight="1">
      <c r="A61" s="8"/>
      <c r="B61" s="12" t="s">
        <v>13</v>
      </c>
      <c r="C61" s="13" t="s">
        <v>49</v>
      </c>
      <c r="D61" s="14">
        <v>70</v>
      </c>
      <c r="E61" s="13"/>
      <c r="F61" s="8"/>
      <c r="G61" s="10">
        <f t="shared" si="1"/>
        <v>0</v>
      </c>
      <c r="H61" s="10">
        <f>D61+фев!H61</f>
        <v>210</v>
      </c>
      <c r="I61" s="8"/>
      <c r="J61" s="8">
        <f>F61+фев!J61</f>
        <v>0</v>
      </c>
      <c r="K61" s="10">
        <f t="shared" si="2"/>
        <v>0</v>
      </c>
      <c r="L61" s="16"/>
      <c r="M61" s="235"/>
      <c r="N61" s="236"/>
      <c r="Q61">
        <f t="shared" si="0"/>
        <v>210</v>
      </c>
      <c r="R61" s="44">
        <f>E61+фев!I61</f>
        <v>0</v>
      </c>
      <c r="S61" s="30">
        <f>F61+фев!J61</f>
        <v>0</v>
      </c>
    </row>
    <row r="62" spans="1:19" ht="17.25" customHeight="1">
      <c r="A62" s="8"/>
      <c r="B62" s="12" t="s">
        <v>15</v>
      </c>
      <c r="C62" s="13" t="s">
        <v>16</v>
      </c>
      <c r="D62" s="16">
        <f>D60/D61*1000</f>
        <v>408.35714285714289</v>
      </c>
      <c r="E62" s="13"/>
      <c r="F62" s="8"/>
      <c r="G62" s="10">
        <f t="shared" si="1"/>
        <v>0</v>
      </c>
      <c r="H62" s="16">
        <f>H60/H61*1000</f>
        <v>408.35714285714289</v>
      </c>
      <c r="I62" s="8"/>
      <c r="J62" s="13"/>
      <c r="K62" s="10">
        <f t="shared" si="2"/>
        <v>0</v>
      </c>
      <c r="L62" s="16"/>
      <c r="M62" s="220"/>
      <c r="N62" s="221"/>
      <c r="Q62">
        <f t="shared" si="0"/>
        <v>1225.0714285714287</v>
      </c>
      <c r="R62" s="44">
        <f>E62+фев!I62</f>
        <v>0</v>
      </c>
      <c r="S62" s="30">
        <f>F62+фев!J62</f>
        <v>0</v>
      </c>
    </row>
    <row r="63" spans="1:19" ht="17.25" customHeight="1">
      <c r="A63" s="8"/>
      <c r="B63" s="20" t="s">
        <v>220</v>
      </c>
      <c r="C63" s="8" t="s">
        <v>4</v>
      </c>
      <c r="D63" s="10">
        <v>12.234</v>
      </c>
      <c r="E63" s="8"/>
      <c r="F63" s="8"/>
      <c r="G63" s="10">
        <f t="shared" si="1"/>
        <v>0</v>
      </c>
      <c r="H63" s="10">
        <f>D63+фев!H63</f>
        <v>36.701999999999998</v>
      </c>
      <c r="I63" s="8"/>
      <c r="J63" s="8">
        <f>F63+фев!J63</f>
        <v>0</v>
      </c>
      <c r="K63" s="10">
        <f t="shared" si="2"/>
        <v>0</v>
      </c>
      <c r="L63" s="16"/>
      <c r="M63" s="220"/>
      <c r="N63" s="221"/>
      <c r="Q63">
        <f t="shared" si="0"/>
        <v>36.701999999999998</v>
      </c>
      <c r="R63" s="44">
        <f>E63+фев!I63</f>
        <v>0</v>
      </c>
      <c r="S63" s="30">
        <f>F63+фев!J63</f>
        <v>0</v>
      </c>
    </row>
    <row r="64" spans="1:19" ht="17.25" customHeight="1">
      <c r="A64" s="8"/>
      <c r="B64" s="12" t="s">
        <v>13</v>
      </c>
      <c r="C64" s="13" t="s">
        <v>49</v>
      </c>
      <c r="D64" s="14">
        <v>23</v>
      </c>
      <c r="E64" s="13"/>
      <c r="F64" s="8"/>
      <c r="G64" s="10">
        <f t="shared" si="1"/>
        <v>0</v>
      </c>
      <c r="H64" s="10">
        <f>D64+фев!H64</f>
        <v>69</v>
      </c>
      <c r="I64" s="8"/>
      <c r="J64" s="8">
        <f>F64+фев!J64</f>
        <v>0</v>
      </c>
      <c r="K64" s="10">
        <f t="shared" si="2"/>
        <v>0</v>
      </c>
      <c r="L64" s="16"/>
      <c r="M64" s="220"/>
      <c r="N64" s="221"/>
      <c r="Q64">
        <f t="shared" si="0"/>
        <v>69</v>
      </c>
      <c r="R64" s="44">
        <f>E64+фев!I64</f>
        <v>0</v>
      </c>
      <c r="S64" s="30">
        <f>F64+фев!J64</f>
        <v>0</v>
      </c>
    </row>
    <row r="65" spans="1:19" ht="17.25" customHeight="1">
      <c r="A65" s="8"/>
      <c r="B65" s="12" t="s">
        <v>15</v>
      </c>
      <c r="C65" s="13" t="s">
        <v>16</v>
      </c>
      <c r="D65" s="16">
        <f>D63/D64*1000</f>
        <v>531.91304347826087</v>
      </c>
      <c r="E65" s="13"/>
      <c r="F65" s="8"/>
      <c r="G65" s="10">
        <f t="shared" si="1"/>
        <v>0</v>
      </c>
      <c r="H65" s="16">
        <f>H63/H64*1000</f>
        <v>531.91304347826087</v>
      </c>
      <c r="I65" s="8"/>
      <c r="J65" s="13"/>
      <c r="K65" s="10">
        <f t="shared" si="2"/>
        <v>0</v>
      </c>
      <c r="L65" s="16"/>
      <c r="M65" s="220"/>
      <c r="N65" s="221"/>
      <c r="Q65">
        <f t="shared" si="0"/>
        <v>1595.7391304347825</v>
      </c>
      <c r="R65" s="44">
        <f>E65+фев!I65</f>
        <v>0</v>
      </c>
      <c r="S65" s="30">
        <f>F65+фев!J65</f>
        <v>0</v>
      </c>
    </row>
    <row r="66" spans="1:19" ht="17.25" customHeight="1">
      <c r="A66" s="8"/>
      <c r="B66" s="9" t="s">
        <v>59</v>
      </c>
      <c r="C66" s="8" t="s">
        <v>4</v>
      </c>
      <c r="D66" s="10">
        <v>2.8610000000000002</v>
      </c>
      <c r="E66" s="8"/>
      <c r="F66" s="8"/>
      <c r="G66" s="10">
        <f t="shared" si="1"/>
        <v>0</v>
      </c>
      <c r="H66" s="10">
        <f>D66+фев!H66</f>
        <v>8.5830000000000002</v>
      </c>
      <c r="I66" s="8"/>
      <c r="J66" s="8">
        <f>F66+фев!J66</f>
        <v>0</v>
      </c>
      <c r="K66" s="10">
        <f t="shared" si="2"/>
        <v>0</v>
      </c>
      <c r="L66" s="16"/>
      <c r="M66" s="220"/>
      <c r="N66" s="221"/>
      <c r="Q66">
        <f t="shared" si="0"/>
        <v>8.5830000000000002</v>
      </c>
      <c r="R66" s="44">
        <f>E66+фев!I66</f>
        <v>0</v>
      </c>
      <c r="S66" s="30">
        <f>F66+фев!J66</f>
        <v>0</v>
      </c>
    </row>
    <row r="67" spans="1:19" ht="17.25" customHeight="1">
      <c r="A67" s="8"/>
      <c r="B67" s="12" t="s">
        <v>13</v>
      </c>
      <c r="C67" s="13" t="s">
        <v>49</v>
      </c>
      <c r="D67" s="14">
        <v>2</v>
      </c>
      <c r="E67" s="13"/>
      <c r="F67" s="8"/>
      <c r="G67" s="10">
        <f t="shared" si="1"/>
        <v>0</v>
      </c>
      <c r="H67" s="10">
        <f>D67+фев!H67</f>
        <v>6</v>
      </c>
      <c r="I67" s="8"/>
      <c r="J67" s="8">
        <f>F67+фев!J67</f>
        <v>0</v>
      </c>
      <c r="K67" s="10">
        <f t="shared" si="2"/>
        <v>0</v>
      </c>
      <c r="L67" s="16"/>
      <c r="M67" s="220"/>
      <c r="N67" s="221"/>
      <c r="Q67">
        <f t="shared" si="0"/>
        <v>6</v>
      </c>
      <c r="R67" s="44">
        <f>E67+фев!I67</f>
        <v>0</v>
      </c>
      <c r="S67" s="30">
        <f>F67+фев!J67</f>
        <v>0</v>
      </c>
    </row>
    <row r="68" spans="1:19" ht="17.25" customHeight="1">
      <c r="A68" s="8"/>
      <c r="B68" s="12" t="s">
        <v>15</v>
      </c>
      <c r="C68" s="13" t="s">
        <v>16</v>
      </c>
      <c r="D68" s="16">
        <f>D66/D67*1000</f>
        <v>1430.5</v>
      </c>
      <c r="E68" s="13"/>
      <c r="F68" s="8"/>
      <c r="G68" s="10">
        <f t="shared" si="1"/>
        <v>0</v>
      </c>
      <c r="H68" s="16">
        <f>H66/H67*1000</f>
        <v>1430.5</v>
      </c>
      <c r="I68" s="8"/>
      <c r="J68" s="13"/>
      <c r="K68" s="10">
        <f t="shared" si="2"/>
        <v>0</v>
      </c>
      <c r="L68" s="16"/>
      <c r="M68" s="220"/>
      <c r="N68" s="221"/>
      <c r="Q68">
        <f t="shared" si="0"/>
        <v>4291.5</v>
      </c>
      <c r="R68" s="44">
        <f>E68+фев!I68</f>
        <v>0</v>
      </c>
      <c r="S68" s="30">
        <f>F68+фев!J68</f>
        <v>0</v>
      </c>
    </row>
    <row r="69" spans="1:19" ht="17.25" customHeight="1">
      <c r="A69" s="8"/>
      <c r="B69" s="20" t="s">
        <v>60</v>
      </c>
      <c r="C69" s="8" t="s">
        <v>4</v>
      </c>
      <c r="D69" s="10">
        <v>10.007999999999999</v>
      </c>
      <c r="E69" s="8"/>
      <c r="F69" s="10">
        <v>0.59</v>
      </c>
      <c r="G69" s="10">
        <f t="shared" si="1"/>
        <v>0.59</v>
      </c>
      <c r="H69" s="10">
        <f>D69+фев!H69</f>
        <v>30.023999999999997</v>
      </c>
      <c r="I69" s="8"/>
      <c r="J69" s="10">
        <f>F69+фев!J69</f>
        <v>0.59</v>
      </c>
      <c r="K69" s="10">
        <f t="shared" si="2"/>
        <v>0.59</v>
      </c>
      <c r="L69" s="16"/>
      <c r="M69" s="233" t="s">
        <v>292</v>
      </c>
      <c r="N69" s="234"/>
      <c r="Q69">
        <f t="shared" si="0"/>
        <v>30.023999999999997</v>
      </c>
      <c r="R69" s="44">
        <f>E69+фев!I69</f>
        <v>0</v>
      </c>
      <c r="S69" s="30">
        <f>F69+фев!J69</f>
        <v>0.59</v>
      </c>
    </row>
    <row r="70" spans="1:19" ht="17.25" customHeight="1">
      <c r="A70" s="8"/>
      <c r="B70" s="12" t="s">
        <v>13</v>
      </c>
      <c r="C70" s="13" t="s">
        <v>61</v>
      </c>
      <c r="D70" s="14">
        <v>18</v>
      </c>
      <c r="E70" s="13"/>
      <c r="F70" s="8">
        <v>7.4999999999999997E-2</v>
      </c>
      <c r="G70" s="10">
        <f t="shared" si="1"/>
        <v>7.4999999999999997E-2</v>
      </c>
      <c r="H70" s="10">
        <f>D70+фев!H70</f>
        <v>54</v>
      </c>
      <c r="I70" s="8"/>
      <c r="J70" s="8">
        <f>F70+фев!J70</f>
        <v>7.4999999999999997E-2</v>
      </c>
      <c r="K70" s="10">
        <f t="shared" si="2"/>
        <v>7.4999999999999997E-2</v>
      </c>
      <c r="L70" s="16"/>
      <c r="M70" s="235"/>
      <c r="N70" s="236"/>
      <c r="Q70">
        <f t="shared" si="0"/>
        <v>54</v>
      </c>
      <c r="R70" s="44">
        <f>E70+фев!I70</f>
        <v>0</v>
      </c>
      <c r="S70" s="30">
        <f>F70+фев!J70</f>
        <v>7.4999999999999997E-2</v>
      </c>
    </row>
    <row r="71" spans="1:19" ht="17.25" customHeight="1">
      <c r="A71" s="8"/>
      <c r="B71" s="12" t="s">
        <v>15</v>
      </c>
      <c r="C71" s="13" t="s">
        <v>16</v>
      </c>
      <c r="D71" s="16">
        <f>D69/D70*1000</f>
        <v>555.99999999999989</v>
      </c>
      <c r="E71" s="13"/>
      <c r="F71" s="8"/>
      <c r="G71" s="10">
        <f t="shared" si="1"/>
        <v>0</v>
      </c>
      <c r="H71" s="16">
        <f>H69/H70*1000</f>
        <v>555.99999999999989</v>
      </c>
      <c r="I71" s="8"/>
      <c r="J71" s="8"/>
      <c r="K71" s="10">
        <f t="shared" si="2"/>
        <v>0</v>
      </c>
      <c r="L71" s="16"/>
      <c r="M71" s="220"/>
      <c r="N71" s="221"/>
      <c r="Q71">
        <f t="shared" si="0"/>
        <v>1667.9999999999995</v>
      </c>
      <c r="R71" s="44">
        <f>E71+фев!I71</f>
        <v>0</v>
      </c>
      <c r="S71" s="30">
        <f>F71+фев!J71</f>
        <v>0</v>
      </c>
    </row>
    <row r="72" spans="1:19" ht="17.25" customHeight="1">
      <c r="A72" s="18" t="s">
        <v>62</v>
      </c>
      <c r="B72" s="20" t="s">
        <v>63</v>
      </c>
      <c r="C72" s="8" t="s">
        <v>4</v>
      </c>
      <c r="D72" s="10">
        <f>D73</f>
        <v>26517.671000000002</v>
      </c>
      <c r="E72" s="8">
        <v>24306.667000000001</v>
      </c>
      <c r="F72" s="10">
        <f>F73</f>
        <v>27400.815000000002</v>
      </c>
      <c r="G72" s="10">
        <f t="shared" si="1"/>
        <v>3094.148000000001</v>
      </c>
      <c r="H72" s="10">
        <f>H73</f>
        <v>79553.012999999992</v>
      </c>
      <c r="I72" s="8">
        <f>E72+фев!I72</f>
        <v>72920.001000000004</v>
      </c>
      <c r="J72" s="8">
        <f>F72+фев!J72</f>
        <v>78980.483000000007</v>
      </c>
      <c r="K72" s="10">
        <f t="shared" si="2"/>
        <v>6060.4820000000036</v>
      </c>
      <c r="L72" s="16">
        <f t="shared" si="3"/>
        <v>8.311138119704637</v>
      </c>
      <c r="M72" s="220"/>
      <c r="N72" s="221"/>
      <c r="Q72">
        <f t="shared" si="0"/>
        <v>79553.013000000006</v>
      </c>
      <c r="R72" s="44">
        <f>E72+фев!I72</f>
        <v>72920.001000000004</v>
      </c>
      <c r="S72" s="30">
        <f>F72+фев!J72</f>
        <v>78980.483000000007</v>
      </c>
    </row>
    <row r="73" spans="1:19" ht="17.25" customHeight="1">
      <c r="A73" s="8"/>
      <c r="B73" s="28" t="s">
        <v>64</v>
      </c>
      <c r="C73" s="8" t="s">
        <v>4</v>
      </c>
      <c r="D73" s="10">
        <f>D75+D78+D81+D84</f>
        <v>26517.671000000002</v>
      </c>
      <c r="E73" s="10">
        <f t="shared" ref="E73:F73" si="27">E75+E78+E81+E84</f>
        <v>0</v>
      </c>
      <c r="F73" s="10">
        <f t="shared" si="27"/>
        <v>27400.815000000002</v>
      </c>
      <c r="G73" s="10">
        <f t="shared" si="1"/>
        <v>27400.815000000002</v>
      </c>
      <c r="H73" s="10">
        <f>H75+H78+H81+H84</f>
        <v>79553.012999999992</v>
      </c>
      <c r="I73" s="10">
        <f t="shared" ref="I73:J74" si="28">I75+I78+I81+I84</f>
        <v>0</v>
      </c>
      <c r="J73" s="10">
        <f t="shared" si="28"/>
        <v>78980.485000000001</v>
      </c>
      <c r="K73" s="10">
        <f t="shared" si="2"/>
        <v>78980.485000000001</v>
      </c>
      <c r="L73" s="16"/>
      <c r="M73" s="220"/>
      <c r="N73" s="221"/>
      <c r="Q73">
        <f t="shared" ref="Q73:Q136" si="29">D73*3</f>
        <v>79553.013000000006</v>
      </c>
      <c r="R73" s="44">
        <f>E73+фев!I73</f>
        <v>0</v>
      </c>
      <c r="S73" s="30">
        <f>F73+фев!J73</f>
        <v>78980.485000000001</v>
      </c>
    </row>
    <row r="74" spans="1:19" ht="17.25" customHeight="1">
      <c r="A74" s="8"/>
      <c r="B74" s="28" t="s">
        <v>65</v>
      </c>
      <c r="C74" s="22" t="s">
        <v>66</v>
      </c>
      <c r="D74" s="14">
        <f t="shared" ref="D74:F74" si="30">D76+D79+D82+D85</f>
        <v>1280770</v>
      </c>
      <c r="E74" s="14">
        <f t="shared" si="30"/>
        <v>0</v>
      </c>
      <c r="F74" s="14">
        <f t="shared" si="30"/>
        <v>1335139.94</v>
      </c>
      <c r="G74" s="14">
        <f t="shared" si="1"/>
        <v>1335139.94</v>
      </c>
      <c r="H74" s="14">
        <f t="shared" ref="H74" si="31">H76+H79+H82+H85</f>
        <v>3842310</v>
      </c>
      <c r="I74" s="59"/>
      <c r="J74" s="14">
        <f t="shared" si="28"/>
        <v>3853106.19</v>
      </c>
      <c r="K74" s="14">
        <f t="shared" si="2"/>
        <v>3853106.19</v>
      </c>
      <c r="L74" s="16"/>
      <c r="M74" s="220"/>
      <c r="N74" s="221"/>
      <c r="Q74">
        <f t="shared" si="29"/>
        <v>3842310</v>
      </c>
      <c r="R74" s="44">
        <f>E74+фев!I74</f>
        <v>0</v>
      </c>
      <c r="S74" s="30">
        <f>F74+фев!J74</f>
        <v>1335139.94</v>
      </c>
    </row>
    <row r="75" spans="1:19" ht="36" customHeight="1">
      <c r="A75" s="8"/>
      <c r="B75" s="12" t="s">
        <v>67</v>
      </c>
      <c r="C75" s="8" t="s">
        <v>4</v>
      </c>
      <c r="D75" s="10">
        <v>1338.4829999999999</v>
      </c>
      <c r="E75" s="8"/>
      <c r="F75" s="8">
        <f>2080.879-F142</f>
        <v>2080.8789999999999</v>
      </c>
      <c r="G75" s="10">
        <f t="shared" ref="G75:G138" si="32">F75-E75</f>
        <v>2080.8789999999999</v>
      </c>
      <c r="H75" s="10">
        <f>D75+фев!H75</f>
        <v>4015.4489999999996</v>
      </c>
      <c r="I75" s="8"/>
      <c r="J75" s="8">
        <f>F75+фев!J75</f>
        <v>6627.174</v>
      </c>
      <c r="K75" s="10">
        <f t="shared" ref="K75:K139" si="33">J75-I75</f>
        <v>6627.174</v>
      </c>
      <c r="L75" s="16"/>
      <c r="M75" s="220"/>
      <c r="N75" s="221"/>
      <c r="Q75">
        <f t="shared" si="29"/>
        <v>4015.4489999999996</v>
      </c>
      <c r="R75" s="44">
        <f>E75+фев!I75</f>
        <v>0</v>
      </c>
      <c r="S75" s="30">
        <f>F75+фев!J75</f>
        <v>6627.174</v>
      </c>
    </row>
    <row r="76" spans="1:19" ht="17.25" customHeight="1">
      <c r="A76" s="8"/>
      <c r="B76" s="12" t="s">
        <v>68</v>
      </c>
      <c r="C76" s="22" t="s">
        <v>66</v>
      </c>
      <c r="D76" s="14">
        <v>68465</v>
      </c>
      <c r="E76" s="22"/>
      <c r="F76" s="59">
        <f>105360.94-F143</f>
        <v>105360.94</v>
      </c>
      <c r="G76" s="14">
        <f t="shared" si="32"/>
        <v>105360.94</v>
      </c>
      <c r="H76" s="10">
        <f>D76+фев!H76</f>
        <v>205395</v>
      </c>
      <c r="I76" s="59"/>
      <c r="J76" s="8">
        <f>F76+фев!J76</f>
        <v>345435.19</v>
      </c>
      <c r="K76" s="14">
        <f t="shared" si="33"/>
        <v>345435.19</v>
      </c>
      <c r="L76" s="16"/>
      <c r="M76" s="220"/>
      <c r="N76" s="221"/>
      <c r="Q76">
        <f t="shared" si="29"/>
        <v>205395</v>
      </c>
      <c r="R76" s="44">
        <f>E76+фев!I76</f>
        <v>0</v>
      </c>
      <c r="S76" s="30">
        <f>F76+фев!J76</f>
        <v>345435.19</v>
      </c>
    </row>
    <row r="77" spans="1:19" ht="17.25" customHeight="1">
      <c r="A77" s="8"/>
      <c r="B77" s="12" t="s">
        <v>15</v>
      </c>
      <c r="C77" s="13" t="s">
        <v>16</v>
      </c>
      <c r="D77" s="16">
        <f>D75/D76*1000</f>
        <v>19.54988680347623</v>
      </c>
      <c r="E77" s="16"/>
      <c r="F77" s="16">
        <f t="shared" ref="F77" si="34">F75/F76*1000</f>
        <v>19.750004128664756</v>
      </c>
      <c r="G77" s="10">
        <f t="shared" si="32"/>
        <v>19.750004128664756</v>
      </c>
      <c r="H77" s="16">
        <f>H75/H76*1000</f>
        <v>19.549886803476227</v>
      </c>
      <c r="I77" s="8"/>
      <c r="J77" s="13"/>
      <c r="K77" s="10">
        <f t="shared" si="33"/>
        <v>0</v>
      </c>
      <c r="L77" s="16"/>
      <c r="M77" s="220"/>
      <c r="N77" s="221"/>
      <c r="Q77">
        <f t="shared" si="29"/>
        <v>58.649660410428694</v>
      </c>
      <c r="R77" s="44">
        <f>E77+фев!I77</f>
        <v>0</v>
      </c>
      <c r="S77" s="30">
        <f>F77+фев!J77</f>
        <v>19.750004128664756</v>
      </c>
    </row>
    <row r="78" spans="1:19" ht="55.5" customHeight="1">
      <c r="A78" s="8"/>
      <c r="B78" s="12" t="s">
        <v>69</v>
      </c>
      <c r="C78" s="8" t="s">
        <v>4</v>
      </c>
      <c r="D78" s="10">
        <v>1253.6469999999999</v>
      </c>
      <c r="E78" s="8"/>
      <c r="F78" s="10">
        <v>1788.52</v>
      </c>
      <c r="G78" s="10">
        <f t="shared" si="32"/>
        <v>1788.52</v>
      </c>
      <c r="H78" s="10">
        <f>D78+фев!H78</f>
        <v>3760.9409999999998</v>
      </c>
      <c r="I78" s="8"/>
      <c r="J78" s="8">
        <f>F78+фев!J78</f>
        <v>5054.1839999999993</v>
      </c>
      <c r="K78" s="10">
        <f t="shared" si="33"/>
        <v>5054.1839999999993</v>
      </c>
      <c r="L78" s="16"/>
      <c r="M78" s="220"/>
      <c r="N78" s="221"/>
      <c r="Q78">
        <f t="shared" si="29"/>
        <v>3760.9409999999998</v>
      </c>
      <c r="R78" s="44">
        <f>E78+фев!I78</f>
        <v>0</v>
      </c>
      <c r="S78" s="30">
        <f>F78+фев!J78</f>
        <v>5054.1839999999993</v>
      </c>
    </row>
    <row r="79" spans="1:19" ht="17.25" customHeight="1">
      <c r="A79" s="8"/>
      <c r="B79" s="12" t="s">
        <v>68</v>
      </c>
      <c r="C79" s="22" t="s">
        <v>66</v>
      </c>
      <c r="D79" s="14">
        <v>63799</v>
      </c>
      <c r="E79" s="22"/>
      <c r="F79" s="59">
        <v>90558</v>
      </c>
      <c r="G79" s="14">
        <f t="shared" si="32"/>
        <v>90558</v>
      </c>
      <c r="H79" s="10">
        <f>D79+фев!H79</f>
        <v>191397</v>
      </c>
      <c r="I79" s="59"/>
      <c r="J79" s="8">
        <f>F79+фев!J79</f>
        <v>255996</v>
      </c>
      <c r="K79" s="14">
        <f t="shared" si="33"/>
        <v>255996</v>
      </c>
      <c r="L79" s="16"/>
      <c r="M79" s="220"/>
      <c r="N79" s="221"/>
      <c r="Q79">
        <f t="shared" si="29"/>
        <v>191397</v>
      </c>
      <c r="R79" s="44">
        <f>E79+фев!I79</f>
        <v>0</v>
      </c>
      <c r="S79" s="30">
        <f>F79+фев!J79</f>
        <v>255996</v>
      </c>
    </row>
    <row r="80" spans="1:19" ht="17.25" customHeight="1">
      <c r="A80" s="8"/>
      <c r="B80" s="12" t="s">
        <v>15</v>
      </c>
      <c r="C80" s="13" t="s">
        <v>16</v>
      </c>
      <c r="D80" s="16">
        <f>D78/D79*1000</f>
        <v>19.649947491339987</v>
      </c>
      <c r="E80" s="16"/>
      <c r="F80" s="16">
        <f t="shared" ref="F80" si="35">F78/F79*1000</f>
        <v>19.749994478676651</v>
      </c>
      <c r="G80" s="10">
        <f t="shared" si="32"/>
        <v>19.749994478676651</v>
      </c>
      <c r="H80" s="16">
        <f>H78/H79*1000</f>
        <v>19.649947491339987</v>
      </c>
      <c r="I80" s="8"/>
      <c r="J80" s="13"/>
      <c r="K80" s="10">
        <f t="shared" si="33"/>
        <v>0</v>
      </c>
      <c r="L80" s="16"/>
      <c r="M80" s="220"/>
      <c r="N80" s="221"/>
      <c r="Q80">
        <f t="shared" si="29"/>
        <v>58.94984247401996</v>
      </c>
      <c r="R80" s="44">
        <f>E80+фев!I80</f>
        <v>0</v>
      </c>
      <c r="S80" s="30">
        <f>F80+фев!J80</f>
        <v>19.749994478676651</v>
      </c>
    </row>
    <row r="81" spans="1:19" ht="36" customHeight="1">
      <c r="A81" s="8"/>
      <c r="B81" s="12" t="s">
        <v>70</v>
      </c>
      <c r="C81" s="8" t="s">
        <v>4</v>
      </c>
      <c r="D81" s="10">
        <v>3651.203</v>
      </c>
      <c r="E81" s="8"/>
      <c r="F81" s="8">
        <v>5230.0569999999998</v>
      </c>
      <c r="G81" s="10">
        <f t="shared" si="32"/>
        <v>5230.0569999999998</v>
      </c>
      <c r="H81" s="10">
        <f>D81+фев!H81</f>
        <v>10953.609</v>
      </c>
      <c r="I81" s="8"/>
      <c r="J81" s="8">
        <f>F81+фев!J81</f>
        <v>12694.096</v>
      </c>
      <c r="K81" s="10">
        <f t="shared" si="33"/>
        <v>12694.096</v>
      </c>
      <c r="L81" s="16"/>
      <c r="M81" s="220"/>
      <c r="N81" s="221"/>
      <c r="Q81">
        <f t="shared" si="29"/>
        <v>10953.609</v>
      </c>
      <c r="R81" s="44">
        <f>E81+фев!I81</f>
        <v>0</v>
      </c>
      <c r="S81" s="30">
        <f>F81+фев!J81</f>
        <v>12694.096</v>
      </c>
    </row>
    <row r="82" spans="1:19" ht="17.25" customHeight="1">
      <c r="A82" s="8"/>
      <c r="B82" s="12" t="s">
        <v>68</v>
      </c>
      <c r="C82" s="22" t="s">
        <v>66</v>
      </c>
      <c r="D82" s="14">
        <v>185812</v>
      </c>
      <c r="E82" s="22"/>
      <c r="F82" s="59">
        <v>264813</v>
      </c>
      <c r="G82" s="14">
        <v>5230.0569999999998</v>
      </c>
      <c r="H82" s="10">
        <f>D82+фев!H82</f>
        <v>557436</v>
      </c>
      <c r="I82" s="59"/>
      <c r="J82" s="8">
        <f>F82+фев!J82</f>
        <v>642739</v>
      </c>
      <c r="K82" s="14">
        <f t="shared" si="33"/>
        <v>642739</v>
      </c>
      <c r="L82" s="16"/>
      <c r="M82" s="220"/>
      <c r="N82" s="221"/>
      <c r="Q82">
        <f t="shared" si="29"/>
        <v>557436</v>
      </c>
      <c r="R82" s="44">
        <f>E82+фев!I82</f>
        <v>0</v>
      </c>
      <c r="S82" s="30">
        <f>F82+фев!J82</f>
        <v>642739</v>
      </c>
    </row>
    <row r="83" spans="1:19" ht="17.25" customHeight="1">
      <c r="A83" s="8"/>
      <c r="B83" s="12" t="s">
        <v>15</v>
      </c>
      <c r="C83" s="13" t="s">
        <v>16</v>
      </c>
      <c r="D83" s="16">
        <f>D81/D82*1000</f>
        <v>19.64998493100553</v>
      </c>
      <c r="E83" s="16"/>
      <c r="F83" s="16">
        <f t="shared" ref="F83" si="36">F81/F82*1000</f>
        <v>19.75000094406241</v>
      </c>
      <c r="G83" s="10">
        <f t="shared" si="32"/>
        <v>19.75000094406241</v>
      </c>
      <c r="H83" s="16">
        <f>H81/H82*1000</f>
        <v>19.64998493100553</v>
      </c>
      <c r="I83" s="8"/>
      <c r="J83" s="13"/>
      <c r="K83" s="10">
        <f t="shared" si="33"/>
        <v>0</v>
      </c>
      <c r="L83" s="16"/>
      <c r="M83" s="220"/>
      <c r="N83" s="221"/>
      <c r="Q83">
        <f t="shared" si="29"/>
        <v>58.949954793016587</v>
      </c>
      <c r="R83" s="44">
        <f>E83+фев!I83</f>
        <v>0</v>
      </c>
      <c r="S83" s="30">
        <f>F83+фев!J83</f>
        <v>19.75000094406241</v>
      </c>
    </row>
    <row r="84" spans="1:19" ht="17.25" customHeight="1">
      <c r="A84" s="8"/>
      <c r="B84" s="12" t="s">
        <v>71</v>
      </c>
      <c r="C84" s="8" t="s">
        <v>4</v>
      </c>
      <c r="D84" s="10">
        <v>20274.338</v>
      </c>
      <c r="E84" s="8"/>
      <c r="F84" s="8">
        <v>18301.359</v>
      </c>
      <c r="G84" s="10">
        <f t="shared" si="32"/>
        <v>18301.359</v>
      </c>
      <c r="H84" s="10">
        <f>D84+фев!H84</f>
        <v>60823.013999999996</v>
      </c>
      <c r="I84" s="8"/>
      <c r="J84" s="8">
        <f>F84+фев!J84</f>
        <v>54605.031000000003</v>
      </c>
      <c r="K84" s="10">
        <f t="shared" si="33"/>
        <v>54605.031000000003</v>
      </c>
      <c r="L84" s="16"/>
      <c r="M84" s="233" t="s">
        <v>297</v>
      </c>
      <c r="N84" s="234"/>
      <c r="Q84">
        <f t="shared" si="29"/>
        <v>60823.013999999996</v>
      </c>
      <c r="R84" s="44">
        <f>E84+фев!I84</f>
        <v>0</v>
      </c>
      <c r="S84" s="30">
        <f>F84+фев!J84</f>
        <v>54605.031000000003</v>
      </c>
    </row>
    <row r="85" spans="1:19" ht="26.25" customHeight="1">
      <c r="A85" s="8"/>
      <c r="B85" s="12" t="s">
        <v>68</v>
      </c>
      <c r="C85" s="22" t="s">
        <v>66</v>
      </c>
      <c r="D85" s="14">
        <v>962694</v>
      </c>
      <c r="E85" s="22"/>
      <c r="F85" s="59">
        <v>874408</v>
      </c>
      <c r="G85" s="14">
        <f t="shared" si="32"/>
        <v>874408</v>
      </c>
      <c r="H85" s="10">
        <f>D85+фев!H85</f>
        <v>2888082</v>
      </c>
      <c r="I85" s="59"/>
      <c r="J85" s="8">
        <f>F85+фев!J85</f>
        <v>2608936</v>
      </c>
      <c r="K85" s="14">
        <f t="shared" si="33"/>
        <v>2608936</v>
      </c>
      <c r="L85" s="16"/>
      <c r="M85" s="235"/>
      <c r="N85" s="236"/>
      <c r="Q85">
        <f t="shared" si="29"/>
        <v>2888082</v>
      </c>
      <c r="R85" s="44">
        <f>E85+фев!I85</f>
        <v>0</v>
      </c>
      <c r="S85" s="30">
        <f>F85+фев!J85</f>
        <v>2608936</v>
      </c>
    </row>
    <row r="86" spans="1:19" ht="17.25" customHeight="1">
      <c r="A86" s="8"/>
      <c r="B86" s="12" t="s">
        <v>15</v>
      </c>
      <c r="C86" s="13" t="s">
        <v>16</v>
      </c>
      <c r="D86" s="16">
        <f>D84/D85*1000</f>
        <v>21.06000245145394</v>
      </c>
      <c r="E86" s="16"/>
      <c r="F86" s="16">
        <f t="shared" ref="F86" si="37">F84/F85*1000</f>
        <v>20.929999496802409</v>
      </c>
      <c r="G86" s="10">
        <f t="shared" si="32"/>
        <v>20.929999496802409</v>
      </c>
      <c r="H86" s="16">
        <f>H84/H85*1000</f>
        <v>21.060002451453936</v>
      </c>
      <c r="I86" s="8"/>
      <c r="J86" s="13"/>
      <c r="K86" s="10">
        <f t="shared" si="33"/>
        <v>0</v>
      </c>
      <c r="L86" s="16"/>
      <c r="M86" s="220"/>
      <c r="N86" s="221"/>
      <c r="Q86">
        <f t="shared" si="29"/>
        <v>63.18000735436182</v>
      </c>
      <c r="R86" s="44">
        <f>E86+фев!I86</f>
        <v>0</v>
      </c>
      <c r="S86" s="30">
        <f>F86+фев!J86</f>
        <v>20.929999496802409</v>
      </c>
    </row>
    <row r="87" spans="1:19" ht="17.25" customHeight="1">
      <c r="A87" s="65" t="s">
        <v>72</v>
      </c>
      <c r="B87" s="6" t="s">
        <v>73</v>
      </c>
      <c r="C87" s="65" t="s">
        <v>4</v>
      </c>
      <c r="D87" s="7">
        <f>D88+D89+D90</f>
        <v>22015.745000000003</v>
      </c>
      <c r="E87" s="21">
        <f>E88+E89+E90+E91</f>
        <v>20888.748999999996</v>
      </c>
      <c r="F87" s="7">
        <f>F88+F89+F90+F91+F92</f>
        <v>23667.91</v>
      </c>
      <c r="G87" s="10">
        <f t="shared" si="32"/>
        <v>2779.1610000000037</v>
      </c>
      <c r="H87" s="7">
        <f>H88+H89+H90</f>
        <v>66047.235000000001</v>
      </c>
      <c r="I87" s="7">
        <f>I88+I89+I90+I91</f>
        <v>62666.246999999988</v>
      </c>
      <c r="J87" s="7">
        <f>J88+J89+J90+J91+J92</f>
        <v>61520.820999999996</v>
      </c>
      <c r="K87" s="10">
        <f t="shared" si="33"/>
        <v>-1145.4259999999922</v>
      </c>
      <c r="L87" s="16">
        <f t="shared" ref="L87:L151" si="38">K87/I87*100</f>
        <v>-1.827819687366937</v>
      </c>
      <c r="M87" s="220"/>
      <c r="N87" s="221"/>
      <c r="O87">
        <f>P87-P88</f>
        <v>-2406.9850000000006</v>
      </c>
      <c r="P87">
        <f>J88+J98+J92</f>
        <v>57593.972999999998</v>
      </c>
      <c r="Q87">
        <f t="shared" si="29"/>
        <v>66047.235000000015</v>
      </c>
      <c r="R87" s="44">
        <f>E87+фев!I87</f>
        <v>62666.246999999988</v>
      </c>
      <c r="S87" s="30">
        <f>F87+фев!J87</f>
        <v>61520.821000000011</v>
      </c>
    </row>
    <row r="88" spans="1:19" ht="17.25" customHeight="1">
      <c r="A88" s="8" t="s">
        <v>74</v>
      </c>
      <c r="B88" s="9" t="s">
        <v>75</v>
      </c>
      <c r="C88" s="8" t="s">
        <v>4</v>
      </c>
      <c r="D88" s="10">
        <v>20032.525000000001</v>
      </c>
      <c r="E88" s="8">
        <v>18751.082999999999</v>
      </c>
      <c r="F88" s="87">
        <f>22040.039-F92-F98</f>
        <v>21386.580999999998</v>
      </c>
      <c r="G88" s="10">
        <f t="shared" si="32"/>
        <v>2635.4979999999996</v>
      </c>
      <c r="H88" s="10">
        <f>D88+фев!H88</f>
        <v>60097.575000000004</v>
      </c>
      <c r="I88" s="8">
        <f>E88+фев!I88</f>
        <v>56253.248999999996</v>
      </c>
      <c r="J88" s="10">
        <f>F88+фев!J88</f>
        <v>55381.642</v>
      </c>
      <c r="K88" s="10">
        <f t="shared" si="33"/>
        <v>-871.60699999999633</v>
      </c>
      <c r="L88" s="16">
        <f t="shared" si="38"/>
        <v>-1.5494340602442294</v>
      </c>
      <c r="M88" s="227"/>
      <c r="N88" s="228"/>
      <c r="O88" s="30">
        <f>J88+J92+J98</f>
        <v>57593.972999999998</v>
      </c>
      <c r="P88">
        <v>60000.957999999999</v>
      </c>
      <c r="Q88">
        <f t="shared" si="29"/>
        <v>60097.575000000004</v>
      </c>
      <c r="R88" s="44">
        <f>E88+фев!I88</f>
        <v>56253.248999999996</v>
      </c>
      <c r="S88" s="30">
        <f>F88+фев!J88</f>
        <v>55381.642</v>
      </c>
    </row>
    <row r="89" spans="1:19" ht="17.25" customHeight="1">
      <c r="A89" s="8" t="s">
        <v>76</v>
      </c>
      <c r="B89" s="9" t="s">
        <v>77</v>
      </c>
      <c r="C89" s="8" t="s">
        <v>4</v>
      </c>
      <c r="D89" s="10">
        <v>1101.788</v>
      </c>
      <c r="E89" s="8">
        <v>1012.583</v>
      </c>
      <c r="F89" s="87">
        <v>1200.789</v>
      </c>
      <c r="G89" s="10">
        <f t="shared" si="32"/>
        <v>188.20600000000002</v>
      </c>
      <c r="H89" s="10">
        <f>D89+фев!H89</f>
        <v>3305.364</v>
      </c>
      <c r="I89" s="8">
        <f>E89+фев!I89</f>
        <v>3037.7489999999998</v>
      </c>
      <c r="J89" s="8">
        <f>F89+фев!J89</f>
        <v>3107.9809999999998</v>
      </c>
      <c r="K89" s="10">
        <f t="shared" si="33"/>
        <v>70.231999999999971</v>
      </c>
      <c r="L89" s="16">
        <f t="shared" si="38"/>
        <v>2.3119750841823987</v>
      </c>
      <c r="M89" s="227"/>
      <c r="N89" s="228"/>
      <c r="O89">
        <f>P89-J89</f>
        <v>144.41900000000032</v>
      </c>
      <c r="P89">
        <v>3252.4</v>
      </c>
      <c r="Q89">
        <f t="shared" si="29"/>
        <v>3305.364</v>
      </c>
      <c r="R89" s="44">
        <f>E89+фев!I89</f>
        <v>3037.7489999999998</v>
      </c>
      <c r="S89" s="30">
        <f>F89+фев!J89</f>
        <v>3107.9809999999998</v>
      </c>
    </row>
    <row r="90" spans="1:19" ht="17.25" customHeight="1">
      <c r="A90" s="8" t="s">
        <v>308</v>
      </c>
      <c r="B90" s="9" t="s">
        <v>307</v>
      </c>
      <c r="C90" s="8" t="s">
        <v>4</v>
      </c>
      <c r="D90" s="10">
        <v>881.43200000000002</v>
      </c>
      <c r="E90" s="8">
        <v>843.83299999999997</v>
      </c>
      <c r="F90" s="86">
        <v>653.43799999999999</v>
      </c>
      <c r="G90" s="10">
        <f t="shared" si="32"/>
        <v>-190.39499999999998</v>
      </c>
      <c r="H90" s="10">
        <f>D90+фев!H90</f>
        <v>2644.2960000000003</v>
      </c>
      <c r="I90" s="8">
        <f>E90+фев!I90</f>
        <v>2531.4989999999998</v>
      </c>
      <c r="J90" s="8">
        <f>F90+фев!J90</f>
        <v>1711.7060000000001</v>
      </c>
      <c r="K90" s="10">
        <f t="shared" si="33"/>
        <v>-819.79299999999967</v>
      </c>
      <c r="L90" s="16">
        <f t="shared" si="38"/>
        <v>-32.383698354216207</v>
      </c>
      <c r="M90" s="67"/>
      <c r="N90" s="68"/>
      <c r="O90">
        <f>P90-J90</f>
        <v>156.45499999999993</v>
      </c>
      <c r="P90">
        <v>1868.1610000000001</v>
      </c>
      <c r="Q90">
        <f t="shared" si="29"/>
        <v>2644.2960000000003</v>
      </c>
      <c r="R90" s="44">
        <f>E90+фев!I90</f>
        <v>2531.4989999999998</v>
      </c>
      <c r="S90" s="30">
        <f>F90+фев!J90</f>
        <v>1711.7060000000001</v>
      </c>
    </row>
    <row r="91" spans="1:19" ht="17.25" customHeight="1">
      <c r="A91" s="8" t="s">
        <v>309</v>
      </c>
      <c r="B91" s="9" t="s">
        <v>310</v>
      </c>
      <c r="C91" s="8" t="s">
        <v>4</v>
      </c>
      <c r="D91" s="10"/>
      <c r="E91" s="8">
        <v>281.25</v>
      </c>
      <c r="F91" s="86">
        <v>311.52199999999999</v>
      </c>
      <c r="G91" s="10">
        <f t="shared" si="32"/>
        <v>30.271999999999991</v>
      </c>
      <c r="H91" s="10">
        <f>D91+фев!H91</f>
        <v>0</v>
      </c>
      <c r="I91" s="8">
        <f>E91+фев!I91</f>
        <v>843.75</v>
      </c>
      <c r="J91" s="8">
        <f>F91+фев!J91</f>
        <v>810.86300000000006</v>
      </c>
      <c r="K91" s="10">
        <f t="shared" si="33"/>
        <v>-32.886999999999944</v>
      </c>
      <c r="L91" s="16">
        <f t="shared" si="38"/>
        <v>-3.8977185185185124</v>
      </c>
      <c r="M91" s="67"/>
      <c r="N91" s="68"/>
      <c r="O91">
        <f>P91-J91</f>
        <v>-12.030000000000086</v>
      </c>
      <c r="P91">
        <v>798.83299999999997</v>
      </c>
      <c r="Q91">
        <f t="shared" si="29"/>
        <v>0</v>
      </c>
      <c r="R91" s="44">
        <f>E91+фев!I91</f>
        <v>843.75</v>
      </c>
      <c r="S91" s="30">
        <f>F91+фев!J91</f>
        <v>810.86300000000006</v>
      </c>
    </row>
    <row r="92" spans="1:19" ht="17.25" customHeight="1">
      <c r="A92" s="8"/>
      <c r="B92" s="9" t="s">
        <v>316</v>
      </c>
      <c r="C92" s="8" t="s">
        <v>4</v>
      </c>
      <c r="D92" s="10"/>
      <c r="E92" s="8"/>
      <c r="F92" s="10">
        <v>115.58</v>
      </c>
      <c r="G92" s="10"/>
      <c r="H92" s="10">
        <f>D92+фев!H92</f>
        <v>0</v>
      </c>
      <c r="I92" s="8">
        <f>E92+фев!I92</f>
        <v>0</v>
      </c>
      <c r="J92" s="8">
        <f>F92+фев!J92</f>
        <v>508.62899999999996</v>
      </c>
      <c r="K92" s="10"/>
      <c r="L92" s="16"/>
      <c r="M92" s="67"/>
      <c r="N92" s="68"/>
      <c r="P92">
        <f>J92+J149</f>
        <v>719.76900000000001</v>
      </c>
      <c r="Q92">
        <f t="shared" si="29"/>
        <v>0</v>
      </c>
      <c r="R92" s="44">
        <f>E92+фев!I92</f>
        <v>0</v>
      </c>
      <c r="S92" s="30">
        <f>F92+фев!J92</f>
        <v>508.62899999999996</v>
      </c>
    </row>
    <row r="93" spans="1:19" ht="17.25" customHeight="1">
      <c r="A93" s="65" t="s">
        <v>78</v>
      </c>
      <c r="B93" s="6" t="s">
        <v>79</v>
      </c>
      <c r="C93" s="65" t="s">
        <v>4</v>
      </c>
      <c r="D93" s="7">
        <f>D94</f>
        <v>12258.85</v>
      </c>
      <c r="E93" s="21">
        <f>E94</f>
        <v>12219.75</v>
      </c>
      <c r="F93" s="7">
        <f>F94</f>
        <v>11186.638999999999</v>
      </c>
      <c r="G93" s="10">
        <f t="shared" si="32"/>
        <v>-1033.1110000000008</v>
      </c>
      <c r="H93" s="7">
        <f>H94</f>
        <v>36776.550000000003</v>
      </c>
      <c r="I93" s="21">
        <f>I94</f>
        <v>36659.25</v>
      </c>
      <c r="J93" s="7">
        <f>J94</f>
        <v>33187.892999999996</v>
      </c>
      <c r="K93" s="10">
        <f t="shared" si="33"/>
        <v>-3471.3570000000036</v>
      </c>
      <c r="L93" s="16">
        <f t="shared" si="38"/>
        <v>-9.469252644284877</v>
      </c>
      <c r="M93" s="220"/>
      <c r="N93" s="221"/>
      <c r="Q93">
        <f t="shared" si="29"/>
        <v>36776.550000000003</v>
      </c>
      <c r="R93" s="44">
        <f>E93+фев!I93</f>
        <v>36659.25</v>
      </c>
      <c r="S93" s="30">
        <f>F93+фев!J93</f>
        <v>33187.892999999996</v>
      </c>
    </row>
    <row r="94" spans="1:19" ht="17.25" customHeight="1">
      <c r="A94" s="23" t="s">
        <v>80</v>
      </c>
      <c r="B94" s="9" t="s">
        <v>81</v>
      </c>
      <c r="C94" s="8" t="s">
        <v>4</v>
      </c>
      <c r="D94" s="10">
        <v>12258.85</v>
      </c>
      <c r="E94" s="8">
        <v>12219.75</v>
      </c>
      <c r="F94" s="86">
        <v>11186.638999999999</v>
      </c>
      <c r="G94" s="10">
        <f t="shared" si="32"/>
        <v>-1033.1110000000008</v>
      </c>
      <c r="H94" s="10">
        <f>D94+фев!H94</f>
        <v>36776.550000000003</v>
      </c>
      <c r="I94" s="8">
        <f>E94+фев!I94</f>
        <v>36659.25</v>
      </c>
      <c r="J94" s="8">
        <f>F94+фев!J94</f>
        <v>33187.892999999996</v>
      </c>
      <c r="K94" s="10">
        <f t="shared" si="33"/>
        <v>-3471.3570000000036</v>
      </c>
      <c r="L94" s="16">
        <f t="shared" si="38"/>
        <v>-9.469252644284877</v>
      </c>
      <c r="M94" s="220"/>
      <c r="N94" s="221"/>
      <c r="O94">
        <f>P94-J94</f>
        <v>-819.50699999999779</v>
      </c>
      <c r="P94">
        <v>32368.385999999999</v>
      </c>
      <c r="Q94">
        <f t="shared" si="29"/>
        <v>36776.550000000003</v>
      </c>
      <c r="R94" s="44">
        <f>E94+фев!I94</f>
        <v>36659.25</v>
      </c>
      <c r="S94" s="30">
        <f>F94+фев!J94</f>
        <v>33187.892999999996</v>
      </c>
    </row>
    <row r="95" spans="1:19" ht="17.25" customHeight="1">
      <c r="A95" s="65" t="s">
        <v>82</v>
      </c>
      <c r="B95" s="6" t="s">
        <v>83</v>
      </c>
      <c r="C95" s="65" t="s">
        <v>4</v>
      </c>
      <c r="D95" s="7">
        <f t="shared" ref="D95:J95" si="39">D96</f>
        <v>588.22500000000002</v>
      </c>
      <c r="E95" s="7">
        <f t="shared" si="39"/>
        <v>291.66699999999997</v>
      </c>
      <c r="F95" s="7">
        <f t="shared" si="39"/>
        <v>0</v>
      </c>
      <c r="G95" s="10">
        <f t="shared" si="32"/>
        <v>-291.66699999999997</v>
      </c>
      <c r="H95" s="7">
        <f t="shared" si="39"/>
        <v>1764.6750000000002</v>
      </c>
      <c r="I95" s="7">
        <f t="shared" si="39"/>
        <v>875.00099999999998</v>
      </c>
      <c r="J95" s="7">
        <f t="shared" si="39"/>
        <v>0.76900000000000002</v>
      </c>
      <c r="K95" s="10">
        <f t="shared" si="33"/>
        <v>-874.23199999999997</v>
      </c>
      <c r="L95" s="16">
        <f t="shared" si="38"/>
        <v>-99.912114386154983</v>
      </c>
      <c r="M95" s="220"/>
      <c r="N95" s="221"/>
      <c r="Q95">
        <f t="shared" si="29"/>
        <v>1764.6750000000002</v>
      </c>
      <c r="R95" s="44">
        <f>E95+фев!I95</f>
        <v>875.00099999999998</v>
      </c>
      <c r="S95" s="30">
        <f>F95+фев!J95</f>
        <v>0.76800000000000002</v>
      </c>
    </row>
    <row r="96" spans="1:19" ht="54" customHeight="1">
      <c r="A96" s="8" t="s">
        <v>84</v>
      </c>
      <c r="B96" s="9" t="s">
        <v>85</v>
      </c>
      <c r="C96" s="8" t="s">
        <v>4</v>
      </c>
      <c r="D96" s="10">
        <v>588.22500000000002</v>
      </c>
      <c r="E96" s="8">
        <v>291.66699999999997</v>
      </c>
      <c r="F96" s="8"/>
      <c r="G96" s="10">
        <f t="shared" si="32"/>
        <v>-291.66699999999997</v>
      </c>
      <c r="H96" s="10">
        <f>D96+фев!H96</f>
        <v>1764.6750000000002</v>
      </c>
      <c r="I96" s="8">
        <f>E96+фев!I96</f>
        <v>875.00099999999998</v>
      </c>
      <c r="J96" s="8">
        <v>0.76900000000000002</v>
      </c>
      <c r="K96" s="10">
        <f t="shared" si="33"/>
        <v>-874.23199999999997</v>
      </c>
      <c r="L96" s="16">
        <f t="shared" si="38"/>
        <v>-99.912114386154983</v>
      </c>
      <c r="M96" s="227" t="s">
        <v>299</v>
      </c>
      <c r="N96" s="228"/>
      <c r="Q96">
        <f t="shared" si="29"/>
        <v>1764.6750000000002</v>
      </c>
      <c r="R96" s="44">
        <f>E96+фев!I96</f>
        <v>875.00099999999998</v>
      </c>
      <c r="S96" s="30">
        <f>F96+фев!J96</f>
        <v>0.76800000000000002</v>
      </c>
    </row>
    <row r="97" spans="1:19" ht="17.25" customHeight="1">
      <c r="A97" s="65" t="s">
        <v>86</v>
      </c>
      <c r="B97" s="6" t="s">
        <v>87</v>
      </c>
      <c r="C97" s="65" t="s">
        <v>4</v>
      </c>
      <c r="D97" s="7">
        <f t="shared" ref="D97" si="40">D98+D99+D103+D104+D109+D110</f>
        <v>2575.1889999999999</v>
      </c>
      <c r="E97" s="7">
        <f>E98+E99+E103+E104+E109+E110</f>
        <v>2562.3330000000001</v>
      </c>
      <c r="F97" s="7">
        <f>F98+F99+F103+F104+F109+F110</f>
        <v>2242.8465000000006</v>
      </c>
      <c r="G97" s="10">
        <f t="shared" si="32"/>
        <v>-319.48649999999952</v>
      </c>
      <c r="H97" s="7">
        <f t="shared" ref="H97" si="41">H98+H99+H103+H104+H109+H110</f>
        <v>7725.567</v>
      </c>
      <c r="I97" s="7">
        <f>I98+I99+I103+I104+I109+I110</f>
        <v>7686.9989999999998</v>
      </c>
      <c r="J97" s="7">
        <f>J98+J99+J103+J104+J109+J110</f>
        <v>6183.1195000000007</v>
      </c>
      <c r="K97" s="10">
        <f t="shared" si="33"/>
        <v>-1503.8794999999991</v>
      </c>
      <c r="L97" s="16">
        <f t="shared" si="38"/>
        <v>-19.563935158570974</v>
      </c>
      <c r="M97" s="220"/>
      <c r="N97" s="221"/>
      <c r="Q97">
        <f t="shared" si="29"/>
        <v>7725.5669999999991</v>
      </c>
      <c r="R97" s="44">
        <f>E97+фев!I97</f>
        <v>7686.9989999999998</v>
      </c>
      <c r="S97" s="30">
        <f>F97+фев!J97</f>
        <v>6183.1195000000007</v>
      </c>
    </row>
    <row r="98" spans="1:19" ht="17.25" customHeight="1">
      <c r="A98" s="8" t="s">
        <v>88</v>
      </c>
      <c r="B98" s="9" t="s">
        <v>89</v>
      </c>
      <c r="C98" s="8" t="s">
        <v>4</v>
      </c>
      <c r="D98" s="10">
        <v>626.41700000000003</v>
      </c>
      <c r="E98" s="8">
        <v>543.08299999999997</v>
      </c>
      <c r="F98" s="8">
        <v>537.87800000000004</v>
      </c>
      <c r="G98" s="10">
        <f t="shared" si="32"/>
        <v>-5.2049999999999272</v>
      </c>
      <c r="H98" s="10">
        <f>D98+фев!H98</f>
        <v>1879.2510000000002</v>
      </c>
      <c r="I98" s="8">
        <f>E98+фев!I98</f>
        <v>1629.2489999999998</v>
      </c>
      <c r="J98" s="8">
        <f>F98+фев!J98</f>
        <v>1703.7020000000002</v>
      </c>
      <c r="K98" s="10">
        <f t="shared" si="33"/>
        <v>74.453000000000429</v>
      </c>
      <c r="L98" s="16">
        <f t="shared" si="38"/>
        <v>4.5697741720265252</v>
      </c>
      <c r="M98" s="227" t="s">
        <v>298</v>
      </c>
      <c r="N98" s="228"/>
      <c r="Q98">
        <f t="shared" si="29"/>
        <v>1879.2510000000002</v>
      </c>
      <c r="R98" s="44">
        <f>E98+фев!I98</f>
        <v>1629.2489999999998</v>
      </c>
      <c r="S98" s="30">
        <f>F98+фев!J98</f>
        <v>1703.7020000000002</v>
      </c>
    </row>
    <row r="99" spans="1:19" ht="53.25" customHeight="1">
      <c r="A99" s="8" t="s">
        <v>90</v>
      </c>
      <c r="B99" s="20" t="s">
        <v>242</v>
      </c>
      <c r="C99" s="8" t="s">
        <v>4</v>
      </c>
      <c r="D99" s="10">
        <f t="shared" ref="D99:F99" si="42">D100+D101+D102</f>
        <v>107.703</v>
      </c>
      <c r="E99" s="8">
        <v>107.667</v>
      </c>
      <c r="F99" s="10">
        <f t="shared" si="42"/>
        <v>0</v>
      </c>
      <c r="G99" s="10">
        <f t="shared" si="32"/>
        <v>-107.667</v>
      </c>
      <c r="H99" s="10">
        <f t="shared" ref="H99" si="43">H100+H101+H102</f>
        <v>323.10899999999998</v>
      </c>
      <c r="I99" s="8">
        <f>E99+фев!I99</f>
        <v>323.00099999999998</v>
      </c>
      <c r="J99" s="10">
        <f t="shared" ref="J99" si="44">J100+J101+J102</f>
        <v>0</v>
      </c>
      <c r="K99" s="10">
        <f t="shared" si="33"/>
        <v>-323.00099999999998</v>
      </c>
      <c r="L99" s="16">
        <f t="shared" si="38"/>
        <v>-100</v>
      </c>
      <c r="M99" s="220"/>
      <c r="N99" s="221"/>
      <c r="Q99">
        <f t="shared" si="29"/>
        <v>323.10900000000004</v>
      </c>
      <c r="R99" s="44">
        <f>E99+фев!I99</f>
        <v>323.00099999999998</v>
      </c>
      <c r="S99" s="30">
        <f>F99+фев!J99</f>
        <v>0</v>
      </c>
    </row>
    <row r="100" spans="1:19" ht="17.25" customHeight="1">
      <c r="A100" s="8" t="s">
        <v>91</v>
      </c>
      <c r="B100" s="20" t="s">
        <v>92</v>
      </c>
      <c r="C100" s="8" t="s">
        <v>4</v>
      </c>
      <c r="D100" s="10">
        <v>45.448999999999998</v>
      </c>
      <c r="E100" s="8"/>
      <c r="F100" s="8"/>
      <c r="G100" s="10">
        <f t="shared" si="32"/>
        <v>0</v>
      </c>
      <c r="H100" s="10">
        <f>D100+фев!H100</f>
        <v>136.34699999999998</v>
      </c>
      <c r="I100" s="8"/>
      <c r="J100" s="8">
        <f>F100+фев!J100</f>
        <v>0</v>
      </c>
      <c r="K100" s="10">
        <f t="shared" si="33"/>
        <v>0</v>
      </c>
      <c r="L100" s="16"/>
      <c r="M100" s="220"/>
      <c r="N100" s="221"/>
      <c r="Q100">
        <f t="shared" si="29"/>
        <v>136.34699999999998</v>
      </c>
      <c r="R100" s="44">
        <f>E100+фев!I100</f>
        <v>0</v>
      </c>
      <c r="S100" s="30">
        <f>F100+фев!J100</f>
        <v>0</v>
      </c>
    </row>
    <row r="101" spans="1:19" ht="33.75" customHeight="1">
      <c r="A101" s="8" t="s">
        <v>93</v>
      </c>
      <c r="B101" s="20" t="s">
        <v>94</v>
      </c>
      <c r="C101" s="8" t="s">
        <v>4</v>
      </c>
      <c r="D101" s="10">
        <v>62.253999999999998</v>
      </c>
      <c r="E101" s="8"/>
      <c r="F101" s="8"/>
      <c r="G101" s="10">
        <f t="shared" si="32"/>
        <v>0</v>
      </c>
      <c r="H101" s="10">
        <f>D101+фев!H101</f>
        <v>186.762</v>
      </c>
      <c r="I101" s="8"/>
      <c r="J101" s="8">
        <f>F101+фев!J101</f>
        <v>0</v>
      </c>
      <c r="K101" s="10">
        <f t="shared" si="33"/>
        <v>0</v>
      </c>
      <c r="L101" s="16"/>
      <c r="M101" s="220"/>
      <c r="N101" s="221"/>
      <c r="Q101">
        <f t="shared" si="29"/>
        <v>186.762</v>
      </c>
      <c r="R101" s="44">
        <f>E101+фев!I101</f>
        <v>0</v>
      </c>
      <c r="S101" s="30">
        <f>F101+фев!J101</f>
        <v>0</v>
      </c>
    </row>
    <row r="102" spans="1:19" ht="33.75" customHeight="1">
      <c r="A102" s="8" t="s">
        <v>95</v>
      </c>
      <c r="B102" s="20" t="s">
        <v>96</v>
      </c>
      <c r="C102" s="8" t="s">
        <v>4</v>
      </c>
      <c r="D102" s="10"/>
      <c r="E102" s="8"/>
      <c r="F102" s="8"/>
      <c r="G102" s="10">
        <f t="shared" si="32"/>
        <v>0</v>
      </c>
      <c r="H102" s="10">
        <f>D102+фев!H102</f>
        <v>0</v>
      </c>
      <c r="I102" s="8"/>
      <c r="J102" s="8">
        <f>F102+фев!J102</f>
        <v>0</v>
      </c>
      <c r="K102" s="10">
        <f t="shared" si="33"/>
        <v>0</v>
      </c>
      <c r="L102" s="16"/>
      <c r="M102" s="220"/>
      <c r="N102" s="221"/>
      <c r="Q102">
        <f t="shared" si="29"/>
        <v>0</v>
      </c>
      <c r="R102" s="44">
        <f>E102+фев!I102</f>
        <v>0</v>
      </c>
      <c r="S102" s="30">
        <f>F102+фев!J102</f>
        <v>0</v>
      </c>
    </row>
    <row r="103" spans="1:19" ht="17.25" customHeight="1">
      <c r="A103" s="8" t="s">
        <v>97</v>
      </c>
      <c r="B103" s="20" t="s">
        <v>98</v>
      </c>
      <c r="C103" s="8" t="s">
        <v>4</v>
      </c>
      <c r="D103" s="10">
        <v>1.3089999999999999</v>
      </c>
      <c r="E103" s="8">
        <v>1.333</v>
      </c>
      <c r="F103" s="8"/>
      <c r="G103" s="10">
        <f t="shared" si="32"/>
        <v>-1.333</v>
      </c>
      <c r="H103" s="10">
        <f>D103+фев!H103</f>
        <v>3.9269999999999996</v>
      </c>
      <c r="I103" s="8">
        <f>E103+фев!I103</f>
        <v>3.9989999999999997</v>
      </c>
      <c r="J103" s="8">
        <f>F103+фев!J103</f>
        <v>0</v>
      </c>
      <c r="K103" s="10">
        <f t="shared" si="33"/>
        <v>-3.9989999999999997</v>
      </c>
      <c r="L103" s="16">
        <f t="shared" si="38"/>
        <v>-100</v>
      </c>
      <c r="M103" s="220"/>
      <c r="N103" s="221"/>
      <c r="Q103">
        <f t="shared" si="29"/>
        <v>3.9269999999999996</v>
      </c>
      <c r="R103" s="44">
        <f>E103+фев!I103</f>
        <v>3.9989999999999997</v>
      </c>
      <c r="S103" s="30">
        <f>F103+фев!J103</f>
        <v>0</v>
      </c>
    </row>
    <row r="104" spans="1:19" ht="36" customHeight="1">
      <c r="A104" s="18" t="s">
        <v>105</v>
      </c>
      <c r="B104" s="20" t="s">
        <v>99</v>
      </c>
      <c r="C104" s="8" t="s">
        <v>4</v>
      </c>
      <c r="D104" s="10">
        <f t="shared" ref="D104:F104" si="45">D105+D106+D107+D108</f>
        <v>186.095</v>
      </c>
      <c r="E104" s="10">
        <f t="shared" si="45"/>
        <v>152.833</v>
      </c>
      <c r="F104" s="10">
        <f t="shared" si="45"/>
        <v>76.244</v>
      </c>
      <c r="G104" s="10">
        <f t="shared" si="32"/>
        <v>-76.588999999999999</v>
      </c>
      <c r="H104" s="10">
        <f t="shared" ref="H104:J104" si="46">H105+H106+H107+H108</f>
        <v>558.28500000000008</v>
      </c>
      <c r="I104" s="10">
        <f t="shared" si="46"/>
        <v>458.49900000000002</v>
      </c>
      <c r="J104" s="10">
        <f t="shared" si="46"/>
        <v>223.90700000000001</v>
      </c>
      <c r="K104" s="10">
        <f t="shared" si="33"/>
        <v>-234.59200000000001</v>
      </c>
      <c r="L104" s="16">
        <f t="shared" si="38"/>
        <v>-51.165215191309031</v>
      </c>
      <c r="M104" s="220"/>
      <c r="N104" s="221"/>
      <c r="Q104">
        <f t="shared" si="29"/>
        <v>558.28499999999997</v>
      </c>
      <c r="R104" s="44">
        <f>E104+фев!I104</f>
        <v>458.49900000000002</v>
      </c>
      <c r="S104" s="30">
        <f>F104+фев!J104</f>
        <v>223.90700000000001</v>
      </c>
    </row>
    <row r="105" spans="1:19" ht="17.25" customHeight="1">
      <c r="A105" s="24" t="s">
        <v>243</v>
      </c>
      <c r="B105" s="20" t="s">
        <v>100</v>
      </c>
      <c r="C105" s="8" t="s">
        <v>4</v>
      </c>
      <c r="D105" s="10">
        <v>43.570999999999998</v>
      </c>
      <c r="E105" s="8">
        <v>43.582999999999998</v>
      </c>
      <c r="F105" s="8"/>
      <c r="G105" s="10">
        <f t="shared" si="32"/>
        <v>-43.582999999999998</v>
      </c>
      <c r="H105" s="10">
        <f>D105+фев!H105</f>
        <v>130.71299999999999</v>
      </c>
      <c r="I105" s="8">
        <f>E105+фев!I105</f>
        <v>130.749</v>
      </c>
      <c r="J105" s="8">
        <f>F105+фев!J105</f>
        <v>0</v>
      </c>
      <c r="K105" s="10">
        <f t="shared" si="33"/>
        <v>-130.749</v>
      </c>
      <c r="L105" s="16">
        <f t="shared" si="38"/>
        <v>-100</v>
      </c>
      <c r="M105" s="220"/>
      <c r="N105" s="221"/>
      <c r="Q105">
        <f t="shared" si="29"/>
        <v>130.71299999999999</v>
      </c>
      <c r="R105" s="44">
        <f>E105+фев!I105</f>
        <v>130.749</v>
      </c>
      <c r="S105" s="30">
        <f>F105+фев!J105</f>
        <v>0</v>
      </c>
    </row>
    <row r="106" spans="1:19" ht="28.5" customHeight="1">
      <c r="A106" s="8" t="s">
        <v>244</v>
      </c>
      <c r="B106" s="20" t="s">
        <v>101</v>
      </c>
      <c r="C106" s="8" t="s">
        <v>4</v>
      </c>
      <c r="D106" s="10">
        <v>116.209</v>
      </c>
      <c r="E106" s="8">
        <v>82.917000000000002</v>
      </c>
      <c r="F106" s="8">
        <v>35.643999999999998</v>
      </c>
      <c r="G106" s="10">
        <f t="shared" si="32"/>
        <v>-47.273000000000003</v>
      </c>
      <c r="H106" s="10">
        <f>D106+фев!H106</f>
        <v>348.62700000000001</v>
      </c>
      <c r="I106" s="8">
        <f>E106+фев!I106</f>
        <v>248.751</v>
      </c>
      <c r="J106" s="8">
        <f>F106+фев!J106</f>
        <v>183.30700000000002</v>
      </c>
      <c r="K106" s="10">
        <f t="shared" si="33"/>
        <v>-65.443999999999988</v>
      </c>
      <c r="L106" s="16">
        <f t="shared" si="38"/>
        <v>-26.309039963658432</v>
      </c>
      <c r="M106" s="222" t="s">
        <v>287</v>
      </c>
      <c r="N106" s="223"/>
      <c r="Q106">
        <f t="shared" si="29"/>
        <v>348.62700000000001</v>
      </c>
      <c r="R106" s="44">
        <f>E106+фев!I106</f>
        <v>248.751</v>
      </c>
      <c r="S106" s="30">
        <f>F106+фев!J106</f>
        <v>183.30700000000002</v>
      </c>
    </row>
    <row r="107" spans="1:19" ht="37.5" customHeight="1">
      <c r="A107" s="8" t="s">
        <v>245</v>
      </c>
      <c r="B107" s="20" t="s">
        <v>321</v>
      </c>
      <c r="C107" s="8" t="s">
        <v>4</v>
      </c>
      <c r="D107" s="10">
        <v>26.315000000000001</v>
      </c>
      <c r="E107" s="8">
        <v>26.332999999999998</v>
      </c>
      <c r="F107" s="10">
        <v>40.6</v>
      </c>
      <c r="G107" s="10">
        <f t="shared" si="32"/>
        <v>14.267000000000003</v>
      </c>
      <c r="H107" s="10">
        <f>D107+фев!H107</f>
        <v>78.945000000000007</v>
      </c>
      <c r="I107" s="8">
        <f>E107+фев!I107</f>
        <v>78.998999999999995</v>
      </c>
      <c r="J107" s="10">
        <f>F107+фев!J107</f>
        <v>40.6</v>
      </c>
      <c r="K107" s="10">
        <f t="shared" si="33"/>
        <v>-38.398999999999994</v>
      </c>
      <c r="L107" s="16">
        <f t="shared" si="38"/>
        <v>-48.606944391701155</v>
      </c>
      <c r="M107" s="220"/>
      <c r="N107" s="221"/>
      <c r="Q107">
        <f t="shared" si="29"/>
        <v>78.945000000000007</v>
      </c>
      <c r="R107" s="44">
        <f>E107+фев!I107</f>
        <v>78.998999999999995</v>
      </c>
      <c r="S107" s="30">
        <f>F107+фев!J107</f>
        <v>40.6</v>
      </c>
    </row>
    <row r="108" spans="1:19" ht="35.25" hidden="1" customHeight="1">
      <c r="A108" s="8" t="s">
        <v>103</v>
      </c>
      <c r="B108" s="20" t="s">
        <v>104</v>
      </c>
      <c r="C108" s="8" t="s">
        <v>4</v>
      </c>
      <c r="D108" s="10">
        <v>0</v>
      </c>
      <c r="E108" s="8"/>
      <c r="F108" s="8"/>
      <c r="G108" s="10">
        <f t="shared" si="32"/>
        <v>0</v>
      </c>
      <c r="H108" s="10">
        <f>D108+ян!H108</f>
        <v>0</v>
      </c>
      <c r="I108" s="8">
        <f>E108+фев!I108</f>
        <v>0</v>
      </c>
      <c r="J108" s="8">
        <f>F108+фев!J108</f>
        <v>0</v>
      </c>
      <c r="K108" s="10">
        <f t="shared" si="33"/>
        <v>0</v>
      </c>
      <c r="L108" s="16" t="e">
        <f t="shared" si="38"/>
        <v>#DIV/0!</v>
      </c>
      <c r="M108" s="220"/>
      <c r="N108" s="221"/>
      <c r="Q108">
        <f t="shared" si="29"/>
        <v>0</v>
      </c>
      <c r="R108" s="44">
        <f>E108+фев!I108</f>
        <v>0</v>
      </c>
      <c r="S108" s="30">
        <f>F108+фев!J108</f>
        <v>0</v>
      </c>
    </row>
    <row r="109" spans="1:19" ht="17.25" customHeight="1">
      <c r="A109" s="18" t="s">
        <v>246</v>
      </c>
      <c r="B109" s="20" t="s">
        <v>106</v>
      </c>
      <c r="C109" s="8" t="s">
        <v>4</v>
      </c>
      <c r="D109" s="10">
        <v>91.483999999999995</v>
      </c>
      <c r="E109" s="8">
        <v>58.167000000000002</v>
      </c>
      <c r="F109" s="86">
        <f>15.207+18.866+0.256+3.286+1.417+0.035</f>
        <v>39.067</v>
      </c>
      <c r="G109" s="10">
        <f t="shared" si="32"/>
        <v>-19.100000000000001</v>
      </c>
      <c r="H109" s="10">
        <f>D109+фев!H109</f>
        <v>274.452</v>
      </c>
      <c r="I109" s="8">
        <f>E109+фев!I109</f>
        <v>174.501</v>
      </c>
      <c r="J109" s="8">
        <f>F109+фев!J109</f>
        <v>103.60499999999999</v>
      </c>
      <c r="K109" s="10">
        <f t="shared" si="33"/>
        <v>-70.896000000000015</v>
      </c>
      <c r="L109" s="16">
        <f t="shared" si="38"/>
        <v>-40.627847404885941</v>
      </c>
      <c r="M109" s="220"/>
      <c r="N109" s="221"/>
      <c r="P109" s="79">
        <f>45.621+46.19+0.769+9.309+1.417+0.3</f>
        <v>103.60600000000001</v>
      </c>
      <c r="Q109">
        <f t="shared" si="29"/>
        <v>274.452</v>
      </c>
      <c r="R109" s="44">
        <f>E109+фев!I109</f>
        <v>174.501</v>
      </c>
      <c r="S109" s="30">
        <f>F109+фев!J109</f>
        <v>103.60499999999999</v>
      </c>
    </row>
    <row r="110" spans="1:19" ht="17.25" customHeight="1">
      <c r="A110" s="17" t="s">
        <v>247</v>
      </c>
      <c r="B110" s="6" t="s">
        <v>107</v>
      </c>
      <c r="C110" s="8" t="s">
        <v>4</v>
      </c>
      <c r="D110" s="10">
        <f>D111+D115+D119+D123+D124+D125+D126+D127+D128+D129+D130+D131+D132+D133+D134+D135</f>
        <v>1562.1809999999998</v>
      </c>
      <c r="E110" s="10">
        <f>E111+E115+E119+E123+E124+E125+E126+E127+E128+E129+E130+E131+E132+E133+E134+E135+E136+E137</f>
        <v>1699.25</v>
      </c>
      <c r="F110" s="10">
        <f>F111+F115+F119+F123+F124+F125+F126+F127+F128+F129+F130+F131+F132+F133+F134+F135+F136+F137</f>
        <v>1589.6575000000003</v>
      </c>
      <c r="G110" s="10">
        <f t="shared" si="32"/>
        <v>-109.59249999999975</v>
      </c>
      <c r="H110" s="10">
        <f>H111+H115+H119+H123+H124+H125+H126+H127+H128+H129+H130+H131+H132+H133+H134+H135</f>
        <v>4686.5429999999997</v>
      </c>
      <c r="I110" s="10">
        <f>I111+I115+I119+I123+I124+I125+I126+I127+I128+I129+I130+I131+I132+I133+I134+I135+I136+I137</f>
        <v>5097.75</v>
      </c>
      <c r="J110" s="10">
        <f>J111+J115+J119+J123+J124+J125+J126+J127+J128+J129+J130+J131+J132+J133+J134+J135+J136+J137</f>
        <v>4151.9055000000008</v>
      </c>
      <c r="K110" s="10">
        <f t="shared" si="33"/>
        <v>-945.84449999999924</v>
      </c>
      <c r="L110" s="16">
        <f t="shared" si="38"/>
        <v>-18.554156245402368</v>
      </c>
      <c r="M110" s="226"/>
      <c r="N110" s="221"/>
      <c r="Q110">
        <f t="shared" si="29"/>
        <v>4686.5429999999997</v>
      </c>
      <c r="R110" s="44">
        <f>E110+фев!I110</f>
        <v>5097.75</v>
      </c>
      <c r="S110" s="30">
        <f>F110+фев!J110</f>
        <v>4151.9055000000008</v>
      </c>
    </row>
    <row r="111" spans="1:19" ht="18" customHeight="1">
      <c r="A111" s="18" t="s">
        <v>248</v>
      </c>
      <c r="B111" s="9" t="s">
        <v>108</v>
      </c>
      <c r="C111" s="8" t="s">
        <v>4</v>
      </c>
      <c r="D111" s="10">
        <v>431.38099999999997</v>
      </c>
      <c r="E111" s="8">
        <v>431.41699999999997</v>
      </c>
      <c r="F111" s="10">
        <f>F112+F113+F114</f>
        <v>383.13</v>
      </c>
      <c r="G111" s="10">
        <f t="shared" si="32"/>
        <v>-48.286999999999978</v>
      </c>
      <c r="H111" s="10">
        <f>D111+фев!H111</f>
        <v>1294.143</v>
      </c>
      <c r="I111" s="8">
        <f>E111+фев!I111</f>
        <v>1294.251</v>
      </c>
      <c r="J111" s="10">
        <f>J112+J113+J114</f>
        <v>898.61099999999999</v>
      </c>
      <c r="K111" s="10">
        <f t="shared" si="33"/>
        <v>-395.64</v>
      </c>
      <c r="L111" s="16">
        <f t="shared" si="38"/>
        <v>-30.569031818403076</v>
      </c>
      <c r="M111" s="231"/>
      <c r="N111" s="232"/>
      <c r="Q111">
        <f t="shared" si="29"/>
        <v>1294.143</v>
      </c>
      <c r="R111" s="44">
        <f>E111+фев!I111</f>
        <v>1294.251</v>
      </c>
      <c r="S111" s="30">
        <f>F111+фев!J111</f>
        <v>898.61099999999999</v>
      </c>
    </row>
    <row r="112" spans="1:19" ht="17.25" customHeight="1">
      <c r="A112" s="18"/>
      <c r="B112" s="9" t="s">
        <v>221</v>
      </c>
      <c r="C112" s="8" t="s">
        <v>4</v>
      </c>
      <c r="D112" s="10"/>
      <c r="E112" s="8"/>
      <c r="F112" s="10">
        <v>351.13</v>
      </c>
      <c r="G112" s="10">
        <f t="shared" si="32"/>
        <v>351.13</v>
      </c>
      <c r="H112" s="10"/>
      <c r="I112" s="8"/>
      <c r="J112" s="10">
        <f>F112+фев!J112</f>
        <v>764.79</v>
      </c>
      <c r="K112" s="10">
        <f t="shared" si="33"/>
        <v>764.79</v>
      </c>
      <c r="L112" s="16"/>
      <c r="M112" s="220"/>
      <c r="N112" s="221"/>
      <c r="Q112">
        <f t="shared" si="29"/>
        <v>0</v>
      </c>
      <c r="R112" s="44">
        <f>E112+фев!I112</f>
        <v>0</v>
      </c>
      <c r="S112" s="30">
        <f>F112+фев!J112</f>
        <v>764.79</v>
      </c>
    </row>
    <row r="113" spans="1:19" ht="36" customHeight="1">
      <c r="A113" s="18"/>
      <c r="B113" s="9" t="s">
        <v>222</v>
      </c>
      <c r="C113" s="8" t="s">
        <v>4</v>
      </c>
      <c r="D113" s="10"/>
      <c r="E113" s="8"/>
      <c r="F113" s="10">
        <v>32</v>
      </c>
      <c r="G113" s="10">
        <f t="shared" si="32"/>
        <v>32</v>
      </c>
      <c r="H113" s="10"/>
      <c r="I113" s="8"/>
      <c r="J113" s="8">
        <f>F113+фев!J113</f>
        <v>133.821</v>
      </c>
      <c r="K113" s="10">
        <f t="shared" si="33"/>
        <v>133.821</v>
      </c>
      <c r="L113" s="16"/>
      <c r="M113" s="220"/>
      <c r="N113" s="221"/>
      <c r="Q113">
        <f t="shared" si="29"/>
        <v>0</v>
      </c>
      <c r="R113" s="44">
        <f>E113+фев!I113</f>
        <v>0</v>
      </c>
      <c r="S113" s="30">
        <f>F113+фев!J113</f>
        <v>133.821</v>
      </c>
    </row>
    <row r="114" spans="1:19" ht="17.25" customHeight="1">
      <c r="A114" s="18"/>
      <c r="B114" s="9" t="s">
        <v>223</v>
      </c>
      <c r="C114" s="8" t="s">
        <v>4</v>
      </c>
      <c r="D114" s="10"/>
      <c r="E114" s="8"/>
      <c r="F114" s="8"/>
      <c r="G114" s="10">
        <f t="shared" si="32"/>
        <v>0</v>
      </c>
      <c r="H114" s="10"/>
      <c r="I114" s="8"/>
      <c r="J114" s="8">
        <f>F114+фев!J114</f>
        <v>0</v>
      </c>
      <c r="K114" s="10">
        <f t="shared" si="33"/>
        <v>0</v>
      </c>
      <c r="L114" s="16"/>
      <c r="M114" s="220"/>
      <c r="N114" s="221"/>
      <c r="Q114">
        <f t="shared" si="29"/>
        <v>0</v>
      </c>
      <c r="R114" s="44">
        <f>E114+фев!I114</f>
        <v>0</v>
      </c>
      <c r="S114" s="30">
        <f>F114+фев!J114</f>
        <v>0</v>
      </c>
    </row>
    <row r="115" spans="1:19" ht="17.25" customHeight="1">
      <c r="A115" s="18" t="s">
        <v>249</v>
      </c>
      <c r="B115" s="9" t="s">
        <v>109</v>
      </c>
      <c r="C115" s="8" t="s">
        <v>4</v>
      </c>
      <c r="D115" s="10">
        <f t="shared" ref="D115:F115" si="47">D116+D117+D118</f>
        <v>121.34400000000001</v>
      </c>
      <c r="E115" s="10">
        <v>121.333</v>
      </c>
      <c r="F115" s="10">
        <f t="shared" si="47"/>
        <v>0</v>
      </c>
      <c r="G115" s="10">
        <f t="shared" si="32"/>
        <v>-121.333</v>
      </c>
      <c r="H115" s="10">
        <f t="shared" ref="H115" si="48">H116+H117+H118</f>
        <v>364.03199999999998</v>
      </c>
      <c r="I115" s="8">
        <f>E115+фев!I115</f>
        <v>363.99900000000002</v>
      </c>
      <c r="J115" s="10">
        <f t="shared" ref="J115" si="49">J116+J117+J118</f>
        <v>0</v>
      </c>
      <c r="K115" s="10">
        <f t="shared" si="33"/>
        <v>-363.99900000000002</v>
      </c>
      <c r="L115" s="16">
        <f t="shared" si="38"/>
        <v>-100</v>
      </c>
      <c r="M115" s="220"/>
      <c r="N115" s="221"/>
      <c r="Q115">
        <f t="shared" si="29"/>
        <v>364.03200000000004</v>
      </c>
      <c r="R115" s="44">
        <f>E115+фев!I115</f>
        <v>363.99900000000002</v>
      </c>
      <c r="S115" s="30">
        <f>F115+фев!J115</f>
        <v>0</v>
      </c>
    </row>
    <row r="116" spans="1:19" ht="36" customHeight="1">
      <c r="A116" s="8" t="s">
        <v>250</v>
      </c>
      <c r="B116" s="9" t="s">
        <v>240</v>
      </c>
      <c r="C116" s="8" t="s">
        <v>4</v>
      </c>
      <c r="D116" s="10">
        <v>86.322000000000003</v>
      </c>
      <c r="E116" s="8"/>
      <c r="F116" s="8"/>
      <c r="G116" s="10">
        <f t="shared" si="32"/>
        <v>0</v>
      </c>
      <c r="H116" s="10">
        <f>D116+фев!H116</f>
        <v>258.96600000000001</v>
      </c>
      <c r="I116" s="8"/>
      <c r="J116" s="8">
        <f>F116+фев!J116</f>
        <v>0</v>
      </c>
      <c r="K116" s="10">
        <f t="shared" si="33"/>
        <v>0</v>
      </c>
      <c r="L116" s="16"/>
      <c r="M116" s="220"/>
      <c r="N116" s="221"/>
      <c r="Q116">
        <f t="shared" si="29"/>
        <v>258.96600000000001</v>
      </c>
      <c r="R116" s="44">
        <f>E116+фев!I116</f>
        <v>0</v>
      </c>
      <c r="S116" s="30">
        <f>F116+фев!J116</f>
        <v>0</v>
      </c>
    </row>
    <row r="117" spans="1:19" ht="42.75" customHeight="1">
      <c r="A117" s="8" t="s">
        <v>251</v>
      </c>
      <c r="B117" s="9" t="s">
        <v>241</v>
      </c>
      <c r="C117" s="8" t="s">
        <v>4</v>
      </c>
      <c r="D117" s="10">
        <v>31.76</v>
      </c>
      <c r="E117" s="8"/>
      <c r="F117" s="8"/>
      <c r="G117" s="10">
        <f t="shared" si="32"/>
        <v>0</v>
      </c>
      <c r="H117" s="10">
        <f>D117+фев!H117</f>
        <v>95.28</v>
      </c>
      <c r="I117" s="8"/>
      <c r="J117" s="8">
        <f>F117+фев!J117</f>
        <v>0</v>
      </c>
      <c r="K117" s="10">
        <f t="shared" si="33"/>
        <v>0</v>
      </c>
      <c r="L117" s="16"/>
      <c r="M117" s="220"/>
      <c r="N117" s="221"/>
      <c r="Q117">
        <f t="shared" si="29"/>
        <v>95.28</v>
      </c>
      <c r="R117" s="44">
        <f>E117+фев!I117</f>
        <v>0</v>
      </c>
      <c r="S117" s="30">
        <f>F117+фев!J117</f>
        <v>0</v>
      </c>
    </row>
    <row r="118" spans="1:19" ht="17.25" customHeight="1">
      <c r="A118" s="8" t="s">
        <v>252</v>
      </c>
      <c r="B118" s="9" t="s">
        <v>110</v>
      </c>
      <c r="C118" s="8" t="s">
        <v>4</v>
      </c>
      <c r="D118" s="10">
        <v>3.262</v>
      </c>
      <c r="E118" s="8"/>
      <c r="F118" s="8"/>
      <c r="G118" s="10">
        <f t="shared" si="32"/>
        <v>0</v>
      </c>
      <c r="H118" s="10">
        <f>D118+фев!H118</f>
        <v>9.7859999999999996</v>
      </c>
      <c r="I118" s="8"/>
      <c r="J118" s="8">
        <f>F118+фев!J118</f>
        <v>0</v>
      </c>
      <c r="K118" s="10">
        <f t="shared" si="33"/>
        <v>0</v>
      </c>
      <c r="L118" s="16"/>
      <c r="M118" s="220"/>
      <c r="N118" s="221"/>
      <c r="Q118">
        <f t="shared" si="29"/>
        <v>9.7859999999999996</v>
      </c>
      <c r="R118" s="44">
        <f>E118+фев!I118</f>
        <v>0</v>
      </c>
      <c r="S118" s="30">
        <f>F118+фев!J118</f>
        <v>0</v>
      </c>
    </row>
    <row r="119" spans="1:19" ht="34.5" customHeight="1">
      <c r="A119" s="18" t="s">
        <v>253</v>
      </c>
      <c r="B119" s="9" t="s">
        <v>111</v>
      </c>
      <c r="C119" s="8" t="s">
        <v>4</v>
      </c>
      <c r="D119" s="10">
        <f>D120</f>
        <v>380.84899999999999</v>
      </c>
      <c r="E119" s="10">
        <v>356.5</v>
      </c>
      <c r="F119" s="10">
        <f>F120</f>
        <v>217.61449999999999</v>
      </c>
      <c r="G119" s="10">
        <f t="shared" si="32"/>
        <v>-138.88550000000001</v>
      </c>
      <c r="H119" s="10">
        <f>H120</f>
        <v>1142.547</v>
      </c>
      <c r="I119" s="8">
        <f>E119+фев!I119</f>
        <v>1069.5</v>
      </c>
      <c r="J119" s="10">
        <f>J120</f>
        <v>1016.7865</v>
      </c>
      <c r="K119" s="10">
        <f t="shared" si="33"/>
        <v>-52.713499999999954</v>
      </c>
      <c r="L119" s="16">
        <f t="shared" si="38"/>
        <v>-4.9287985039738151</v>
      </c>
      <c r="M119" s="220"/>
      <c r="N119" s="221"/>
      <c r="Q119">
        <f t="shared" si="29"/>
        <v>1142.547</v>
      </c>
      <c r="R119" s="44">
        <f>E119+фев!I119</f>
        <v>1069.5</v>
      </c>
      <c r="S119" s="30">
        <f>F119+фев!J119</f>
        <v>1016.7865</v>
      </c>
    </row>
    <row r="120" spans="1:19" ht="17.25" customHeight="1">
      <c r="A120" s="8"/>
      <c r="B120" s="25" t="s">
        <v>112</v>
      </c>
      <c r="C120" s="8" t="s">
        <v>113</v>
      </c>
      <c r="D120" s="10">
        <v>380.84899999999999</v>
      </c>
      <c r="E120" s="10">
        <f>E122*E121</f>
        <v>356.5</v>
      </c>
      <c r="F120" s="10">
        <f>F122*F121</f>
        <v>217.61449999999999</v>
      </c>
      <c r="G120" s="10">
        <f t="shared" si="32"/>
        <v>-138.88550000000001</v>
      </c>
      <c r="H120" s="10">
        <f>D120+фев!H120</f>
        <v>1142.547</v>
      </c>
      <c r="I120" s="8">
        <f>E120+фев!I120</f>
        <v>1069.5</v>
      </c>
      <c r="J120" s="8">
        <f>F120+фев!J120</f>
        <v>1016.7865</v>
      </c>
      <c r="K120" s="10">
        <f t="shared" si="33"/>
        <v>-52.713499999999954</v>
      </c>
      <c r="L120" s="16">
        <f t="shared" si="38"/>
        <v>-4.9287985039738151</v>
      </c>
      <c r="M120" s="220"/>
      <c r="N120" s="221"/>
      <c r="Q120">
        <f t="shared" si="29"/>
        <v>1142.547</v>
      </c>
      <c r="R120" s="44">
        <f>E120+фев!I120</f>
        <v>1069.5</v>
      </c>
      <c r="S120" s="30">
        <f>F120+фев!J120</f>
        <v>1016.7865</v>
      </c>
    </row>
    <row r="121" spans="1:19" ht="17.25" customHeight="1">
      <c r="A121" s="8"/>
      <c r="B121" s="12" t="s">
        <v>13</v>
      </c>
      <c r="C121" s="13" t="s">
        <v>114</v>
      </c>
      <c r="D121" s="10">
        <v>761.69899999999996</v>
      </c>
      <c r="E121" s="16">
        <f>E119/E122</f>
        <v>713</v>
      </c>
      <c r="F121" s="8">
        <f>F210</f>
        <v>435.22899999999998</v>
      </c>
      <c r="G121" s="10">
        <f t="shared" si="32"/>
        <v>-277.77100000000002</v>
      </c>
      <c r="H121" s="10">
        <f>D121+фев!H121</f>
        <v>2285.0969999999998</v>
      </c>
      <c r="I121" s="8">
        <f>E121+фев!I121</f>
        <v>2139</v>
      </c>
      <c r="J121" s="8">
        <f>F121+фев!J121</f>
        <v>2033.5720000000001</v>
      </c>
      <c r="K121" s="10">
        <f t="shared" si="33"/>
        <v>-105.42799999999988</v>
      </c>
      <c r="L121" s="16">
        <f t="shared" si="38"/>
        <v>-4.9288452547919537</v>
      </c>
      <c r="M121" s="220"/>
      <c r="N121" s="221"/>
      <c r="Q121">
        <f t="shared" si="29"/>
        <v>2285.0969999999998</v>
      </c>
      <c r="R121" s="44">
        <f>E121+фев!I121</f>
        <v>2139</v>
      </c>
      <c r="S121" s="30">
        <f>F121+фев!J121</f>
        <v>2033.5720000000001</v>
      </c>
    </row>
    <row r="122" spans="1:19" ht="17.25" customHeight="1">
      <c r="A122" s="8"/>
      <c r="B122" s="12" t="s">
        <v>15</v>
      </c>
      <c r="C122" s="13" t="s">
        <v>16</v>
      </c>
      <c r="D122" s="11">
        <v>0.5</v>
      </c>
      <c r="E122" s="11">
        <v>0.5</v>
      </c>
      <c r="F122" s="11">
        <v>0.5</v>
      </c>
      <c r="G122" s="10">
        <f t="shared" si="32"/>
        <v>0</v>
      </c>
      <c r="H122" s="11">
        <v>0.5</v>
      </c>
      <c r="I122" s="11">
        <v>0.5</v>
      </c>
      <c r="J122" s="11">
        <v>0.5</v>
      </c>
      <c r="K122" s="10">
        <f t="shared" si="33"/>
        <v>0</v>
      </c>
      <c r="L122" s="16">
        <f t="shared" si="38"/>
        <v>0</v>
      </c>
      <c r="M122" s="220"/>
      <c r="N122" s="221"/>
      <c r="Q122">
        <f t="shared" si="29"/>
        <v>1.5</v>
      </c>
      <c r="R122" s="44">
        <f>E122+фев!I122</f>
        <v>1</v>
      </c>
      <c r="S122" s="30">
        <f>F122+фев!J122</f>
        <v>1</v>
      </c>
    </row>
    <row r="123" spans="1:19" ht="17.25" customHeight="1">
      <c r="A123" s="18" t="s">
        <v>254</v>
      </c>
      <c r="B123" s="9" t="s">
        <v>115</v>
      </c>
      <c r="C123" s="8" t="s">
        <v>4</v>
      </c>
      <c r="D123" s="10">
        <v>1.1120000000000001</v>
      </c>
      <c r="E123" s="8">
        <v>1.083</v>
      </c>
      <c r="F123" s="8"/>
      <c r="G123" s="10">
        <f t="shared" si="32"/>
        <v>-1.083</v>
      </c>
      <c r="H123" s="10">
        <f>D123+фев!H123</f>
        <v>3.3360000000000003</v>
      </c>
      <c r="I123" s="8">
        <f>E123+фев!I123</f>
        <v>3.2489999999999997</v>
      </c>
      <c r="J123" s="8">
        <f>F123+фев!J123</f>
        <v>0</v>
      </c>
      <c r="K123" s="10">
        <f t="shared" si="33"/>
        <v>-3.2489999999999997</v>
      </c>
      <c r="L123" s="16">
        <f t="shared" si="38"/>
        <v>-100</v>
      </c>
      <c r="M123" s="220"/>
      <c r="N123" s="221"/>
      <c r="Q123">
        <f t="shared" si="29"/>
        <v>3.3360000000000003</v>
      </c>
      <c r="R123" s="44">
        <f>E123+фев!I123</f>
        <v>3.2489999999999997</v>
      </c>
      <c r="S123" s="30">
        <f>F123+фев!J123</f>
        <v>0</v>
      </c>
    </row>
    <row r="124" spans="1:19" ht="36" customHeight="1">
      <c r="A124" s="18" t="s">
        <v>255</v>
      </c>
      <c r="B124" s="9" t="s">
        <v>116</v>
      </c>
      <c r="C124" s="8" t="s">
        <v>4</v>
      </c>
      <c r="D124" s="10">
        <v>53.17</v>
      </c>
      <c r="E124" s="8">
        <v>52.167000000000002</v>
      </c>
      <c r="F124" s="10">
        <v>45</v>
      </c>
      <c r="G124" s="10">
        <f t="shared" si="32"/>
        <v>-7.1670000000000016</v>
      </c>
      <c r="H124" s="10">
        <f>D124+фев!H124</f>
        <v>159.51</v>
      </c>
      <c r="I124" s="8">
        <f>E124+фев!I124</f>
        <v>156.501</v>
      </c>
      <c r="J124" s="10">
        <f>F124+фев!J124</f>
        <v>135</v>
      </c>
      <c r="K124" s="10">
        <f t="shared" si="33"/>
        <v>-21.501000000000005</v>
      </c>
      <c r="L124" s="16">
        <f t="shared" si="38"/>
        <v>-13.738570360572776</v>
      </c>
      <c r="M124" s="220"/>
      <c r="N124" s="221"/>
      <c r="Q124">
        <f t="shared" si="29"/>
        <v>159.51</v>
      </c>
      <c r="R124" s="44">
        <f>E124+фев!I124</f>
        <v>156.501</v>
      </c>
      <c r="S124" s="30">
        <f>F124+фев!J124</f>
        <v>135</v>
      </c>
    </row>
    <row r="125" spans="1:19" ht="41.25" customHeight="1">
      <c r="A125" s="18" t="s">
        <v>256</v>
      </c>
      <c r="B125" s="9" t="s">
        <v>117</v>
      </c>
      <c r="C125" s="8" t="s">
        <v>4</v>
      </c>
      <c r="D125" s="10">
        <v>411.35</v>
      </c>
      <c r="E125" s="8">
        <v>411.33300000000003</v>
      </c>
      <c r="F125" s="8">
        <f>305.95+216.775</f>
        <v>522.72500000000002</v>
      </c>
      <c r="G125" s="10">
        <f t="shared" si="32"/>
        <v>111.392</v>
      </c>
      <c r="H125" s="10">
        <f>D125+фев!H125</f>
        <v>1234.0500000000002</v>
      </c>
      <c r="I125" s="8">
        <f>E125+фев!I125</f>
        <v>1233.999</v>
      </c>
      <c r="J125" s="8">
        <f>F125+фев!J125</f>
        <v>1432.9880000000001</v>
      </c>
      <c r="K125" s="10">
        <f t="shared" si="33"/>
        <v>198.98900000000003</v>
      </c>
      <c r="L125" s="16">
        <f t="shared" si="38"/>
        <v>16.125539809999847</v>
      </c>
      <c r="M125" s="222" t="s">
        <v>294</v>
      </c>
      <c r="N125" s="223"/>
      <c r="P125">
        <f>838.725+594.263</f>
        <v>1432.9880000000001</v>
      </c>
      <c r="Q125">
        <f t="shared" si="29"/>
        <v>1234.0500000000002</v>
      </c>
      <c r="R125" s="44">
        <f>E125+фев!I125</f>
        <v>1233.999</v>
      </c>
      <c r="S125" s="30">
        <f>F125+фев!J125</f>
        <v>1432.9880000000001</v>
      </c>
    </row>
    <row r="126" spans="1:19" ht="55.5" customHeight="1">
      <c r="A126" s="18" t="s">
        <v>257</v>
      </c>
      <c r="B126" s="9" t="s">
        <v>118</v>
      </c>
      <c r="C126" s="8" t="s">
        <v>4</v>
      </c>
      <c r="D126" s="10">
        <v>48.704000000000001</v>
      </c>
      <c r="E126" s="8">
        <v>48.667000000000002</v>
      </c>
      <c r="F126" s="10">
        <v>106.14</v>
      </c>
      <c r="G126" s="10">
        <f t="shared" si="32"/>
        <v>57.472999999999999</v>
      </c>
      <c r="H126" s="10">
        <f>D126+фев!H126</f>
        <v>146.11199999999999</v>
      </c>
      <c r="I126" s="8">
        <f>E126+фев!I126</f>
        <v>146.001</v>
      </c>
      <c r="J126" s="10">
        <f>F126+фев!J126</f>
        <v>159.24</v>
      </c>
      <c r="K126" s="10">
        <f t="shared" si="33"/>
        <v>13.239000000000004</v>
      </c>
      <c r="L126" s="16">
        <f t="shared" si="38"/>
        <v>9.067746111328006</v>
      </c>
      <c r="M126" s="220"/>
      <c r="N126" s="221"/>
      <c r="Q126">
        <f t="shared" si="29"/>
        <v>146.11199999999999</v>
      </c>
      <c r="R126" s="44">
        <f>E126+фев!I126</f>
        <v>146.001</v>
      </c>
      <c r="S126" s="30">
        <f>F126+фев!J126</f>
        <v>159.24</v>
      </c>
    </row>
    <row r="127" spans="1:19" ht="17.25" customHeight="1">
      <c r="A127" s="18" t="s">
        <v>258</v>
      </c>
      <c r="B127" s="9" t="s">
        <v>119</v>
      </c>
      <c r="C127" s="8" t="s">
        <v>4</v>
      </c>
      <c r="D127" s="10">
        <v>38.012999999999998</v>
      </c>
      <c r="E127" s="8">
        <v>38</v>
      </c>
      <c r="F127" s="8"/>
      <c r="G127" s="10">
        <f t="shared" si="32"/>
        <v>-38</v>
      </c>
      <c r="H127" s="10">
        <f>D127+фев!H127</f>
        <v>114.03899999999999</v>
      </c>
      <c r="I127" s="8">
        <f>E127+фев!I127</f>
        <v>114</v>
      </c>
      <c r="J127" s="8">
        <f>F127+фев!J127</f>
        <v>0</v>
      </c>
      <c r="K127" s="10">
        <f t="shared" si="33"/>
        <v>-114</v>
      </c>
      <c r="L127" s="16">
        <f t="shared" si="38"/>
        <v>-100</v>
      </c>
      <c r="M127" s="220"/>
      <c r="N127" s="221"/>
      <c r="Q127">
        <f t="shared" si="29"/>
        <v>114.03899999999999</v>
      </c>
      <c r="R127" s="44">
        <f>E127+фев!I127</f>
        <v>114</v>
      </c>
      <c r="S127" s="30">
        <f>F127+фев!J127</f>
        <v>0</v>
      </c>
    </row>
    <row r="128" spans="1:19" ht="54" customHeight="1">
      <c r="A128" s="18" t="s">
        <v>259</v>
      </c>
      <c r="B128" s="9" t="s">
        <v>120</v>
      </c>
      <c r="C128" s="8" t="s">
        <v>4</v>
      </c>
      <c r="D128" s="10"/>
      <c r="E128" s="8"/>
      <c r="F128" s="8">
        <v>235.87899999999999</v>
      </c>
      <c r="G128" s="10">
        <f t="shared" si="32"/>
        <v>235.87899999999999</v>
      </c>
      <c r="H128" s="10">
        <f>D128+фев!H128</f>
        <v>0</v>
      </c>
      <c r="I128" s="8">
        <f>E128+фев!I128</f>
        <v>0</v>
      </c>
      <c r="J128" s="8">
        <f>F128+фев!J128</f>
        <v>271.77100000000002</v>
      </c>
      <c r="K128" s="10">
        <f t="shared" si="33"/>
        <v>271.77100000000002</v>
      </c>
      <c r="L128" s="16" t="e">
        <f t="shared" si="38"/>
        <v>#DIV/0!</v>
      </c>
      <c r="M128" s="220"/>
      <c r="N128" s="221"/>
      <c r="Q128">
        <f t="shared" si="29"/>
        <v>0</v>
      </c>
      <c r="R128" s="44">
        <f>E128+фев!I128</f>
        <v>0</v>
      </c>
      <c r="S128" s="30">
        <f>F128+фев!J128</f>
        <v>271.77100000000002</v>
      </c>
    </row>
    <row r="129" spans="1:19" ht="34.5" hidden="1" customHeight="1">
      <c r="A129" s="18" t="s">
        <v>121</v>
      </c>
      <c r="B129" s="9" t="s">
        <v>218</v>
      </c>
      <c r="C129" s="8" t="s">
        <v>4</v>
      </c>
      <c r="D129" s="10">
        <v>0</v>
      </c>
      <c r="E129" s="8"/>
      <c r="F129" s="8"/>
      <c r="G129" s="10">
        <f t="shared" si="32"/>
        <v>0</v>
      </c>
      <c r="H129" s="10">
        <f>D129+фев!H129</f>
        <v>0</v>
      </c>
      <c r="I129" s="8">
        <f>E129+фев!I129</f>
        <v>0</v>
      </c>
      <c r="J129" s="8">
        <f>F129+фев!J129</f>
        <v>0</v>
      </c>
      <c r="K129" s="10">
        <f t="shared" si="33"/>
        <v>0</v>
      </c>
      <c r="L129" s="16" t="e">
        <f t="shared" si="38"/>
        <v>#DIV/0!</v>
      </c>
      <c r="M129" s="220"/>
      <c r="N129" s="221"/>
      <c r="Q129">
        <f t="shared" si="29"/>
        <v>0</v>
      </c>
      <c r="R129" s="44">
        <f>E129+фев!I129</f>
        <v>0</v>
      </c>
      <c r="S129" s="30">
        <f>F129+фев!J129</f>
        <v>0</v>
      </c>
    </row>
    <row r="130" spans="1:19" ht="33" customHeight="1">
      <c r="A130" s="18" t="s">
        <v>260</v>
      </c>
      <c r="B130" s="9" t="s">
        <v>263</v>
      </c>
      <c r="C130" s="8" t="s">
        <v>4</v>
      </c>
      <c r="D130" s="10"/>
      <c r="E130" s="8"/>
      <c r="F130" s="8"/>
      <c r="G130" s="10">
        <f t="shared" si="32"/>
        <v>0</v>
      </c>
      <c r="H130" s="10">
        <f>D130+фев!H130</f>
        <v>0</v>
      </c>
      <c r="I130" s="8">
        <f>E130+фев!I130</f>
        <v>0</v>
      </c>
      <c r="J130" s="8">
        <f>F130+фев!J130</f>
        <v>0</v>
      </c>
      <c r="K130" s="10">
        <f t="shared" si="33"/>
        <v>0</v>
      </c>
      <c r="L130" s="16" t="e">
        <f t="shared" si="38"/>
        <v>#DIV/0!</v>
      </c>
      <c r="M130" s="222" t="s">
        <v>288</v>
      </c>
      <c r="N130" s="223"/>
      <c r="Q130">
        <f t="shared" si="29"/>
        <v>0</v>
      </c>
      <c r="R130" s="44">
        <f>E130+фев!I130</f>
        <v>0</v>
      </c>
      <c r="S130" s="30">
        <f>F130+фев!J130</f>
        <v>0</v>
      </c>
    </row>
    <row r="131" spans="1:19" ht="17.25" customHeight="1">
      <c r="A131" s="18" t="s">
        <v>261</v>
      </c>
      <c r="B131" s="9" t="s">
        <v>122</v>
      </c>
      <c r="C131" s="8" t="s">
        <v>4</v>
      </c>
      <c r="D131" s="10">
        <v>69.783000000000001</v>
      </c>
      <c r="E131" s="8">
        <v>69.75</v>
      </c>
      <c r="F131" s="8"/>
      <c r="G131" s="10">
        <f t="shared" si="32"/>
        <v>-69.75</v>
      </c>
      <c r="H131" s="10">
        <f>D131+фев!H131</f>
        <v>209.34899999999999</v>
      </c>
      <c r="I131" s="8">
        <f>E131+фев!I131</f>
        <v>209.25</v>
      </c>
      <c r="J131" s="8">
        <f>F131+фев!J131</f>
        <v>0</v>
      </c>
      <c r="K131" s="10">
        <f t="shared" si="33"/>
        <v>-209.25</v>
      </c>
      <c r="L131" s="16">
        <f t="shared" si="38"/>
        <v>-100</v>
      </c>
      <c r="M131" s="220"/>
      <c r="N131" s="221"/>
      <c r="Q131">
        <f t="shared" si="29"/>
        <v>209.34899999999999</v>
      </c>
      <c r="R131" s="44">
        <f>E131+фев!I131</f>
        <v>209.25</v>
      </c>
      <c r="S131" s="30">
        <f>F131+фев!J131</f>
        <v>0</v>
      </c>
    </row>
    <row r="132" spans="1:19" ht="54.75" customHeight="1">
      <c r="A132" s="18" t="s">
        <v>262</v>
      </c>
      <c r="B132" s="9" t="s">
        <v>123</v>
      </c>
      <c r="C132" s="8" t="s">
        <v>4</v>
      </c>
      <c r="D132" s="10"/>
      <c r="E132" s="8"/>
      <c r="F132" s="8"/>
      <c r="G132" s="10">
        <f t="shared" si="32"/>
        <v>0</v>
      </c>
      <c r="H132" s="10">
        <f>D132+фев!H132</f>
        <v>0</v>
      </c>
      <c r="I132" s="8">
        <f>E132+фев!I132</f>
        <v>0</v>
      </c>
      <c r="J132" s="8">
        <f>F132+фев!J132</f>
        <v>0</v>
      </c>
      <c r="K132" s="10">
        <f t="shared" si="33"/>
        <v>0</v>
      </c>
      <c r="L132" s="16"/>
      <c r="M132" s="220"/>
      <c r="N132" s="221"/>
      <c r="Q132">
        <f t="shared" si="29"/>
        <v>0</v>
      </c>
      <c r="R132" s="44">
        <f>E132+фев!I132</f>
        <v>0</v>
      </c>
      <c r="S132" s="30">
        <f>F132+фев!J132</f>
        <v>0</v>
      </c>
    </row>
    <row r="133" spans="1:19" ht="54" customHeight="1">
      <c r="A133" s="18" t="s">
        <v>264</v>
      </c>
      <c r="B133" s="9" t="s">
        <v>124</v>
      </c>
      <c r="C133" s="8" t="s">
        <v>4</v>
      </c>
      <c r="D133" s="10"/>
      <c r="E133" s="8"/>
      <c r="F133" s="8"/>
      <c r="G133" s="10">
        <f t="shared" si="32"/>
        <v>0</v>
      </c>
      <c r="H133" s="10">
        <f>D133+фев!H133</f>
        <v>0</v>
      </c>
      <c r="I133" s="8">
        <f>E133+фев!I133</f>
        <v>0</v>
      </c>
      <c r="J133" s="8">
        <f>F133+фев!J133</f>
        <v>0</v>
      </c>
      <c r="K133" s="10">
        <f t="shared" si="33"/>
        <v>0</v>
      </c>
      <c r="L133" s="16"/>
      <c r="M133" s="220"/>
      <c r="N133" s="221"/>
      <c r="Q133">
        <f t="shared" si="29"/>
        <v>0</v>
      </c>
      <c r="R133" s="44">
        <f>E133+фев!I133</f>
        <v>0</v>
      </c>
      <c r="S133" s="30">
        <f>F133+фев!J133</f>
        <v>0</v>
      </c>
    </row>
    <row r="134" spans="1:19" ht="17.25" customHeight="1">
      <c r="A134" s="18" t="s">
        <v>265</v>
      </c>
      <c r="B134" s="26" t="s">
        <v>125</v>
      </c>
      <c r="C134" s="8" t="s">
        <v>4</v>
      </c>
      <c r="D134" s="10">
        <v>6.4749999999999996</v>
      </c>
      <c r="E134" s="8">
        <v>6.5</v>
      </c>
      <c r="F134" s="8"/>
      <c r="G134" s="10">
        <f t="shared" si="32"/>
        <v>-6.5</v>
      </c>
      <c r="H134" s="10">
        <f>D134+фев!H134</f>
        <v>19.424999999999997</v>
      </c>
      <c r="I134" s="8">
        <f>E134+фев!I134</f>
        <v>19.5</v>
      </c>
      <c r="J134" s="8">
        <f>F134+фев!J134</f>
        <v>0</v>
      </c>
      <c r="K134" s="10">
        <f t="shared" si="33"/>
        <v>-19.5</v>
      </c>
      <c r="L134" s="16">
        <f t="shared" si="38"/>
        <v>-100</v>
      </c>
      <c r="M134" s="220"/>
      <c r="N134" s="221"/>
      <c r="Q134">
        <f t="shared" si="29"/>
        <v>19.424999999999997</v>
      </c>
      <c r="R134" s="44">
        <f>E134+фев!I134</f>
        <v>19.5</v>
      </c>
      <c r="S134" s="30">
        <f>F134+фев!J134</f>
        <v>0</v>
      </c>
    </row>
    <row r="135" spans="1:19" ht="17.25" customHeight="1">
      <c r="A135" s="18" t="s">
        <v>266</v>
      </c>
      <c r="B135" s="26" t="s">
        <v>232</v>
      </c>
      <c r="C135" s="8" t="s">
        <v>4</v>
      </c>
      <c r="D135" s="10"/>
      <c r="E135" s="8"/>
      <c r="F135" s="8"/>
      <c r="G135" s="10">
        <f t="shared" si="32"/>
        <v>0</v>
      </c>
      <c r="H135" s="10">
        <f>D135+фев!H135</f>
        <v>0</v>
      </c>
      <c r="I135" s="8">
        <f>E135+фев!I135</f>
        <v>0</v>
      </c>
      <c r="J135" s="8">
        <f>F135+фев!J135</f>
        <v>0</v>
      </c>
      <c r="K135" s="10">
        <f t="shared" si="33"/>
        <v>0</v>
      </c>
      <c r="L135" s="16"/>
      <c r="M135" s="220"/>
      <c r="N135" s="221"/>
      <c r="Q135">
        <f t="shared" si="29"/>
        <v>0</v>
      </c>
      <c r="R135" s="44">
        <f>E135+фев!I135</f>
        <v>0</v>
      </c>
      <c r="S135" s="30">
        <f>F135+фев!J135</f>
        <v>0</v>
      </c>
    </row>
    <row r="136" spans="1:19" ht="55.5" customHeight="1">
      <c r="A136" s="18"/>
      <c r="B136" s="26" t="s">
        <v>311</v>
      </c>
      <c r="C136" s="8" t="s">
        <v>4</v>
      </c>
      <c r="D136" s="10"/>
      <c r="E136" s="8">
        <v>79.167000000000002</v>
      </c>
      <c r="F136" s="10">
        <v>79.168999999999997</v>
      </c>
      <c r="G136" s="10">
        <f t="shared" si="32"/>
        <v>1.9999999999953388E-3</v>
      </c>
      <c r="H136" s="10">
        <f>D136+фев!H136</f>
        <v>0</v>
      </c>
      <c r="I136" s="8">
        <f>E136+фев!I136</f>
        <v>237.501</v>
      </c>
      <c r="J136" s="8">
        <f>F136+фев!J136</f>
        <v>237.50900000000001</v>
      </c>
      <c r="K136" s="10">
        <f t="shared" si="33"/>
        <v>8.0000000000097771E-3</v>
      </c>
      <c r="L136" s="16">
        <f t="shared" si="38"/>
        <v>3.3684068698699274E-3</v>
      </c>
      <c r="M136" s="63"/>
      <c r="N136" s="64"/>
      <c r="Q136">
        <f t="shared" si="29"/>
        <v>0</v>
      </c>
      <c r="R136" s="44">
        <f>E136+фев!I136</f>
        <v>237.501</v>
      </c>
      <c r="S136" s="30">
        <f>F136+фев!J136</f>
        <v>237.50900000000001</v>
      </c>
    </row>
    <row r="137" spans="1:19" ht="55.5" customHeight="1">
      <c r="A137" s="18"/>
      <c r="B137" s="26" t="s">
        <v>312</v>
      </c>
      <c r="C137" s="8" t="s">
        <v>4</v>
      </c>
      <c r="D137" s="10"/>
      <c r="E137" s="8">
        <v>83.332999999999998</v>
      </c>
      <c r="F137" s="8"/>
      <c r="G137" s="10">
        <f t="shared" si="32"/>
        <v>-83.332999999999998</v>
      </c>
      <c r="H137" s="10">
        <f>D137+фев!H137</f>
        <v>0</v>
      </c>
      <c r="I137" s="8">
        <f>E137+фев!I137</f>
        <v>249.999</v>
      </c>
      <c r="J137" s="8">
        <f>F137+фев!J137</f>
        <v>0</v>
      </c>
      <c r="K137" s="10">
        <f t="shared" si="33"/>
        <v>-249.999</v>
      </c>
      <c r="L137" s="16">
        <f t="shared" si="38"/>
        <v>-100</v>
      </c>
      <c r="M137" s="63"/>
      <c r="N137" s="64"/>
      <c r="Q137">
        <f t="shared" ref="Q137:Q200" si="50">D137*3</f>
        <v>0</v>
      </c>
      <c r="R137" s="44">
        <f>E137+фев!I137</f>
        <v>249.999</v>
      </c>
      <c r="S137" s="30">
        <f>F137+фев!J137</f>
        <v>0</v>
      </c>
    </row>
    <row r="138" spans="1:19" ht="17.25" customHeight="1">
      <c r="A138" s="65" t="s">
        <v>126</v>
      </c>
      <c r="B138" s="6" t="s">
        <v>127</v>
      </c>
      <c r="C138" s="8" t="s">
        <v>4</v>
      </c>
      <c r="D138" s="7">
        <f t="shared" ref="D138:J138" si="51">D139</f>
        <v>3385.116</v>
      </c>
      <c r="E138" s="7">
        <f t="shared" si="51"/>
        <v>2989.2490000000003</v>
      </c>
      <c r="F138" s="7">
        <f t="shared" si="51"/>
        <v>2402.6569999999997</v>
      </c>
      <c r="G138" s="10">
        <f t="shared" si="32"/>
        <v>-586.59200000000055</v>
      </c>
      <c r="H138" s="7">
        <f t="shared" si="51"/>
        <v>10155.348000000002</v>
      </c>
      <c r="I138" s="7">
        <f t="shared" si="51"/>
        <v>8967.7469999999994</v>
      </c>
      <c r="J138" s="7">
        <f t="shared" si="51"/>
        <v>6748.8130000000001</v>
      </c>
      <c r="K138" s="10">
        <f t="shared" si="33"/>
        <v>-2218.9339999999993</v>
      </c>
      <c r="L138" s="16">
        <f t="shared" si="38"/>
        <v>-24.743494659249414</v>
      </c>
      <c r="M138" s="220"/>
      <c r="N138" s="221"/>
      <c r="O138" s="30">
        <f>P138-J138</f>
        <v>210.8159999999998</v>
      </c>
      <c r="P138">
        <v>6959.6289999999999</v>
      </c>
      <c r="Q138">
        <f t="shared" si="50"/>
        <v>10155.348</v>
      </c>
      <c r="R138" s="44">
        <f>E138+фев!I138</f>
        <v>8967.7470000000012</v>
      </c>
      <c r="S138" s="30">
        <f>F138+фев!J138</f>
        <v>6748.8130000000001</v>
      </c>
    </row>
    <row r="139" spans="1:19" ht="17.25" customHeight="1">
      <c r="A139" s="65">
        <v>6</v>
      </c>
      <c r="B139" s="6" t="s">
        <v>128</v>
      </c>
      <c r="C139" s="65" t="s">
        <v>4</v>
      </c>
      <c r="D139" s="7">
        <f>D140+D145+D146+D147+D148+D149+D150+D151+D154+D156+D172+D176+D177+D179+D184+D183+D188</f>
        <v>3385.116</v>
      </c>
      <c r="E139" s="7">
        <f t="shared" ref="E139:F139" si="52">E140+E145+E146+E147+E148+E149+E150+E151+E154+E156+E172+E176+E177+E179+E184+E183+E188</f>
        <v>2989.2490000000003</v>
      </c>
      <c r="F139" s="7">
        <f t="shared" si="52"/>
        <v>2402.6569999999997</v>
      </c>
      <c r="G139" s="10">
        <f>F139-E139</f>
        <v>-586.59200000000055</v>
      </c>
      <c r="H139" s="7">
        <f t="shared" ref="H139:J139" si="53">H140+H145+H146+H147+H148+H149+H150+H151+H154+H156+H172+H176+H177+H179+H184+H183+H188</f>
        <v>10155.348000000002</v>
      </c>
      <c r="I139" s="7">
        <f t="shared" si="53"/>
        <v>8967.7469999999994</v>
      </c>
      <c r="J139" s="7">
        <f t="shared" si="53"/>
        <v>6748.8130000000001</v>
      </c>
      <c r="K139" s="10">
        <f t="shared" si="33"/>
        <v>-2218.9339999999993</v>
      </c>
      <c r="L139" s="16">
        <f t="shared" si="38"/>
        <v>-24.743494659249414</v>
      </c>
      <c r="M139" s="220"/>
      <c r="N139" s="221"/>
      <c r="O139">
        <v>2402.6579999999999</v>
      </c>
      <c r="P139" s="30">
        <f>O139-F139</f>
        <v>1.0000000002037268E-3</v>
      </c>
      <c r="Q139">
        <f t="shared" si="50"/>
        <v>10155.348</v>
      </c>
      <c r="R139" s="44">
        <f>E139+фев!I139</f>
        <v>8967.7470000000012</v>
      </c>
      <c r="S139" s="30">
        <f>F139+фев!J139</f>
        <v>6748.8130000000001</v>
      </c>
    </row>
    <row r="140" spans="1:19" ht="17.25" customHeight="1">
      <c r="A140" s="65" t="s">
        <v>129</v>
      </c>
      <c r="B140" s="6" t="s">
        <v>130</v>
      </c>
      <c r="C140" s="65" t="s">
        <v>4</v>
      </c>
      <c r="D140" s="7">
        <f t="shared" ref="D140:F140" si="54">D141+D142</f>
        <v>97.608999999999995</v>
      </c>
      <c r="E140" s="7">
        <f t="shared" si="54"/>
        <v>97.582999999999998</v>
      </c>
      <c r="F140" s="7">
        <f t="shared" si="54"/>
        <v>42.51</v>
      </c>
      <c r="G140" s="10">
        <f t="shared" ref="G140:G204" si="55">F140-E140</f>
        <v>-55.073</v>
      </c>
      <c r="H140" s="7">
        <f t="shared" ref="H140:J140" si="56">H141+H142</f>
        <v>292.827</v>
      </c>
      <c r="I140" s="7">
        <f t="shared" si="56"/>
        <v>292.74900000000002</v>
      </c>
      <c r="J140" s="7">
        <f t="shared" si="56"/>
        <v>252.578</v>
      </c>
      <c r="K140" s="10">
        <f t="shared" ref="K140:K204" si="57">J140-I140</f>
        <v>-40.171000000000021</v>
      </c>
      <c r="L140" s="16">
        <f t="shared" si="38"/>
        <v>-13.721993926537756</v>
      </c>
      <c r="M140" s="220"/>
      <c r="N140" s="221"/>
      <c r="Q140">
        <f t="shared" si="50"/>
        <v>292.827</v>
      </c>
      <c r="R140" s="44">
        <f>E140+фев!I140</f>
        <v>292.74900000000002</v>
      </c>
      <c r="S140" s="30">
        <f>F140+фев!J140</f>
        <v>252.57799999999997</v>
      </c>
    </row>
    <row r="141" spans="1:19" ht="37.5">
      <c r="A141" s="8" t="s">
        <v>131</v>
      </c>
      <c r="B141" s="9" t="s">
        <v>132</v>
      </c>
      <c r="C141" s="8" t="s">
        <v>4</v>
      </c>
      <c r="D141" s="10">
        <v>42.552999999999997</v>
      </c>
      <c r="E141" s="10">
        <v>42.5</v>
      </c>
      <c r="F141" s="87">
        <v>42.51</v>
      </c>
      <c r="G141" s="10">
        <f t="shared" si="55"/>
        <v>9.9999999999980105E-3</v>
      </c>
      <c r="H141" s="10">
        <f>D141+фев!H141</f>
        <v>127.65899999999999</v>
      </c>
      <c r="I141" s="8">
        <f>E141+фев!I141</f>
        <v>127.5</v>
      </c>
      <c r="J141" s="10">
        <f>F141+фев!J141</f>
        <v>127.53</v>
      </c>
      <c r="K141" s="10">
        <f t="shared" si="57"/>
        <v>3.0000000000001137E-2</v>
      </c>
      <c r="L141" s="16">
        <f t="shared" si="38"/>
        <v>2.3529411764706774E-2</v>
      </c>
      <c r="M141" s="220"/>
      <c r="N141" s="221"/>
      <c r="Q141">
        <f t="shared" si="50"/>
        <v>127.65899999999999</v>
      </c>
      <c r="R141" s="44">
        <f>E141+фев!I141</f>
        <v>127.5</v>
      </c>
      <c r="S141" s="30">
        <f>F141+фев!J141</f>
        <v>127.53</v>
      </c>
    </row>
    <row r="142" spans="1:19" ht="17.25" customHeight="1">
      <c r="A142" s="8" t="s">
        <v>133</v>
      </c>
      <c r="B142" s="9" t="s">
        <v>63</v>
      </c>
      <c r="C142" s="8" t="s">
        <v>4</v>
      </c>
      <c r="D142" s="10">
        <v>55.055999999999997</v>
      </c>
      <c r="E142" s="8">
        <v>55.082999999999998</v>
      </c>
      <c r="F142" s="8"/>
      <c r="G142" s="10">
        <f t="shared" si="55"/>
        <v>-55.082999999999998</v>
      </c>
      <c r="H142" s="10">
        <f>D142+фев!H142</f>
        <v>165.16800000000001</v>
      </c>
      <c r="I142" s="8">
        <f>E142+фев!I142</f>
        <v>165.249</v>
      </c>
      <c r="J142" s="8">
        <f>F142+фев!J142</f>
        <v>125.048</v>
      </c>
      <c r="K142" s="10">
        <f t="shared" si="57"/>
        <v>-40.200999999999993</v>
      </c>
      <c r="L142" s="16">
        <f t="shared" si="38"/>
        <v>-24.327529969924171</v>
      </c>
      <c r="M142" s="220"/>
      <c r="N142" s="221"/>
      <c r="Q142">
        <f t="shared" si="50"/>
        <v>165.16800000000001</v>
      </c>
      <c r="R142" s="44">
        <f>E142+фев!I142</f>
        <v>165.249</v>
      </c>
      <c r="S142" s="30">
        <f>F142+фев!J142</f>
        <v>125.048</v>
      </c>
    </row>
    <row r="143" spans="1:19" ht="17.25" customHeight="1">
      <c r="A143" s="8"/>
      <c r="B143" s="12" t="s">
        <v>68</v>
      </c>
      <c r="C143" s="22" t="s">
        <v>66</v>
      </c>
      <c r="D143" s="14">
        <v>2816.6669999999999</v>
      </c>
      <c r="E143" s="59">
        <v>2817</v>
      </c>
      <c r="F143" s="59"/>
      <c r="G143" s="10">
        <f t="shared" si="55"/>
        <v>-2817</v>
      </c>
      <c r="H143" s="10">
        <f>D143+фев!H143</f>
        <v>8450.0010000000002</v>
      </c>
      <c r="I143" s="59"/>
      <c r="J143" s="8">
        <f>F143+фев!J143</f>
        <v>0</v>
      </c>
      <c r="K143" s="10">
        <f t="shared" si="57"/>
        <v>0</v>
      </c>
      <c r="L143" s="16"/>
      <c r="M143" s="220"/>
      <c r="N143" s="221"/>
      <c r="Q143">
        <f t="shared" si="50"/>
        <v>8450.0010000000002</v>
      </c>
      <c r="R143" s="44">
        <f>E143+фев!I143</f>
        <v>2817</v>
      </c>
      <c r="S143" s="30">
        <f>F143+фев!J143</f>
        <v>0</v>
      </c>
    </row>
    <row r="144" spans="1:19" ht="17.25" customHeight="1">
      <c r="A144" s="8"/>
      <c r="B144" s="12" t="s">
        <v>15</v>
      </c>
      <c r="C144" s="13" t="s">
        <v>16</v>
      </c>
      <c r="D144" s="16">
        <f t="shared" ref="D144:F144" si="58">D142/D143*1000</f>
        <v>19.546506562543602</v>
      </c>
      <c r="E144" s="16">
        <f t="shared" si="58"/>
        <v>19.553780617678381</v>
      </c>
      <c r="F144" s="16" t="e">
        <f t="shared" si="58"/>
        <v>#DIV/0!</v>
      </c>
      <c r="G144" s="10" t="e">
        <f t="shared" si="55"/>
        <v>#DIV/0!</v>
      </c>
      <c r="H144" s="16">
        <f t="shared" ref="H144" si="59">H142/H143*1000</f>
        <v>19.546506562543605</v>
      </c>
      <c r="I144" s="8"/>
      <c r="J144" s="13"/>
      <c r="K144" s="10">
        <f t="shared" si="57"/>
        <v>0</v>
      </c>
      <c r="L144" s="16"/>
      <c r="M144" s="220"/>
      <c r="N144" s="221"/>
      <c r="Q144">
        <f t="shared" si="50"/>
        <v>58.639519687630809</v>
      </c>
      <c r="R144" s="44">
        <f>E144+фев!I144</f>
        <v>19.553780617678381</v>
      </c>
      <c r="S144" s="30" t="e">
        <f>F144+фев!J144</f>
        <v>#DIV/0!</v>
      </c>
    </row>
    <row r="145" spans="1:19" ht="32.25" customHeight="1">
      <c r="A145" s="8" t="s">
        <v>134</v>
      </c>
      <c r="B145" s="9" t="s">
        <v>135</v>
      </c>
      <c r="C145" s="8" t="s">
        <v>4</v>
      </c>
      <c r="D145" s="10">
        <v>1914.3579999999999</v>
      </c>
      <c r="E145" s="8">
        <v>1416.4169999999999</v>
      </c>
      <c r="F145" s="87">
        <f>1643.522-F149</f>
        <v>1605.9289999999999</v>
      </c>
      <c r="G145" s="10">
        <f t="shared" si="55"/>
        <v>189.51199999999994</v>
      </c>
      <c r="H145" s="10">
        <f>D145+фев!H145</f>
        <v>5743.0739999999996</v>
      </c>
      <c r="I145" s="8">
        <f>E145+фев!I145</f>
        <v>4249.2510000000002</v>
      </c>
      <c r="J145" s="10">
        <f>F145+фев!J145</f>
        <v>3860.1009999999997</v>
      </c>
      <c r="K145" s="10">
        <f t="shared" si="57"/>
        <v>-389.15000000000055</v>
      </c>
      <c r="L145" s="16">
        <f t="shared" si="38"/>
        <v>-9.1580845659623442</v>
      </c>
      <c r="M145" s="227"/>
      <c r="N145" s="228"/>
      <c r="P145" s="30">
        <f>J145+J149</f>
        <v>4071.2409999999995</v>
      </c>
      <c r="Q145">
        <f t="shared" si="50"/>
        <v>5743.0739999999996</v>
      </c>
      <c r="R145" s="44">
        <f>E145+фев!I145</f>
        <v>4249.2510000000002</v>
      </c>
      <c r="S145" s="30">
        <f>F145+фев!J145</f>
        <v>3860.1009999999997</v>
      </c>
    </row>
    <row r="146" spans="1:19" ht="17.25" customHeight="1">
      <c r="A146" s="8" t="s">
        <v>136</v>
      </c>
      <c r="B146" s="9" t="s">
        <v>77</v>
      </c>
      <c r="C146" s="8" t="s">
        <v>4</v>
      </c>
      <c r="D146" s="10">
        <v>105.29</v>
      </c>
      <c r="E146" s="10">
        <v>76.5</v>
      </c>
      <c r="F146" s="86">
        <v>97.698999999999998</v>
      </c>
      <c r="G146" s="10">
        <f t="shared" si="55"/>
        <v>21.198999999999998</v>
      </c>
      <c r="H146" s="10">
        <f>D146+фев!H146</f>
        <v>315.87</v>
      </c>
      <c r="I146" s="8">
        <f>E146+фев!I146</f>
        <v>229.5</v>
      </c>
      <c r="J146" s="8">
        <f>F146+фев!J146</f>
        <v>240.94299999999998</v>
      </c>
      <c r="K146" s="10">
        <f t="shared" si="57"/>
        <v>11.442999999999984</v>
      </c>
      <c r="L146" s="16">
        <f t="shared" si="38"/>
        <v>4.9860566448801675</v>
      </c>
      <c r="M146" s="227"/>
      <c r="N146" s="228"/>
      <c r="Q146">
        <f t="shared" si="50"/>
        <v>315.87</v>
      </c>
      <c r="R146" s="44">
        <f>E146+фев!I146</f>
        <v>229.5</v>
      </c>
      <c r="S146" s="30">
        <f>F146+фев!J146</f>
        <v>240.94299999999998</v>
      </c>
    </row>
    <row r="147" spans="1:19" ht="17.25" customHeight="1">
      <c r="A147" s="8"/>
      <c r="B147" s="9" t="s">
        <v>307</v>
      </c>
      <c r="C147" s="8" t="s">
        <v>4</v>
      </c>
      <c r="D147" s="10">
        <v>84.231999999999999</v>
      </c>
      <c r="E147" s="10">
        <v>63.75</v>
      </c>
      <c r="F147" s="86">
        <v>45.122999999999998</v>
      </c>
      <c r="G147" s="10">
        <f t="shared" si="55"/>
        <v>-18.627000000000002</v>
      </c>
      <c r="H147" s="10">
        <f>D147+фев!H147</f>
        <v>252.696</v>
      </c>
      <c r="I147" s="8">
        <f>E147+фев!I147</f>
        <v>191.25</v>
      </c>
      <c r="J147" s="8">
        <f>F147+фев!J147</f>
        <v>113.01999999999998</v>
      </c>
      <c r="K147" s="10">
        <f t="shared" si="57"/>
        <v>-78.230000000000018</v>
      </c>
      <c r="L147" s="16">
        <f t="shared" si="38"/>
        <v>-40.904575163398704</v>
      </c>
      <c r="M147" s="67"/>
      <c r="N147" s="68"/>
      <c r="Q147">
        <f t="shared" si="50"/>
        <v>252.696</v>
      </c>
      <c r="R147" s="44">
        <f>E147+фев!I147</f>
        <v>191.25</v>
      </c>
      <c r="S147" s="30">
        <f>F147+фев!J147</f>
        <v>113.01999999999998</v>
      </c>
    </row>
    <row r="148" spans="1:19" ht="17.25" customHeight="1">
      <c r="A148" s="8"/>
      <c r="B148" s="9" t="s">
        <v>310</v>
      </c>
      <c r="C148" s="8" t="s">
        <v>4</v>
      </c>
      <c r="D148" s="10"/>
      <c r="E148" s="10">
        <v>21.25</v>
      </c>
      <c r="F148" s="86">
        <v>21.332000000000001</v>
      </c>
      <c r="G148" s="10">
        <f t="shared" si="55"/>
        <v>8.2000000000000739E-2</v>
      </c>
      <c r="H148" s="10">
        <f>D148+фев!H148</f>
        <v>0</v>
      </c>
      <c r="I148" s="8">
        <f>E148+фев!I148</f>
        <v>63.75</v>
      </c>
      <c r="J148" s="8">
        <f>F148+фев!J148</f>
        <v>51.120000000000005</v>
      </c>
      <c r="K148" s="10">
        <f t="shared" si="57"/>
        <v>-12.629999999999995</v>
      </c>
      <c r="L148" s="16">
        <f t="shared" si="38"/>
        <v>-19.811764705882347</v>
      </c>
      <c r="M148" s="67"/>
      <c r="N148" s="68"/>
      <c r="O148">
        <f>P148-J148</f>
        <v>1.627999999999993</v>
      </c>
      <c r="P148">
        <v>52.747999999999998</v>
      </c>
      <c r="Q148">
        <f t="shared" si="50"/>
        <v>0</v>
      </c>
      <c r="R148" s="44">
        <f>E148+фев!I148</f>
        <v>63.75</v>
      </c>
      <c r="S148" s="30">
        <f>F148+фев!J148</f>
        <v>51.120000000000005</v>
      </c>
    </row>
    <row r="149" spans="1:19" ht="17.25" customHeight="1">
      <c r="A149" s="8"/>
      <c r="B149" s="9" t="s">
        <v>315</v>
      </c>
      <c r="C149" s="8" t="s">
        <v>4</v>
      </c>
      <c r="D149" s="10"/>
      <c r="E149" s="10"/>
      <c r="F149" s="10">
        <v>37.593000000000004</v>
      </c>
      <c r="G149" s="10">
        <f t="shared" si="55"/>
        <v>37.593000000000004</v>
      </c>
      <c r="H149" s="10">
        <f>D149+фев!H149</f>
        <v>0</v>
      </c>
      <c r="I149" s="8">
        <f>E149+фев!I149</f>
        <v>0</v>
      </c>
      <c r="J149" s="8">
        <f>F149+фев!J149</f>
        <v>211.14000000000004</v>
      </c>
      <c r="K149" s="10"/>
      <c r="L149" s="16"/>
      <c r="M149" s="67"/>
      <c r="N149" s="68"/>
      <c r="Q149">
        <f t="shared" si="50"/>
        <v>0</v>
      </c>
      <c r="R149" s="44">
        <f>E149+фев!I149</f>
        <v>0</v>
      </c>
      <c r="S149" s="30">
        <f>F149+фев!J149</f>
        <v>211.14000000000004</v>
      </c>
    </row>
    <row r="150" spans="1:19" ht="17.25" customHeight="1">
      <c r="A150" s="8" t="s">
        <v>137</v>
      </c>
      <c r="B150" s="9" t="s">
        <v>138</v>
      </c>
      <c r="C150" s="8" t="s">
        <v>4</v>
      </c>
      <c r="D150" s="10">
        <v>77.58</v>
      </c>
      <c r="E150" s="8">
        <v>77.582999999999998</v>
      </c>
      <c r="F150" s="86">
        <v>97.936999999999998</v>
      </c>
      <c r="G150" s="10">
        <f t="shared" si="55"/>
        <v>20.353999999999999</v>
      </c>
      <c r="H150" s="10">
        <f>D150+фев!H150</f>
        <v>232.74</v>
      </c>
      <c r="I150" s="8">
        <f>E150+фев!I150</f>
        <v>232.749</v>
      </c>
      <c r="J150" s="10">
        <f>F150+фев!J150</f>
        <v>438.529</v>
      </c>
      <c r="K150" s="10">
        <f t="shared" si="57"/>
        <v>205.78</v>
      </c>
      <c r="L150" s="16">
        <f t="shared" si="38"/>
        <v>88.412839582554597</v>
      </c>
      <c r="M150" s="227" t="s">
        <v>301</v>
      </c>
      <c r="N150" s="228"/>
      <c r="O150">
        <f>J150-P150</f>
        <v>-14.600999999999999</v>
      </c>
      <c r="P150">
        <v>453.13</v>
      </c>
      <c r="Q150">
        <f t="shared" si="50"/>
        <v>232.74</v>
      </c>
      <c r="R150" s="44">
        <f>E150+фев!I150</f>
        <v>232.749</v>
      </c>
      <c r="S150" s="30">
        <f>F150+фев!J150</f>
        <v>438.529</v>
      </c>
    </row>
    <row r="151" spans="1:19" ht="17.25" customHeight="1">
      <c r="A151" s="65" t="s">
        <v>139</v>
      </c>
      <c r="B151" s="6" t="s">
        <v>140</v>
      </c>
      <c r="C151" s="65" t="s">
        <v>4</v>
      </c>
      <c r="D151" s="7">
        <f t="shared" ref="D151:F151" si="60">D152+D153</f>
        <v>239.149</v>
      </c>
      <c r="E151" s="81">
        <v>47.832999999999998</v>
      </c>
      <c r="F151" s="7">
        <f t="shared" si="60"/>
        <v>44.484000000000002</v>
      </c>
      <c r="G151" s="10">
        <f t="shared" si="55"/>
        <v>-3.3489999999999966</v>
      </c>
      <c r="H151" s="7">
        <f t="shared" ref="H151" si="61">H152+H153</f>
        <v>717.447</v>
      </c>
      <c r="I151" s="8">
        <f>E151+фев!I151</f>
        <v>143.499</v>
      </c>
      <c r="J151" s="7">
        <f t="shared" ref="J151" si="62">J152+J153</f>
        <v>133.44900000000001</v>
      </c>
      <c r="K151" s="10">
        <f t="shared" si="57"/>
        <v>-10.049999999999983</v>
      </c>
      <c r="L151" s="16">
        <f t="shared" si="38"/>
        <v>-7.0035331256663698</v>
      </c>
      <c r="M151" s="220"/>
      <c r="N151" s="221"/>
      <c r="Q151">
        <f t="shared" si="50"/>
        <v>717.447</v>
      </c>
      <c r="R151" s="44">
        <f>E151+фев!I151</f>
        <v>143.499</v>
      </c>
      <c r="S151" s="30">
        <f>F151+фев!J151</f>
        <v>133.44900000000001</v>
      </c>
    </row>
    <row r="152" spans="1:19" ht="17.25" customHeight="1">
      <c r="A152" s="8" t="s">
        <v>141</v>
      </c>
      <c r="B152" s="9" t="s">
        <v>81</v>
      </c>
      <c r="C152" s="8" t="s">
        <v>4</v>
      </c>
      <c r="D152" s="10">
        <v>8.7579999999999991</v>
      </c>
      <c r="E152" s="8"/>
      <c r="F152" s="86">
        <v>32.508000000000003</v>
      </c>
      <c r="G152" s="10">
        <f t="shared" si="55"/>
        <v>32.508000000000003</v>
      </c>
      <c r="H152" s="10">
        <f>D152+фев!H152</f>
        <v>26.273999999999997</v>
      </c>
      <c r="I152" s="8"/>
      <c r="J152" s="8">
        <f>F152+фев!J152</f>
        <v>97.522999999999996</v>
      </c>
      <c r="K152" s="10">
        <f t="shared" si="57"/>
        <v>97.522999999999996</v>
      </c>
      <c r="L152" s="16"/>
      <c r="M152" s="220"/>
      <c r="N152" s="221"/>
      <c r="Q152">
        <f t="shared" si="50"/>
        <v>26.273999999999997</v>
      </c>
      <c r="R152" s="44">
        <f>E152+фев!I152</f>
        <v>0</v>
      </c>
      <c r="S152" s="30">
        <f>F152+фев!J152</f>
        <v>97.522999999999996</v>
      </c>
    </row>
    <row r="153" spans="1:19" ht="17.25" customHeight="1">
      <c r="A153" s="8" t="s">
        <v>142</v>
      </c>
      <c r="B153" s="9" t="s">
        <v>143</v>
      </c>
      <c r="C153" s="8"/>
      <c r="D153" s="10">
        <v>230.39099999999999</v>
      </c>
      <c r="E153" s="8"/>
      <c r="F153" s="86">
        <v>11.976000000000001</v>
      </c>
      <c r="G153" s="10">
        <f t="shared" si="55"/>
        <v>11.976000000000001</v>
      </c>
      <c r="H153" s="10">
        <f>D153+фев!H153</f>
        <v>691.173</v>
      </c>
      <c r="I153" s="8"/>
      <c r="J153" s="8">
        <f>F153+фев!J153</f>
        <v>35.926000000000002</v>
      </c>
      <c r="K153" s="10">
        <f t="shared" si="57"/>
        <v>35.926000000000002</v>
      </c>
      <c r="L153" s="16"/>
      <c r="M153" s="220"/>
      <c r="N153" s="221"/>
      <c r="Q153">
        <f t="shared" si="50"/>
        <v>691.173</v>
      </c>
      <c r="R153" s="44">
        <f>E153+фев!I153</f>
        <v>0</v>
      </c>
      <c r="S153" s="30">
        <f>F153+фев!J153</f>
        <v>35.926000000000002</v>
      </c>
    </row>
    <row r="154" spans="1:19" ht="75.75" customHeight="1">
      <c r="A154" s="65" t="s">
        <v>144</v>
      </c>
      <c r="B154" s="6" t="s">
        <v>145</v>
      </c>
      <c r="C154" s="65" t="s">
        <v>4</v>
      </c>
      <c r="D154" s="7">
        <f t="shared" ref="D154:J154" si="63">D155</f>
        <v>13.856</v>
      </c>
      <c r="E154" s="7">
        <f t="shared" si="63"/>
        <v>13.833</v>
      </c>
      <c r="F154" s="7">
        <f t="shared" si="63"/>
        <v>7.3879999999999999</v>
      </c>
      <c r="G154" s="10">
        <f t="shared" si="55"/>
        <v>-6.4450000000000003</v>
      </c>
      <c r="H154" s="7">
        <f t="shared" si="63"/>
        <v>41.567999999999998</v>
      </c>
      <c r="I154" s="7">
        <f t="shared" si="63"/>
        <v>41.499000000000002</v>
      </c>
      <c r="J154" s="7">
        <f t="shared" si="63"/>
        <v>60.690999999999995</v>
      </c>
      <c r="K154" s="10">
        <f t="shared" si="57"/>
        <v>19.191999999999993</v>
      </c>
      <c r="L154" s="16">
        <f t="shared" ref="L154:L203" si="64">K154/I154*100</f>
        <v>46.246897515602761</v>
      </c>
      <c r="M154" s="220"/>
      <c r="N154" s="221"/>
      <c r="Q154">
        <f t="shared" si="50"/>
        <v>41.567999999999998</v>
      </c>
      <c r="R154" s="44">
        <f>E154+фев!I154</f>
        <v>41.499000000000002</v>
      </c>
      <c r="S154" s="30">
        <f>F154+фев!J154</f>
        <v>60.690999999999995</v>
      </c>
    </row>
    <row r="155" spans="1:19" ht="17.25" customHeight="1">
      <c r="A155" s="8" t="s">
        <v>146</v>
      </c>
      <c r="B155" s="9" t="s">
        <v>147</v>
      </c>
      <c r="C155" s="8" t="s">
        <v>4</v>
      </c>
      <c r="D155" s="10">
        <v>13.856</v>
      </c>
      <c r="E155" s="8">
        <v>13.833</v>
      </c>
      <c r="F155" s="86">
        <v>7.3879999999999999</v>
      </c>
      <c r="G155" s="10">
        <f t="shared" si="55"/>
        <v>-6.4450000000000003</v>
      </c>
      <c r="H155" s="10">
        <f>D155+фев!H155</f>
        <v>41.567999999999998</v>
      </c>
      <c r="I155" s="8">
        <f>E155+фев!I155</f>
        <v>41.499000000000002</v>
      </c>
      <c r="J155" s="8">
        <f>F155+фев!J155</f>
        <v>60.690999999999995</v>
      </c>
      <c r="K155" s="10">
        <f t="shared" si="57"/>
        <v>19.191999999999993</v>
      </c>
      <c r="L155" s="16">
        <f t="shared" si="64"/>
        <v>46.246897515602761</v>
      </c>
      <c r="M155" s="220"/>
      <c r="N155" s="221"/>
      <c r="P155">
        <f>35.248+25.443</f>
        <v>60.691000000000003</v>
      </c>
      <c r="Q155">
        <f t="shared" si="50"/>
        <v>41.567999999999998</v>
      </c>
      <c r="R155" s="44">
        <f>E155+фев!I155</f>
        <v>41.499000000000002</v>
      </c>
      <c r="S155" s="30">
        <f>F155+фев!J155</f>
        <v>60.690999999999995</v>
      </c>
    </row>
    <row r="156" spans="1:19" ht="18" customHeight="1">
      <c r="A156" s="65" t="s">
        <v>148</v>
      </c>
      <c r="B156" s="6" t="s">
        <v>149</v>
      </c>
      <c r="C156" s="65" t="s">
        <v>4</v>
      </c>
      <c r="D156" s="27">
        <f t="shared" ref="D156" si="65">D157+D160+D163+D166+D169</f>
        <v>71.188999999999993</v>
      </c>
      <c r="E156" s="81">
        <v>72.417000000000002</v>
      </c>
      <c r="F156" s="27">
        <f>F157+F160+F163+F166+F169</f>
        <v>107.871</v>
      </c>
      <c r="G156" s="10">
        <f t="shared" si="55"/>
        <v>35.453999999999994</v>
      </c>
      <c r="H156" s="27">
        <f t="shared" ref="H156" si="66">H157+H160+H163+H166+H169</f>
        <v>213.56700000000001</v>
      </c>
      <c r="I156" s="8">
        <f>E156+фев!I156</f>
        <v>217.251</v>
      </c>
      <c r="J156" s="27">
        <f>J157+J160+J163+J166+J169</f>
        <v>405.84500000000003</v>
      </c>
      <c r="K156" s="10">
        <f t="shared" si="57"/>
        <v>188.59400000000002</v>
      </c>
      <c r="L156" s="16">
        <f t="shared" si="64"/>
        <v>86.809266700728656</v>
      </c>
      <c r="M156" s="220"/>
      <c r="N156" s="221"/>
      <c r="Q156">
        <f t="shared" si="50"/>
        <v>213.56699999999998</v>
      </c>
      <c r="R156" s="44">
        <f>E156+фев!I156</f>
        <v>217.251</v>
      </c>
      <c r="S156" s="30">
        <f>F156+фев!J156</f>
        <v>405.84499999999997</v>
      </c>
    </row>
    <row r="157" spans="1:19" ht="17.25" customHeight="1">
      <c r="A157" s="8" t="s">
        <v>150</v>
      </c>
      <c r="B157" s="9" t="s">
        <v>151</v>
      </c>
      <c r="C157" s="8" t="s">
        <v>4</v>
      </c>
      <c r="D157" s="10">
        <v>49.027999999999999</v>
      </c>
      <c r="E157" s="8"/>
      <c r="F157" s="86">
        <v>102.321</v>
      </c>
      <c r="G157" s="10">
        <f t="shared" si="55"/>
        <v>102.321</v>
      </c>
      <c r="H157" s="10">
        <f>D157+фев!H157</f>
        <v>147.084</v>
      </c>
      <c r="I157" s="8"/>
      <c r="J157" s="8">
        <f>F157+фев!J157</f>
        <v>383.38800000000003</v>
      </c>
      <c r="K157" s="10">
        <f t="shared" si="57"/>
        <v>383.38800000000003</v>
      </c>
      <c r="L157" s="16"/>
      <c r="M157" s="220"/>
      <c r="N157" s="221"/>
      <c r="Q157">
        <f t="shared" si="50"/>
        <v>147.084</v>
      </c>
      <c r="R157" s="44">
        <f>E157+фев!I157</f>
        <v>0</v>
      </c>
      <c r="S157" s="30">
        <f>F157+фев!J157</f>
        <v>383.38800000000003</v>
      </c>
    </row>
    <row r="158" spans="1:19" ht="17.25" customHeight="1">
      <c r="A158" s="8"/>
      <c r="B158" s="28" t="s">
        <v>13</v>
      </c>
      <c r="C158" s="8" t="s">
        <v>152</v>
      </c>
      <c r="D158" s="10">
        <v>13.144</v>
      </c>
      <c r="E158" s="8"/>
      <c r="F158" s="8">
        <v>21.85</v>
      </c>
      <c r="G158" s="10">
        <f t="shared" si="55"/>
        <v>21.85</v>
      </c>
      <c r="H158" s="10">
        <f>D158+фев!H158</f>
        <v>39.432000000000002</v>
      </c>
      <c r="I158" s="8"/>
      <c r="J158" s="8">
        <f>F158+фев!J158</f>
        <v>81.87</v>
      </c>
      <c r="K158" s="10">
        <f t="shared" si="57"/>
        <v>81.87</v>
      </c>
      <c r="L158" s="16"/>
      <c r="M158" s="227" t="s">
        <v>302</v>
      </c>
      <c r="N158" s="228"/>
      <c r="Q158">
        <f t="shared" si="50"/>
        <v>39.432000000000002</v>
      </c>
      <c r="R158" s="44">
        <f>E158+фев!I158</f>
        <v>0</v>
      </c>
      <c r="S158" s="30">
        <f>F158+фев!J158</f>
        <v>81.87</v>
      </c>
    </row>
    <row r="159" spans="1:19" ht="17.25" customHeight="1">
      <c r="A159" s="8"/>
      <c r="B159" s="28" t="s">
        <v>15</v>
      </c>
      <c r="C159" s="8" t="s">
        <v>16</v>
      </c>
      <c r="D159" s="16">
        <f>D157/D158*1000</f>
        <v>3730.0669506999393</v>
      </c>
      <c r="E159" s="16"/>
      <c r="F159" s="16">
        <f>F157/F158*1000</f>
        <v>4682.8832951945078</v>
      </c>
      <c r="G159" s="10">
        <f t="shared" si="55"/>
        <v>4682.8832951945078</v>
      </c>
      <c r="H159" s="16">
        <f>H157/H158*1000</f>
        <v>3730.0669506999393</v>
      </c>
      <c r="I159" s="8"/>
      <c r="J159" s="16">
        <f>J157/J158*1000</f>
        <v>4682.8875045804325</v>
      </c>
      <c r="K159" s="10">
        <f t="shared" si="57"/>
        <v>4682.8875045804325</v>
      </c>
      <c r="L159" s="16"/>
      <c r="M159" s="220"/>
      <c r="N159" s="221"/>
      <c r="Q159">
        <f t="shared" si="50"/>
        <v>11190.200852099817</v>
      </c>
      <c r="R159" s="44">
        <f>E159+фев!I159</f>
        <v>0</v>
      </c>
      <c r="S159" s="30">
        <f>F159+фев!J159</f>
        <v>4682.8832951945078</v>
      </c>
    </row>
    <row r="160" spans="1:19" ht="17.25" customHeight="1">
      <c r="A160" s="8" t="s">
        <v>153</v>
      </c>
      <c r="B160" s="9" t="s">
        <v>154</v>
      </c>
      <c r="C160" s="8" t="s">
        <v>4</v>
      </c>
      <c r="D160" s="10">
        <v>0.92300000000000004</v>
      </c>
      <c r="E160" s="8"/>
      <c r="F160" s="8"/>
      <c r="G160" s="10">
        <f t="shared" si="55"/>
        <v>0</v>
      </c>
      <c r="H160" s="10">
        <f>D160+фев!H160</f>
        <v>2.7690000000000001</v>
      </c>
      <c r="I160" s="8"/>
      <c r="J160" s="8">
        <f>F160+фев!J160</f>
        <v>0</v>
      </c>
      <c r="K160" s="10">
        <f t="shared" si="57"/>
        <v>0</v>
      </c>
      <c r="L160" s="16"/>
      <c r="M160" s="220"/>
      <c r="N160" s="221"/>
      <c r="Q160">
        <f t="shared" si="50"/>
        <v>2.7690000000000001</v>
      </c>
      <c r="R160" s="44">
        <f>E160+фев!I160</f>
        <v>0</v>
      </c>
      <c r="S160" s="30">
        <f>F160+фев!J160</f>
        <v>0</v>
      </c>
    </row>
    <row r="161" spans="1:19" ht="17.25" customHeight="1">
      <c r="A161" s="8"/>
      <c r="B161" s="28" t="s">
        <v>13</v>
      </c>
      <c r="C161" s="8" t="s">
        <v>155</v>
      </c>
      <c r="D161" s="10">
        <v>0.75</v>
      </c>
      <c r="E161" s="8"/>
      <c r="F161" s="8"/>
      <c r="G161" s="10">
        <f t="shared" si="55"/>
        <v>0</v>
      </c>
      <c r="H161" s="10">
        <f>D161+фев!H161</f>
        <v>2.25</v>
      </c>
      <c r="I161" s="8"/>
      <c r="J161" s="8">
        <f>F161+фев!J161</f>
        <v>0</v>
      </c>
      <c r="K161" s="10">
        <f t="shared" si="57"/>
        <v>0</v>
      </c>
      <c r="L161" s="16"/>
      <c r="M161" s="220"/>
      <c r="N161" s="221"/>
      <c r="Q161">
        <f t="shared" si="50"/>
        <v>2.25</v>
      </c>
      <c r="R161" s="44">
        <f>E161+фев!I161</f>
        <v>0</v>
      </c>
      <c r="S161" s="30">
        <f>F161+фев!J161</f>
        <v>0</v>
      </c>
    </row>
    <row r="162" spans="1:19" ht="17.25" customHeight="1">
      <c r="A162" s="8"/>
      <c r="B162" s="28" t="s">
        <v>15</v>
      </c>
      <c r="C162" s="8" t="s">
        <v>16</v>
      </c>
      <c r="D162" s="16">
        <f>D160/D161*1000</f>
        <v>1230.6666666666667</v>
      </c>
      <c r="E162" s="8"/>
      <c r="F162" s="8"/>
      <c r="G162" s="10">
        <f t="shared" si="55"/>
        <v>0</v>
      </c>
      <c r="H162" s="16">
        <f>H160/H161*1000</f>
        <v>1230.6666666666667</v>
      </c>
      <c r="I162" s="8"/>
      <c r="J162" s="8"/>
      <c r="K162" s="10">
        <f t="shared" si="57"/>
        <v>0</v>
      </c>
      <c r="L162" s="16"/>
      <c r="M162" s="220"/>
      <c r="N162" s="221"/>
      <c r="Q162">
        <f t="shared" si="50"/>
        <v>3692</v>
      </c>
      <c r="R162" s="44">
        <f>E162+фев!I162</f>
        <v>0</v>
      </c>
      <c r="S162" s="30">
        <f>F162+фев!J162</f>
        <v>0</v>
      </c>
    </row>
    <row r="163" spans="1:19" ht="17.25" customHeight="1">
      <c r="A163" s="8" t="s">
        <v>156</v>
      </c>
      <c r="B163" s="9" t="s">
        <v>157</v>
      </c>
      <c r="C163" s="8" t="s">
        <v>4</v>
      </c>
      <c r="D163" s="10">
        <v>2.1800000000000002</v>
      </c>
      <c r="E163" s="8"/>
      <c r="F163" s="8"/>
      <c r="G163" s="10">
        <f t="shared" si="55"/>
        <v>0</v>
      </c>
      <c r="H163" s="10">
        <f>D163+фев!H163</f>
        <v>6.5400000000000009</v>
      </c>
      <c r="I163" s="8"/>
      <c r="J163" s="8">
        <f>F163+фев!J163</f>
        <v>10.965999999999999</v>
      </c>
      <c r="K163" s="10">
        <f t="shared" si="57"/>
        <v>10.965999999999999</v>
      </c>
      <c r="L163" s="16"/>
      <c r="M163" s="220"/>
      <c r="N163" s="221"/>
      <c r="O163">
        <f>P163-J163</f>
        <v>-9.9999999999944578E-4</v>
      </c>
      <c r="P163">
        <v>10.965</v>
      </c>
      <c r="Q163">
        <f t="shared" si="50"/>
        <v>6.5400000000000009</v>
      </c>
      <c r="R163" s="44">
        <f>E163+фев!I163</f>
        <v>0</v>
      </c>
      <c r="S163" s="30">
        <f>F163+фев!J163</f>
        <v>10.965999999999999</v>
      </c>
    </row>
    <row r="164" spans="1:19" ht="17.25" customHeight="1">
      <c r="A164" s="8"/>
      <c r="B164" s="28" t="s">
        <v>13</v>
      </c>
      <c r="C164" s="8" t="s">
        <v>155</v>
      </c>
      <c r="D164" s="14">
        <v>20</v>
      </c>
      <c r="E164" s="8"/>
      <c r="F164" s="8">
        <v>14</v>
      </c>
      <c r="G164" s="10">
        <f t="shared" si="55"/>
        <v>14</v>
      </c>
      <c r="H164" s="10">
        <f>D164+фев!H164</f>
        <v>60</v>
      </c>
      <c r="I164" s="8"/>
      <c r="J164" s="8">
        <f>F164+фев!J164</f>
        <v>99</v>
      </c>
      <c r="K164" s="10">
        <f t="shared" si="57"/>
        <v>99</v>
      </c>
      <c r="L164" s="16"/>
      <c r="M164" s="220"/>
      <c r="N164" s="221"/>
      <c r="Q164">
        <f t="shared" si="50"/>
        <v>60</v>
      </c>
      <c r="R164" s="44">
        <f>E164+фев!I164</f>
        <v>0</v>
      </c>
      <c r="S164" s="30">
        <f>F164+фев!J164</f>
        <v>99</v>
      </c>
    </row>
    <row r="165" spans="1:19" ht="17.25" customHeight="1">
      <c r="A165" s="8"/>
      <c r="B165" s="28" t="s">
        <v>15</v>
      </c>
      <c r="C165" s="8" t="s">
        <v>16</v>
      </c>
      <c r="D165" s="16">
        <f>D163/D164*1000</f>
        <v>109.00000000000001</v>
      </c>
      <c r="E165" s="16"/>
      <c r="F165" s="16">
        <f t="shared" ref="F165" si="67">F163/F164*1000</f>
        <v>0</v>
      </c>
      <c r="G165" s="10">
        <f t="shared" si="55"/>
        <v>0</v>
      </c>
      <c r="H165" s="16">
        <f>H163/H164*1000</f>
        <v>109.00000000000001</v>
      </c>
      <c r="I165" s="8"/>
      <c r="J165" s="16">
        <f t="shared" ref="J165" si="68">J163/J164*1000</f>
        <v>110.76767676767676</v>
      </c>
      <c r="K165" s="10">
        <f t="shared" si="57"/>
        <v>110.76767676767676</v>
      </c>
      <c r="L165" s="16"/>
      <c r="M165" s="220"/>
      <c r="N165" s="221"/>
      <c r="Q165">
        <f t="shared" si="50"/>
        <v>327.00000000000006</v>
      </c>
      <c r="R165" s="44">
        <f>E165+фев!I165</f>
        <v>0</v>
      </c>
      <c r="S165" s="30">
        <f>F165+фев!J165</f>
        <v>0</v>
      </c>
    </row>
    <row r="166" spans="1:19" ht="17.25" customHeight="1">
      <c r="A166" s="8" t="s">
        <v>158</v>
      </c>
      <c r="B166" s="9" t="s">
        <v>159</v>
      </c>
      <c r="C166" s="8" t="s">
        <v>4</v>
      </c>
      <c r="D166" s="10">
        <v>19.058</v>
      </c>
      <c r="E166" s="8"/>
      <c r="F166" s="88">
        <v>5.55</v>
      </c>
      <c r="G166" s="10">
        <f t="shared" si="55"/>
        <v>5.55</v>
      </c>
      <c r="H166" s="10">
        <f>D166+фев!H166</f>
        <v>57.173999999999999</v>
      </c>
      <c r="I166" s="8"/>
      <c r="J166" s="10">
        <f>F166+фев!J166</f>
        <v>5.55</v>
      </c>
      <c r="K166" s="10">
        <f t="shared" si="57"/>
        <v>5.55</v>
      </c>
      <c r="L166" s="16"/>
      <c r="M166" s="220"/>
      <c r="N166" s="221"/>
      <c r="Q166">
        <f t="shared" si="50"/>
        <v>57.173999999999999</v>
      </c>
      <c r="R166" s="44">
        <f>E166+фев!I166</f>
        <v>0</v>
      </c>
      <c r="S166" s="30">
        <f>F166+фев!J166</f>
        <v>5.55</v>
      </c>
    </row>
    <row r="167" spans="1:19" ht="17.25" customHeight="1">
      <c r="A167" s="8"/>
      <c r="B167" s="28" t="s">
        <v>13</v>
      </c>
      <c r="C167" s="8" t="s">
        <v>155</v>
      </c>
      <c r="D167" s="14">
        <v>16</v>
      </c>
      <c r="E167" s="8"/>
      <c r="F167" s="8">
        <v>6</v>
      </c>
      <c r="G167" s="10">
        <f t="shared" si="55"/>
        <v>6</v>
      </c>
      <c r="H167" s="10">
        <f>D167+фев!H167</f>
        <v>48</v>
      </c>
      <c r="I167" s="8"/>
      <c r="J167" s="8">
        <f>F167+фев!J167</f>
        <v>6</v>
      </c>
      <c r="K167" s="10">
        <f t="shared" si="57"/>
        <v>6</v>
      </c>
      <c r="L167" s="16"/>
      <c r="M167" s="220"/>
      <c r="N167" s="221"/>
      <c r="Q167">
        <f t="shared" si="50"/>
        <v>48</v>
      </c>
      <c r="R167" s="44">
        <f>E167+фев!I167</f>
        <v>0</v>
      </c>
      <c r="S167" s="30">
        <f>F167+фев!J167</f>
        <v>6</v>
      </c>
    </row>
    <row r="168" spans="1:19" ht="17.25" customHeight="1">
      <c r="A168" s="8"/>
      <c r="B168" s="28" t="s">
        <v>15</v>
      </c>
      <c r="C168" s="8" t="s">
        <v>16</v>
      </c>
      <c r="D168" s="16">
        <f>D166/D167*1000</f>
        <v>1191.125</v>
      </c>
      <c r="E168" s="8"/>
      <c r="F168" s="16">
        <f>F166/F167*1000</f>
        <v>924.99999999999989</v>
      </c>
      <c r="G168" s="10">
        <f t="shared" si="55"/>
        <v>924.99999999999989</v>
      </c>
      <c r="H168" s="16">
        <f>H166/H167*1000</f>
        <v>1191.125</v>
      </c>
      <c r="I168" s="8"/>
      <c r="J168" s="16">
        <f>J166/J167*1000</f>
        <v>924.99999999999989</v>
      </c>
      <c r="K168" s="10">
        <f t="shared" si="57"/>
        <v>924.99999999999989</v>
      </c>
      <c r="L168" s="16"/>
      <c r="M168" s="220"/>
      <c r="N168" s="221"/>
      <c r="Q168">
        <f t="shared" si="50"/>
        <v>3573.375</v>
      </c>
      <c r="R168" s="44">
        <f>E168+фев!I168</f>
        <v>0</v>
      </c>
      <c r="S168" s="30">
        <f>F168+фев!J168</f>
        <v>924.99999999999989</v>
      </c>
    </row>
    <row r="169" spans="1:19" ht="17.25" customHeight="1">
      <c r="A169" s="8" t="s">
        <v>158</v>
      </c>
      <c r="B169" s="9" t="s">
        <v>224</v>
      </c>
      <c r="C169" s="8" t="s">
        <v>4</v>
      </c>
      <c r="D169" s="10">
        <v>0</v>
      </c>
      <c r="E169" s="8"/>
      <c r="F169" s="8"/>
      <c r="G169" s="10">
        <f t="shared" si="55"/>
        <v>0</v>
      </c>
      <c r="H169" s="10">
        <f>D169+фев!H169</f>
        <v>0</v>
      </c>
      <c r="I169" s="8"/>
      <c r="J169" s="8">
        <f>F169+фев!J169</f>
        <v>5.9409999999999998</v>
      </c>
      <c r="K169" s="10">
        <f t="shared" si="57"/>
        <v>5.9409999999999998</v>
      </c>
      <c r="L169" s="16"/>
      <c r="M169" s="220"/>
      <c r="N169" s="221"/>
      <c r="O169">
        <f>P169-J169</f>
        <v>0</v>
      </c>
      <c r="P169">
        <v>5.9409999999999998</v>
      </c>
      <c r="Q169">
        <f t="shared" si="50"/>
        <v>0</v>
      </c>
      <c r="R169" s="44">
        <f>E169+фев!I169</f>
        <v>0</v>
      </c>
      <c r="S169" s="30">
        <f>F169+фев!J169</f>
        <v>5.9409999999999998</v>
      </c>
    </row>
    <row r="170" spans="1:19" ht="17.25" customHeight="1">
      <c r="A170" s="8"/>
      <c r="B170" s="28" t="s">
        <v>13</v>
      </c>
      <c r="C170" s="8" t="s">
        <v>155</v>
      </c>
      <c r="D170" s="14">
        <v>0</v>
      </c>
      <c r="E170" s="8"/>
      <c r="F170" s="8">
        <v>14</v>
      </c>
      <c r="G170" s="10">
        <f t="shared" si="55"/>
        <v>14</v>
      </c>
      <c r="H170" s="10">
        <f>D170+фев!H170</f>
        <v>0</v>
      </c>
      <c r="I170" s="8"/>
      <c r="J170" s="8">
        <f>F170+фев!J170</f>
        <v>99</v>
      </c>
      <c r="K170" s="10">
        <f t="shared" si="57"/>
        <v>99</v>
      </c>
      <c r="L170" s="16"/>
      <c r="M170" s="220"/>
      <c r="N170" s="221"/>
      <c r="Q170">
        <f t="shared" si="50"/>
        <v>0</v>
      </c>
      <c r="R170" s="44">
        <f>E170+фев!I170</f>
        <v>0</v>
      </c>
      <c r="S170" s="30">
        <f>F170+фев!J170</f>
        <v>99</v>
      </c>
    </row>
    <row r="171" spans="1:19" ht="17.25" customHeight="1">
      <c r="A171" s="8"/>
      <c r="B171" s="28" t="s">
        <v>15</v>
      </c>
      <c r="C171" s="8" t="s">
        <v>16</v>
      </c>
      <c r="D171" s="16" t="e">
        <f>D169/D170*1000</f>
        <v>#DIV/0!</v>
      </c>
      <c r="E171" s="8"/>
      <c r="F171" s="16">
        <f>F169/F170*1000</f>
        <v>0</v>
      </c>
      <c r="G171" s="10">
        <f t="shared" si="55"/>
        <v>0</v>
      </c>
      <c r="H171" s="16" t="e">
        <f>H169/H170*1000</f>
        <v>#DIV/0!</v>
      </c>
      <c r="I171" s="8"/>
      <c r="J171" s="16">
        <f>J169/J170*1000</f>
        <v>60.010101010101003</v>
      </c>
      <c r="K171" s="10">
        <f t="shared" si="57"/>
        <v>60.010101010101003</v>
      </c>
      <c r="L171" s="16"/>
      <c r="M171" s="220"/>
      <c r="N171" s="221"/>
      <c r="Q171" t="e">
        <f t="shared" si="50"/>
        <v>#DIV/0!</v>
      </c>
      <c r="R171" s="44">
        <f>E171+фев!I171</f>
        <v>0</v>
      </c>
      <c r="S171" s="30">
        <f>F171+фев!J171</f>
        <v>0</v>
      </c>
    </row>
    <row r="172" spans="1:19" ht="17.25" customHeight="1">
      <c r="A172" s="16" t="s">
        <v>160</v>
      </c>
      <c r="B172" s="9" t="s">
        <v>108</v>
      </c>
      <c r="C172" s="8" t="s">
        <v>4</v>
      </c>
      <c r="D172" s="10">
        <v>62.704999999999998</v>
      </c>
      <c r="E172" s="8">
        <v>62.667000000000002</v>
      </c>
      <c r="F172" s="8">
        <f>F173+F174+F175</f>
        <v>60.1</v>
      </c>
      <c r="G172" s="10">
        <f t="shared" si="55"/>
        <v>-2.5670000000000002</v>
      </c>
      <c r="H172" s="10">
        <f>D172+фев!H172</f>
        <v>188.11500000000001</v>
      </c>
      <c r="I172" s="8">
        <f>E172+фев!I172</f>
        <v>188.001</v>
      </c>
      <c r="J172" s="8">
        <f>J173+J174+J175</f>
        <v>178.881</v>
      </c>
      <c r="K172" s="10">
        <f t="shared" si="57"/>
        <v>-9.1200000000000045</v>
      </c>
      <c r="L172" s="16">
        <f t="shared" si="64"/>
        <v>-4.8510380263934794</v>
      </c>
      <c r="M172" s="220"/>
      <c r="N172" s="221"/>
      <c r="Q172">
        <f t="shared" si="50"/>
        <v>188.11500000000001</v>
      </c>
      <c r="R172" s="44">
        <f>E172+фев!I172</f>
        <v>188.001</v>
      </c>
      <c r="S172" s="30">
        <f>F172+фев!J172</f>
        <v>178.881</v>
      </c>
    </row>
    <row r="173" spans="1:19" ht="17.25" customHeight="1">
      <c r="A173" s="16"/>
      <c r="B173" s="9" t="s">
        <v>221</v>
      </c>
      <c r="C173" s="8" t="s">
        <v>4</v>
      </c>
      <c r="D173" s="10"/>
      <c r="E173" s="8"/>
      <c r="F173" s="87">
        <v>48.1</v>
      </c>
      <c r="G173" s="10">
        <f t="shared" si="55"/>
        <v>48.1</v>
      </c>
      <c r="H173" s="10"/>
      <c r="I173" s="8"/>
      <c r="J173" s="10">
        <f>F173+фев!J173</f>
        <v>125.06</v>
      </c>
      <c r="K173" s="10">
        <f t="shared" si="57"/>
        <v>125.06</v>
      </c>
      <c r="L173" s="16"/>
      <c r="M173" s="220"/>
      <c r="N173" s="221"/>
      <c r="Q173">
        <f t="shared" si="50"/>
        <v>0</v>
      </c>
      <c r="R173" s="44">
        <f>E173+фев!I173</f>
        <v>0</v>
      </c>
      <c r="S173" s="30">
        <f>F173+фев!J173</f>
        <v>125.06</v>
      </c>
    </row>
    <row r="174" spans="1:19" ht="37.5" customHeight="1">
      <c r="A174" s="16"/>
      <c r="B174" s="9" t="s">
        <v>222</v>
      </c>
      <c r="C174" s="8" t="s">
        <v>4</v>
      </c>
      <c r="D174" s="10"/>
      <c r="E174" s="8"/>
      <c r="F174" s="87">
        <v>12</v>
      </c>
      <c r="G174" s="10">
        <f t="shared" si="55"/>
        <v>12</v>
      </c>
      <c r="H174" s="10"/>
      <c r="I174" s="8"/>
      <c r="J174" s="8">
        <f>F174+фев!J174</f>
        <v>53.820999999999998</v>
      </c>
      <c r="K174" s="10">
        <f t="shared" si="57"/>
        <v>53.820999999999998</v>
      </c>
      <c r="L174" s="16"/>
      <c r="M174" s="220"/>
      <c r="N174" s="221"/>
      <c r="Q174">
        <f t="shared" si="50"/>
        <v>0</v>
      </c>
      <c r="R174" s="44">
        <f>E174+фев!I174</f>
        <v>0</v>
      </c>
      <c r="S174" s="30">
        <f>F174+фев!J174</f>
        <v>53.820999999999998</v>
      </c>
    </row>
    <row r="175" spans="1:19" ht="18.75" customHeight="1">
      <c r="A175" s="16"/>
      <c r="B175" s="9" t="s">
        <v>223</v>
      </c>
      <c r="C175" s="8" t="s">
        <v>4</v>
      </c>
      <c r="D175" s="10"/>
      <c r="E175" s="8"/>
      <c r="F175" s="8"/>
      <c r="G175" s="10">
        <f t="shared" si="55"/>
        <v>0</v>
      </c>
      <c r="H175" s="10"/>
      <c r="I175" s="8"/>
      <c r="J175" s="8">
        <f>F175+фев!J175</f>
        <v>0</v>
      </c>
      <c r="K175" s="10">
        <f t="shared" si="57"/>
        <v>0</v>
      </c>
      <c r="L175" s="16"/>
      <c r="M175" s="220"/>
      <c r="N175" s="221"/>
      <c r="Q175">
        <f t="shared" si="50"/>
        <v>0</v>
      </c>
      <c r="R175" s="44">
        <f>E175+фев!I175</f>
        <v>0</v>
      </c>
      <c r="S175" s="30">
        <f>F175+фев!J175</f>
        <v>0</v>
      </c>
    </row>
    <row r="176" spans="1:19" ht="18.75">
      <c r="A176" s="16" t="s">
        <v>161</v>
      </c>
      <c r="B176" s="9" t="s">
        <v>162</v>
      </c>
      <c r="C176" s="8" t="s">
        <v>4</v>
      </c>
      <c r="D176" s="10">
        <v>64.906000000000006</v>
      </c>
      <c r="E176" s="8">
        <v>64.917000000000002</v>
      </c>
      <c r="F176" s="86">
        <f>8.554+31.861+7.798+15.738+13.125</f>
        <v>77.075999999999993</v>
      </c>
      <c r="G176" s="10">
        <f t="shared" si="55"/>
        <v>12.158999999999992</v>
      </c>
      <c r="H176" s="10">
        <f>D176+фев!H176</f>
        <v>194.71800000000002</v>
      </c>
      <c r="I176" s="8">
        <f>E176+фев!I176</f>
        <v>194.751</v>
      </c>
      <c r="J176" s="8">
        <f>F176+фев!J176</f>
        <v>225.499</v>
      </c>
      <c r="K176" s="10">
        <f t="shared" si="57"/>
        <v>30.74799999999999</v>
      </c>
      <c r="L176" s="16">
        <f t="shared" si="64"/>
        <v>15.788365656659012</v>
      </c>
      <c r="M176" s="220"/>
      <c r="N176" s="221"/>
      <c r="P176">
        <f>25.659+95.397+22.649+42.419+39.375</f>
        <v>225.49900000000002</v>
      </c>
      <c r="Q176">
        <f t="shared" si="50"/>
        <v>194.71800000000002</v>
      </c>
      <c r="R176" s="44">
        <f>E176+фев!I176</f>
        <v>194.751</v>
      </c>
      <c r="S176" s="30">
        <f>F176+фев!J176</f>
        <v>225.499</v>
      </c>
    </row>
    <row r="177" spans="1:19" ht="35.25" customHeight="1">
      <c r="A177" s="16" t="s">
        <v>163</v>
      </c>
      <c r="B177" s="9" t="s">
        <v>165</v>
      </c>
      <c r="C177" s="8" t="s">
        <v>4</v>
      </c>
      <c r="D177" s="10">
        <f>D178</f>
        <v>2.2330000000000001</v>
      </c>
      <c r="E177" s="8"/>
      <c r="F177" s="8"/>
      <c r="G177" s="10">
        <f t="shared" si="55"/>
        <v>0</v>
      </c>
      <c r="H177" s="10">
        <f>H178</f>
        <v>6.6989999999999998</v>
      </c>
      <c r="I177" s="8"/>
      <c r="J177" s="8"/>
      <c r="K177" s="10">
        <f t="shared" si="57"/>
        <v>0</v>
      </c>
      <c r="L177" s="16"/>
      <c r="M177" s="220"/>
      <c r="N177" s="221"/>
      <c r="Q177">
        <f t="shared" si="50"/>
        <v>6.6989999999999998</v>
      </c>
      <c r="R177" s="44">
        <f>E177+фев!I177</f>
        <v>0</v>
      </c>
      <c r="S177" s="30">
        <f>F177+фев!J177</f>
        <v>0</v>
      </c>
    </row>
    <row r="178" spans="1:19" ht="18.75" customHeight="1">
      <c r="A178" s="16"/>
      <c r="B178" s="9" t="s">
        <v>100</v>
      </c>
      <c r="C178" s="8" t="s">
        <v>4</v>
      </c>
      <c r="D178" s="10">
        <v>2.2330000000000001</v>
      </c>
      <c r="E178" s="8"/>
      <c r="F178" s="8"/>
      <c r="G178" s="10">
        <f t="shared" si="55"/>
        <v>0</v>
      </c>
      <c r="H178" s="10">
        <f>D178+фев!H178</f>
        <v>6.6989999999999998</v>
      </c>
      <c r="I178" s="8"/>
      <c r="J178" s="8">
        <f>F178+фев!J178</f>
        <v>0</v>
      </c>
      <c r="K178" s="10">
        <f t="shared" si="57"/>
        <v>0</v>
      </c>
      <c r="L178" s="16"/>
      <c r="M178" s="63"/>
      <c r="N178" s="64"/>
      <c r="Q178">
        <f t="shared" si="50"/>
        <v>6.6989999999999998</v>
      </c>
      <c r="R178" s="44">
        <f>E178+фев!I178</f>
        <v>0</v>
      </c>
      <c r="S178" s="30">
        <f>F178+фев!J178</f>
        <v>0</v>
      </c>
    </row>
    <row r="179" spans="1:19" ht="17.25" customHeight="1">
      <c r="A179" s="16" t="s">
        <v>164</v>
      </c>
      <c r="B179" s="6" t="s">
        <v>169</v>
      </c>
      <c r="C179" s="65" t="s">
        <v>4</v>
      </c>
      <c r="D179" s="7">
        <f t="shared" ref="D179:F179" si="69">D180+D181+D182</f>
        <v>318.99799999999999</v>
      </c>
      <c r="E179" s="7">
        <f t="shared" si="69"/>
        <v>637.41600000000005</v>
      </c>
      <c r="F179" s="7">
        <f t="shared" si="69"/>
        <v>0</v>
      </c>
      <c r="G179" s="10">
        <f t="shared" si="55"/>
        <v>-637.41600000000005</v>
      </c>
      <c r="H179" s="7">
        <f t="shared" ref="H179:J179" si="70">H180+H181+H182</f>
        <v>956.99400000000003</v>
      </c>
      <c r="I179" s="7">
        <f t="shared" si="70"/>
        <v>1912.248</v>
      </c>
      <c r="J179" s="7">
        <f t="shared" si="70"/>
        <v>0</v>
      </c>
      <c r="K179" s="10">
        <f t="shared" si="57"/>
        <v>-1912.248</v>
      </c>
      <c r="L179" s="16">
        <f t="shared" si="64"/>
        <v>-100</v>
      </c>
      <c r="M179" s="220"/>
      <c r="N179" s="221"/>
      <c r="Q179">
        <f t="shared" si="50"/>
        <v>956.99399999999991</v>
      </c>
      <c r="R179" s="44">
        <f>E179+фев!I179</f>
        <v>1912.248</v>
      </c>
      <c r="S179" s="30">
        <f>F179+фев!J179</f>
        <v>0</v>
      </c>
    </row>
    <row r="180" spans="1:19" ht="17.25" customHeight="1">
      <c r="A180" s="8" t="s">
        <v>166</v>
      </c>
      <c r="B180" s="9" t="s">
        <v>170</v>
      </c>
      <c r="C180" s="8" t="s">
        <v>4</v>
      </c>
      <c r="D180" s="10">
        <v>61.292999999999999</v>
      </c>
      <c r="E180" s="8">
        <v>61.332999999999998</v>
      </c>
      <c r="F180" s="8"/>
      <c r="G180" s="10">
        <f t="shared" si="55"/>
        <v>-61.332999999999998</v>
      </c>
      <c r="H180" s="10">
        <f>D180+фев!H180</f>
        <v>183.87899999999999</v>
      </c>
      <c r="I180" s="8">
        <f>E180+фев!I180</f>
        <v>183.999</v>
      </c>
      <c r="J180" s="8">
        <f>F180+фев!J180</f>
        <v>0</v>
      </c>
      <c r="K180" s="10">
        <f t="shared" si="57"/>
        <v>-183.999</v>
      </c>
      <c r="L180" s="16">
        <f t="shared" si="64"/>
        <v>-100</v>
      </c>
      <c r="M180" s="220"/>
      <c r="N180" s="221"/>
      <c r="Q180">
        <f t="shared" si="50"/>
        <v>183.87899999999999</v>
      </c>
      <c r="R180" s="44">
        <f>E180+фев!I180</f>
        <v>183.999</v>
      </c>
      <c r="S180" s="30">
        <f>F180+фев!J180</f>
        <v>0</v>
      </c>
    </row>
    <row r="181" spans="1:19" ht="17.25" customHeight="1">
      <c r="A181" s="8" t="s">
        <v>167</v>
      </c>
      <c r="B181" s="9" t="s">
        <v>171</v>
      </c>
      <c r="C181" s="8" t="s">
        <v>4</v>
      </c>
      <c r="D181" s="10">
        <v>168.477</v>
      </c>
      <c r="E181" s="8">
        <v>486.83300000000003</v>
      </c>
      <c r="F181" s="8"/>
      <c r="G181" s="10">
        <f t="shared" si="55"/>
        <v>-486.83300000000003</v>
      </c>
      <c r="H181" s="10">
        <f>D181+фев!H181</f>
        <v>505.43100000000004</v>
      </c>
      <c r="I181" s="8">
        <f>E181+фев!I181</f>
        <v>1460.499</v>
      </c>
      <c r="J181" s="8">
        <f>F181+фев!J181</f>
        <v>0</v>
      </c>
      <c r="K181" s="10">
        <f t="shared" si="57"/>
        <v>-1460.499</v>
      </c>
      <c r="L181" s="16">
        <f t="shared" si="64"/>
        <v>-100</v>
      </c>
      <c r="M181" s="227" t="s">
        <v>300</v>
      </c>
      <c r="N181" s="228"/>
      <c r="Q181">
        <f t="shared" si="50"/>
        <v>505.43100000000004</v>
      </c>
      <c r="R181" s="44">
        <f>E181+фев!I181</f>
        <v>1460.499</v>
      </c>
      <c r="S181" s="30">
        <f>F181+фев!J181</f>
        <v>0</v>
      </c>
    </row>
    <row r="182" spans="1:19" ht="17.25" customHeight="1">
      <c r="A182" s="8" t="s">
        <v>267</v>
      </c>
      <c r="B182" s="9" t="s">
        <v>172</v>
      </c>
      <c r="C182" s="8" t="s">
        <v>4</v>
      </c>
      <c r="D182" s="10">
        <v>89.227999999999994</v>
      </c>
      <c r="E182" s="10">
        <v>89.25</v>
      </c>
      <c r="F182" s="8"/>
      <c r="G182" s="10">
        <f t="shared" si="55"/>
        <v>-89.25</v>
      </c>
      <c r="H182" s="10">
        <f>D182+фев!H182</f>
        <v>267.68399999999997</v>
      </c>
      <c r="I182" s="8">
        <f>E182+фев!I182</f>
        <v>267.75</v>
      </c>
      <c r="J182" s="8">
        <f>F182+фев!J182</f>
        <v>0</v>
      </c>
      <c r="K182" s="10">
        <f t="shared" si="57"/>
        <v>-267.75</v>
      </c>
      <c r="L182" s="16">
        <f t="shared" si="64"/>
        <v>-100</v>
      </c>
      <c r="M182" s="227" t="s">
        <v>300</v>
      </c>
      <c r="N182" s="228"/>
      <c r="Q182">
        <f t="shared" si="50"/>
        <v>267.68399999999997</v>
      </c>
      <c r="R182" s="44">
        <f>E182+фев!I182</f>
        <v>267.75</v>
      </c>
      <c r="S182" s="30">
        <f>F182+фев!J182</f>
        <v>0</v>
      </c>
    </row>
    <row r="183" spans="1:19" ht="53.25" customHeight="1">
      <c r="A183" s="8" t="s">
        <v>168</v>
      </c>
      <c r="B183" s="9" t="s">
        <v>174</v>
      </c>
      <c r="C183" s="8" t="s">
        <v>4</v>
      </c>
      <c r="D183" s="10">
        <v>95.709000000000003</v>
      </c>
      <c r="E183" s="8">
        <v>93.167000000000002</v>
      </c>
      <c r="F183" s="86">
        <v>51.609000000000002</v>
      </c>
      <c r="G183" s="10">
        <f t="shared" si="55"/>
        <v>-41.558</v>
      </c>
      <c r="H183" s="10">
        <f>D183+фев!H183</f>
        <v>287.12700000000001</v>
      </c>
      <c r="I183" s="8">
        <f>E183+фев!I183</f>
        <v>279.50099999999998</v>
      </c>
      <c r="J183" s="8">
        <f>F183+фев!J183</f>
        <v>241.14100000000002</v>
      </c>
      <c r="K183" s="10">
        <f t="shared" si="57"/>
        <v>-38.359999999999957</v>
      </c>
      <c r="L183" s="16">
        <f t="shared" si="64"/>
        <v>-13.724458946479604</v>
      </c>
      <c r="M183" s="222" t="s">
        <v>303</v>
      </c>
      <c r="N183" s="223"/>
      <c r="O183">
        <f>P183-J183</f>
        <v>22.856999999999971</v>
      </c>
      <c r="P183">
        <v>263.99799999999999</v>
      </c>
      <c r="Q183">
        <f t="shared" si="50"/>
        <v>287.12700000000001</v>
      </c>
      <c r="R183" s="44">
        <f>E183+фев!I183</f>
        <v>279.50099999999998</v>
      </c>
      <c r="S183" s="30">
        <f>F183+фев!J183</f>
        <v>241.14100000000002</v>
      </c>
    </row>
    <row r="184" spans="1:19" ht="33" customHeight="1">
      <c r="A184" s="65" t="s">
        <v>173</v>
      </c>
      <c r="B184" s="6" t="s">
        <v>176</v>
      </c>
      <c r="C184" s="65" t="s">
        <v>4</v>
      </c>
      <c r="D184" s="7">
        <f t="shared" ref="D184:F184" si="71">D185+D186+D187</f>
        <v>50.518000000000001</v>
      </c>
      <c r="E184" s="7">
        <v>50.5</v>
      </c>
      <c r="F184" s="7">
        <f t="shared" si="71"/>
        <v>0</v>
      </c>
      <c r="G184" s="10">
        <f t="shared" si="55"/>
        <v>-50.5</v>
      </c>
      <c r="H184" s="7">
        <f t="shared" ref="H184" si="72">H185+H186+H187</f>
        <v>151.554</v>
      </c>
      <c r="I184" s="8">
        <f>E184+фев!I184</f>
        <v>151.5</v>
      </c>
      <c r="J184" s="7">
        <f t="shared" ref="J184" si="73">J185+J186+J187</f>
        <v>0</v>
      </c>
      <c r="K184" s="10">
        <f t="shared" si="57"/>
        <v>-151.5</v>
      </c>
      <c r="L184" s="16">
        <f t="shared" si="64"/>
        <v>-100</v>
      </c>
      <c r="M184" s="229" t="s">
        <v>293</v>
      </c>
      <c r="N184" s="230"/>
      <c r="Q184">
        <f t="shared" si="50"/>
        <v>151.554</v>
      </c>
      <c r="R184" s="44">
        <f>E184+фев!I184</f>
        <v>151.5</v>
      </c>
      <c r="S184" s="30">
        <f>F184+фев!J184</f>
        <v>0</v>
      </c>
    </row>
    <row r="185" spans="1:19" ht="17.25" customHeight="1">
      <c r="A185" s="8" t="s">
        <v>268</v>
      </c>
      <c r="B185" s="9" t="s">
        <v>177</v>
      </c>
      <c r="C185" s="8" t="s">
        <v>4</v>
      </c>
      <c r="D185" s="10">
        <v>19.254000000000001</v>
      </c>
      <c r="E185" s="8"/>
      <c r="F185" s="8"/>
      <c r="G185" s="10">
        <f t="shared" si="55"/>
        <v>0</v>
      </c>
      <c r="H185" s="10">
        <f>D185+фев!H185</f>
        <v>57.762</v>
      </c>
      <c r="I185" s="8"/>
      <c r="J185" s="8">
        <f>F185+фев!J185</f>
        <v>0</v>
      </c>
      <c r="K185" s="10">
        <f t="shared" si="57"/>
        <v>0</v>
      </c>
      <c r="L185" s="16"/>
      <c r="M185" s="220"/>
      <c r="N185" s="221"/>
      <c r="Q185">
        <f t="shared" si="50"/>
        <v>57.762</v>
      </c>
      <c r="R185" s="44">
        <f>E185+фев!I185</f>
        <v>0</v>
      </c>
      <c r="S185" s="30">
        <f>F185+фев!J185</f>
        <v>0</v>
      </c>
    </row>
    <row r="186" spans="1:19" ht="17.25" customHeight="1">
      <c r="A186" s="8" t="s">
        <v>269</v>
      </c>
      <c r="B186" s="9" t="s">
        <v>178</v>
      </c>
      <c r="C186" s="8" t="s">
        <v>4</v>
      </c>
      <c r="D186" s="10">
        <v>8.7639999999999993</v>
      </c>
      <c r="E186" s="8"/>
      <c r="F186" s="8"/>
      <c r="G186" s="10">
        <f t="shared" si="55"/>
        <v>0</v>
      </c>
      <c r="H186" s="10">
        <f>D186+фев!H186</f>
        <v>26.291999999999998</v>
      </c>
      <c r="I186" s="8"/>
      <c r="J186" s="8">
        <f>F186+фев!J186</f>
        <v>0</v>
      </c>
      <c r="K186" s="10">
        <f t="shared" si="57"/>
        <v>0</v>
      </c>
      <c r="L186" s="16"/>
      <c r="M186" s="220"/>
      <c r="N186" s="221"/>
      <c r="Q186">
        <f t="shared" si="50"/>
        <v>26.291999999999998</v>
      </c>
      <c r="R186" s="44">
        <f>E186+фев!I186</f>
        <v>0</v>
      </c>
      <c r="S186" s="30">
        <f>F186+фев!J186</f>
        <v>0</v>
      </c>
    </row>
    <row r="187" spans="1:19" ht="17.25" customHeight="1">
      <c r="A187" s="8" t="s">
        <v>270</v>
      </c>
      <c r="B187" s="9" t="s">
        <v>179</v>
      </c>
      <c r="C187" s="8" t="s">
        <v>4</v>
      </c>
      <c r="D187" s="10">
        <v>22.5</v>
      </c>
      <c r="E187" s="8"/>
      <c r="F187" s="8"/>
      <c r="G187" s="10">
        <f t="shared" si="55"/>
        <v>0</v>
      </c>
      <c r="H187" s="10">
        <f>D187+фев!H187</f>
        <v>67.5</v>
      </c>
      <c r="I187" s="8"/>
      <c r="J187" s="8">
        <f>F187+фев!J187</f>
        <v>0</v>
      </c>
      <c r="K187" s="10">
        <f t="shared" si="57"/>
        <v>0</v>
      </c>
      <c r="L187" s="16"/>
      <c r="M187" s="220"/>
      <c r="N187" s="221"/>
      <c r="Q187">
        <f t="shared" si="50"/>
        <v>67.5</v>
      </c>
      <c r="R187" s="44">
        <f>E187+фев!I187</f>
        <v>0</v>
      </c>
      <c r="S187" s="30">
        <f>F187+фев!J187</f>
        <v>0</v>
      </c>
    </row>
    <row r="188" spans="1:19" ht="17.25" customHeight="1">
      <c r="A188" s="65" t="s">
        <v>175</v>
      </c>
      <c r="B188" s="6" t="s">
        <v>180</v>
      </c>
      <c r="C188" s="65" t="s">
        <v>4</v>
      </c>
      <c r="D188" s="7">
        <f>D189+D190+D191+D192+D197+D198+D199+D200+D204</f>
        <v>186.78400000000005</v>
      </c>
      <c r="E188" s="7">
        <f>E189+E190+E191+E192+E197+E198+E199+E200+E204</f>
        <v>193.416</v>
      </c>
      <c r="F188" s="7">
        <f>F189+F190+F191+F192+F197+F198+F199+F200+F204</f>
        <v>106.006</v>
      </c>
      <c r="G188" s="10">
        <f t="shared" si="55"/>
        <v>-87.41</v>
      </c>
      <c r="H188" s="7">
        <f>H189+H190+H191+H192+H197+H198+H199+H200+H204</f>
        <v>560.35199999999998</v>
      </c>
      <c r="I188" s="7">
        <f>I189+I190+I191+I192+I197+I198+I199+I200+I204</f>
        <v>580.24800000000005</v>
      </c>
      <c r="J188" s="7">
        <f>J189+J190+J191+J192+J197+J198+J199+J200+J204</f>
        <v>335.87599999999998</v>
      </c>
      <c r="K188" s="10">
        <f t="shared" si="57"/>
        <v>-244.37200000000007</v>
      </c>
      <c r="L188" s="16">
        <f t="shared" si="64"/>
        <v>-42.115095614289075</v>
      </c>
      <c r="M188" s="226"/>
      <c r="N188" s="221"/>
      <c r="Q188">
        <f t="shared" si="50"/>
        <v>560.35200000000009</v>
      </c>
      <c r="R188" s="44">
        <f>E188+фев!I188</f>
        <v>580.24800000000005</v>
      </c>
      <c r="S188" s="30">
        <f>F188+фев!J188</f>
        <v>335.87599999999998</v>
      </c>
    </row>
    <row r="189" spans="1:19" ht="17.25" customHeight="1">
      <c r="A189" s="18" t="s">
        <v>271</v>
      </c>
      <c r="B189" s="9" t="s">
        <v>181</v>
      </c>
      <c r="C189" s="8" t="s">
        <v>4</v>
      </c>
      <c r="D189" s="10">
        <v>0</v>
      </c>
      <c r="E189" s="8"/>
      <c r="F189" s="8"/>
      <c r="G189" s="10">
        <f t="shared" si="55"/>
        <v>0</v>
      </c>
      <c r="H189" s="10">
        <f>D189+фев!H189</f>
        <v>0</v>
      </c>
      <c r="I189" s="8">
        <f>E189+фев!I189</f>
        <v>0</v>
      </c>
      <c r="J189" s="8">
        <f>F189+фев!J189</f>
        <v>0</v>
      </c>
      <c r="K189" s="10">
        <f t="shared" si="57"/>
        <v>0</v>
      </c>
      <c r="L189" s="16"/>
      <c r="M189" s="220"/>
      <c r="N189" s="221"/>
      <c r="Q189">
        <f t="shared" si="50"/>
        <v>0</v>
      </c>
      <c r="R189" s="44">
        <f>E189+фев!I189</f>
        <v>0</v>
      </c>
      <c r="S189" s="30">
        <f>F189+фев!J189</f>
        <v>0</v>
      </c>
    </row>
    <row r="190" spans="1:19" ht="17.25" customHeight="1">
      <c r="A190" s="18" t="s">
        <v>272</v>
      </c>
      <c r="B190" s="9" t="s">
        <v>182</v>
      </c>
      <c r="C190" s="8" t="s">
        <v>4</v>
      </c>
      <c r="D190" s="10">
        <v>15.651</v>
      </c>
      <c r="E190" s="10">
        <v>22.25</v>
      </c>
      <c r="F190" s="86">
        <v>22.114000000000001</v>
      </c>
      <c r="G190" s="10">
        <f t="shared" si="55"/>
        <v>-0.13599999999999923</v>
      </c>
      <c r="H190" s="10">
        <f>D190+фев!H190</f>
        <v>46.953000000000003</v>
      </c>
      <c r="I190" s="8">
        <f>E190+фев!I190</f>
        <v>66.75</v>
      </c>
      <c r="J190" s="10">
        <f>F190+фев!J190</f>
        <v>101.96000000000001</v>
      </c>
      <c r="K190" s="10">
        <f t="shared" si="57"/>
        <v>35.210000000000008</v>
      </c>
      <c r="L190" s="16">
        <f t="shared" si="64"/>
        <v>52.749063670411999</v>
      </c>
      <c r="M190" s="220"/>
      <c r="N190" s="221"/>
      <c r="O190">
        <f>P190-J190</f>
        <v>0</v>
      </c>
      <c r="P190">
        <v>101.96</v>
      </c>
      <c r="Q190">
        <f t="shared" si="50"/>
        <v>46.953000000000003</v>
      </c>
      <c r="R190" s="44">
        <f>E190+фев!I190</f>
        <v>66.75</v>
      </c>
      <c r="S190" s="30">
        <f>F190+фев!J190</f>
        <v>101.96000000000001</v>
      </c>
    </row>
    <row r="191" spans="1:19" ht="33.75" customHeight="1">
      <c r="A191" s="18" t="s">
        <v>273</v>
      </c>
      <c r="B191" s="9" t="s">
        <v>237</v>
      </c>
      <c r="C191" s="8" t="s">
        <v>4</v>
      </c>
      <c r="D191" s="10">
        <v>1.4910000000000001</v>
      </c>
      <c r="E191" s="10">
        <v>1.5</v>
      </c>
      <c r="F191" s="10">
        <v>2.1</v>
      </c>
      <c r="G191" s="10">
        <f t="shared" si="55"/>
        <v>0.60000000000000009</v>
      </c>
      <c r="H191" s="10">
        <f>D191+фев!H191</f>
        <v>4.4730000000000008</v>
      </c>
      <c r="I191" s="8">
        <f>E191+фев!I191</f>
        <v>4.5</v>
      </c>
      <c r="J191" s="10">
        <f>F191+фев!J191</f>
        <v>5.09</v>
      </c>
      <c r="K191" s="10">
        <f t="shared" si="57"/>
        <v>0.58999999999999986</v>
      </c>
      <c r="L191" s="16">
        <f t="shared" si="64"/>
        <v>13.111111111111107</v>
      </c>
      <c r="M191" s="220"/>
      <c r="N191" s="221"/>
      <c r="O191" s="30">
        <f>P191-J191</f>
        <v>0</v>
      </c>
      <c r="P191" s="30">
        <v>5.09</v>
      </c>
      <c r="Q191">
        <f t="shared" si="50"/>
        <v>4.4730000000000008</v>
      </c>
      <c r="R191" s="44">
        <f>E191+фев!I191</f>
        <v>4.5</v>
      </c>
      <c r="S191" s="30">
        <f>F191+фев!J191</f>
        <v>5.09</v>
      </c>
    </row>
    <row r="192" spans="1:19" ht="36.75" customHeight="1">
      <c r="A192" s="18" t="s">
        <v>274</v>
      </c>
      <c r="B192" s="9" t="s">
        <v>183</v>
      </c>
      <c r="C192" s="8" t="s">
        <v>4</v>
      </c>
      <c r="D192" s="10">
        <f t="shared" ref="D192:F192" si="74">D193+D194+D195+D196</f>
        <v>149.55900000000003</v>
      </c>
      <c r="E192" s="10">
        <f t="shared" si="74"/>
        <v>149.583</v>
      </c>
      <c r="F192" s="10">
        <f t="shared" si="74"/>
        <v>79.56</v>
      </c>
      <c r="G192" s="10">
        <f t="shared" si="55"/>
        <v>-70.022999999999996</v>
      </c>
      <c r="H192" s="10">
        <f t="shared" ref="H192:J192" si="75">H193+H194+H195+H196</f>
        <v>448.67700000000002</v>
      </c>
      <c r="I192" s="10">
        <f t="shared" si="75"/>
        <v>448.74900000000002</v>
      </c>
      <c r="J192" s="10">
        <f t="shared" si="75"/>
        <v>222.74599999999998</v>
      </c>
      <c r="K192" s="10">
        <f t="shared" si="57"/>
        <v>-226.00300000000004</v>
      </c>
      <c r="L192" s="16">
        <f t="shared" si="64"/>
        <v>-50.362897744618941</v>
      </c>
      <c r="M192" s="220"/>
      <c r="N192" s="221"/>
      <c r="Q192">
        <f t="shared" si="50"/>
        <v>448.67700000000008</v>
      </c>
      <c r="R192" s="44">
        <f>E192+фев!I192</f>
        <v>448.74900000000002</v>
      </c>
      <c r="S192" s="30">
        <f>F192+фев!J192</f>
        <v>222.74599999999998</v>
      </c>
    </row>
    <row r="193" spans="1:19" ht="74.25" customHeight="1">
      <c r="A193" s="8" t="s">
        <v>275</v>
      </c>
      <c r="B193" s="9" t="s">
        <v>184</v>
      </c>
      <c r="C193" s="8" t="s">
        <v>4</v>
      </c>
      <c r="D193" s="10">
        <v>33.363999999999997</v>
      </c>
      <c r="E193" s="8">
        <v>33.332999999999998</v>
      </c>
      <c r="F193" s="87">
        <f>31.9+30.273</f>
        <v>62.173000000000002</v>
      </c>
      <c r="G193" s="10">
        <f t="shared" si="55"/>
        <v>28.840000000000003</v>
      </c>
      <c r="H193" s="10">
        <f>D193+фев!H193</f>
        <v>100.09199999999998</v>
      </c>
      <c r="I193" s="8">
        <f>E193+фев!I193</f>
        <v>99.998999999999995</v>
      </c>
      <c r="J193" s="8">
        <f>F193+фев!J193</f>
        <v>155.32599999999999</v>
      </c>
      <c r="K193" s="10">
        <f t="shared" si="57"/>
        <v>55.326999999999998</v>
      </c>
      <c r="L193" s="16">
        <f t="shared" si="64"/>
        <v>55.327553275532757</v>
      </c>
      <c r="M193" s="220"/>
      <c r="N193" s="221"/>
      <c r="O193">
        <f>J193-P193</f>
        <v>0</v>
      </c>
      <c r="P193">
        <f>44.395+110.931</f>
        <v>155.32599999999999</v>
      </c>
      <c r="Q193">
        <f t="shared" si="50"/>
        <v>100.09199999999998</v>
      </c>
      <c r="R193" s="44">
        <f>E193+фев!I193</f>
        <v>99.998999999999995</v>
      </c>
      <c r="S193" s="30">
        <f>F193+фев!J193</f>
        <v>155.32599999999999</v>
      </c>
    </row>
    <row r="194" spans="1:19" ht="93" customHeight="1">
      <c r="A194" s="8" t="s">
        <v>276</v>
      </c>
      <c r="B194" s="9" t="s">
        <v>238</v>
      </c>
      <c r="C194" s="8" t="s">
        <v>4</v>
      </c>
      <c r="D194" s="10">
        <v>89.792000000000002</v>
      </c>
      <c r="E194" s="8">
        <v>89.832999999999998</v>
      </c>
      <c r="F194" s="8"/>
      <c r="G194" s="10">
        <f t="shared" si="55"/>
        <v>-89.832999999999998</v>
      </c>
      <c r="H194" s="10">
        <f>D194+фев!H194</f>
        <v>269.37599999999998</v>
      </c>
      <c r="I194" s="8">
        <f>E194+фев!I194</f>
        <v>269.49900000000002</v>
      </c>
      <c r="J194" s="8">
        <f>F194+фев!J194</f>
        <v>0</v>
      </c>
      <c r="K194" s="10">
        <f t="shared" si="57"/>
        <v>-269.49900000000002</v>
      </c>
      <c r="L194" s="16">
        <f t="shared" si="64"/>
        <v>-100</v>
      </c>
      <c r="M194" s="220"/>
      <c r="N194" s="221"/>
      <c r="Q194">
        <f t="shared" si="50"/>
        <v>269.37599999999998</v>
      </c>
      <c r="R194" s="44">
        <f>E194+фев!I194</f>
        <v>269.49900000000002</v>
      </c>
      <c r="S194" s="30">
        <f>F194+фев!J194</f>
        <v>0</v>
      </c>
    </row>
    <row r="195" spans="1:19" ht="90.75" customHeight="1">
      <c r="A195" s="8" t="s">
        <v>277</v>
      </c>
      <c r="B195" s="9" t="s">
        <v>185</v>
      </c>
      <c r="C195" s="8" t="s">
        <v>4</v>
      </c>
      <c r="D195" s="10">
        <v>7.9660000000000002</v>
      </c>
      <c r="E195" s="8">
        <v>8</v>
      </c>
      <c r="F195" s="8"/>
      <c r="G195" s="10">
        <f t="shared" si="55"/>
        <v>-8</v>
      </c>
      <c r="H195" s="10">
        <f>D195+фев!H195</f>
        <v>23.898</v>
      </c>
      <c r="I195" s="8">
        <f>E195+фев!I195</f>
        <v>24</v>
      </c>
      <c r="J195" s="8">
        <f>F195+фев!J195</f>
        <v>15.260999999999999</v>
      </c>
      <c r="K195" s="10">
        <f t="shared" si="57"/>
        <v>-8.7390000000000008</v>
      </c>
      <c r="L195" s="16">
        <f t="shared" si="64"/>
        <v>-36.412500000000001</v>
      </c>
      <c r="M195" s="220"/>
      <c r="N195" s="221"/>
      <c r="Q195">
        <f t="shared" si="50"/>
        <v>23.898</v>
      </c>
      <c r="R195" s="44">
        <f>E195+фев!I195</f>
        <v>24</v>
      </c>
      <c r="S195" s="30">
        <f>F195+фев!J195</f>
        <v>15.260999999999999</v>
      </c>
    </row>
    <row r="196" spans="1:19" ht="37.5" customHeight="1">
      <c r="A196" s="8" t="s">
        <v>278</v>
      </c>
      <c r="B196" s="9" t="s">
        <v>186</v>
      </c>
      <c r="C196" s="8" t="s">
        <v>4</v>
      </c>
      <c r="D196" s="10">
        <v>18.437000000000001</v>
      </c>
      <c r="E196" s="8">
        <v>18.417000000000002</v>
      </c>
      <c r="F196" s="86">
        <v>17.387</v>
      </c>
      <c r="G196" s="10">
        <f t="shared" si="55"/>
        <v>-1.0300000000000011</v>
      </c>
      <c r="H196" s="10">
        <f>D196+фев!H196</f>
        <v>55.311000000000007</v>
      </c>
      <c r="I196" s="8">
        <f>E196+фев!I196</f>
        <v>55.251000000000005</v>
      </c>
      <c r="J196" s="8">
        <f>F196+фев!J196</f>
        <v>52.158999999999999</v>
      </c>
      <c r="K196" s="10">
        <f t="shared" si="57"/>
        <v>-3.0920000000000059</v>
      </c>
      <c r="L196" s="16">
        <f t="shared" si="64"/>
        <v>-5.5962788003837138</v>
      </c>
      <c r="M196" s="220"/>
      <c r="N196" s="221"/>
      <c r="Q196">
        <f t="shared" si="50"/>
        <v>55.311000000000007</v>
      </c>
      <c r="R196" s="44">
        <f>E196+фев!I196</f>
        <v>55.251000000000005</v>
      </c>
      <c r="S196" s="30">
        <f>F196+фев!J196</f>
        <v>52.158999999999999</v>
      </c>
    </row>
    <row r="197" spans="1:19" ht="17.25" customHeight="1">
      <c r="A197" s="18" t="s">
        <v>279</v>
      </c>
      <c r="B197" s="26" t="s">
        <v>187</v>
      </c>
      <c r="C197" s="8" t="s">
        <v>4</v>
      </c>
      <c r="D197" s="10">
        <v>15.818</v>
      </c>
      <c r="E197" s="8">
        <v>15.833</v>
      </c>
      <c r="F197" s="8"/>
      <c r="G197" s="10">
        <f t="shared" si="55"/>
        <v>-15.833</v>
      </c>
      <c r="H197" s="10">
        <f>D197+фев!H197</f>
        <v>47.454000000000001</v>
      </c>
      <c r="I197" s="8">
        <f>E197+фев!I197</f>
        <v>47.499000000000002</v>
      </c>
      <c r="J197" s="8">
        <f>F197+фев!J197</f>
        <v>0</v>
      </c>
      <c r="K197" s="10">
        <f t="shared" si="57"/>
        <v>-47.499000000000002</v>
      </c>
      <c r="L197" s="16">
        <f t="shared" si="64"/>
        <v>-100</v>
      </c>
      <c r="M197" s="220"/>
      <c r="N197" s="221"/>
      <c r="Q197">
        <f t="shared" si="50"/>
        <v>47.454000000000001</v>
      </c>
      <c r="R197" s="44">
        <f>E197+фев!I197</f>
        <v>47.499000000000002</v>
      </c>
      <c r="S197" s="30">
        <f>F197+фев!J197</f>
        <v>0</v>
      </c>
    </row>
    <row r="198" spans="1:19" ht="17.25" customHeight="1">
      <c r="A198" s="18"/>
      <c r="B198" s="26" t="s">
        <v>125</v>
      </c>
      <c r="C198" s="8" t="s">
        <v>4</v>
      </c>
      <c r="D198" s="10">
        <v>0.34200000000000003</v>
      </c>
      <c r="E198" s="8">
        <v>0.33300000000000002</v>
      </c>
      <c r="F198" s="8"/>
      <c r="G198" s="10">
        <f t="shared" si="55"/>
        <v>-0.33300000000000002</v>
      </c>
      <c r="H198" s="10">
        <f>D198+фев!H198</f>
        <v>1.026</v>
      </c>
      <c r="I198" s="8">
        <f>E198+фев!I198</f>
        <v>0.99900000000000011</v>
      </c>
      <c r="J198" s="8">
        <f>F198+фев!J198</f>
        <v>0</v>
      </c>
      <c r="K198" s="10">
        <f t="shared" si="57"/>
        <v>-0.99900000000000011</v>
      </c>
      <c r="L198" s="16">
        <f t="shared" si="64"/>
        <v>-100</v>
      </c>
      <c r="M198" s="220"/>
      <c r="N198" s="221"/>
      <c r="Q198">
        <f t="shared" si="50"/>
        <v>1.026</v>
      </c>
      <c r="R198" s="44">
        <f>E198+фев!I198</f>
        <v>0.99900000000000011</v>
      </c>
      <c r="S198" s="30">
        <f>F198+фев!J198</f>
        <v>0</v>
      </c>
    </row>
    <row r="199" spans="1:19" ht="17.25" customHeight="1">
      <c r="A199" s="18" t="s">
        <v>280</v>
      </c>
      <c r="B199" s="26" t="s">
        <v>188</v>
      </c>
      <c r="C199" s="8" t="s">
        <v>4</v>
      </c>
      <c r="D199" s="10">
        <v>0</v>
      </c>
      <c r="E199" s="8"/>
      <c r="F199" s="8"/>
      <c r="G199" s="10">
        <f t="shared" si="55"/>
        <v>0</v>
      </c>
      <c r="H199" s="10">
        <f>D199+фев!H199</f>
        <v>0</v>
      </c>
      <c r="I199" s="8">
        <f>E199+фев!I199</f>
        <v>0</v>
      </c>
      <c r="J199" s="8">
        <f>F199+фев!J199</f>
        <v>0</v>
      </c>
      <c r="K199" s="10">
        <f t="shared" si="57"/>
        <v>0</v>
      </c>
      <c r="L199" s="16"/>
      <c r="M199" s="220"/>
      <c r="N199" s="221"/>
      <c r="Q199">
        <f t="shared" si="50"/>
        <v>0</v>
      </c>
      <c r="R199" s="44">
        <f>E199+фев!I199</f>
        <v>0</v>
      </c>
      <c r="S199" s="30">
        <f>F199+фев!J199</f>
        <v>0</v>
      </c>
    </row>
    <row r="200" spans="1:19" ht="27" customHeight="1">
      <c r="A200" s="18" t="s">
        <v>281</v>
      </c>
      <c r="B200" s="26" t="s">
        <v>189</v>
      </c>
      <c r="C200" s="8" t="s">
        <v>4</v>
      </c>
      <c r="D200" s="10">
        <v>3.923</v>
      </c>
      <c r="E200" s="8">
        <v>3.9169999999999998</v>
      </c>
      <c r="F200" s="87">
        <v>2.2320000000000002</v>
      </c>
      <c r="G200" s="10">
        <f t="shared" si="55"/>
        <v>-1.6849999999999996</v>
      </c>
      <c r="H200" s="10">
        <f>D200+фев!H200</f>
        <v>11.769</v>
      </c>
      <c r="I200" s="8">
        <f>E200+фев!I200</f>
        <v>11.750999999999999</v>
      </c>
      <c r="J200" s="10">
        <f>F200+фев!J200</f>
        <v>6.08</v>
      </c>
      <c r="K200" s="10">
        <f t="shared" si="57"/>
        <v>-5.6709999999999994</v>
      </c>
      <c r="L200" s="16">
        <f t="shared" si="64"/>
        <v>-48.25972257680197</v>
      </c>
      <c r="M200" s="222" t="s">
        <v>289</v>
      </c>
      <c r="N200" s="223"/>
      <c r="O200">
        <f>P200-J200</f>
        <v>0</v>
      </c>
      <c r="P200">
        <v>6.08</v>
      </c>
      <c r="Q200">
        <f t="shared" si="50"/>
        <v>11.769</v>
      </c>
      <c r="R200" s="44">
        <f>E200+фев!I200</f>
        <v>11.750999999999999</v>
      </c>
      <c r="S200" s="30">
        <f>F200+фев!J200</f>
        <v>6.08</v>
      </c>
    </row>
    <row r="201" spans="1:19" ht="17.25" hidden="1" customHeight="1">
      <c r="A201" s="18" t="s">
        <v>282</v>
      </c>
      <c r="B201" s="26" t="s">
        <v>225</v>
      </c>
      <c r="C201" s="8" t="s">
        <v>4</v>
      </c>
      <c r="D201" s="10">
        <v>0</v>
      </c>
      <c r="E201" s="8"/>
      <c r="F201" s="8"/>
      <c r="G201" s="10">
        <f t="shared" si="55"/>
        <v>0</v>
      </c>
      <c r="H201" s="10">
        <f>D201+фев!H201</f>
        <v>0</v>
      </c>
      <c r="I201" s="8">
        <f>E201+фев!I201</f>
        <v>0</v>
      </c>
      <c r="J201" s="8">
        <f>F201+фев!J201</f>
        <v>0</v>
      </c>
      <c r="K201" s="10">
        <f t="shared" si="57"/>
        <v>0</v>
      </c>
      <c r="L201" s="16" t="e">
        <f t="shared" si="64"/>
        <v>#DIV/0!</v>
      </c>
      <c r="M201" s="222" t="s">
        <v>290</v>
      </c>
      <c r="N201" s="223"/>
      <c r="Q201">
        <f t="shared" ref="Q201:Q218" si="76">D201*3</f>
        <v>0</v>
      </c>
      <c r="R201" s="44">
        <f>E201+фев!I201</f>
        <v>0</v>
      </c>
      <c r="S201" s="30">
        <f>F201+фев!J201</f>
        <v>0</v>
      </c>
    </row>
    <row r="202" spans="1:19" ht="17.25" hidden="1" customHeight="1">
      <c r="A202" s="18" t="s">
        <v>283</v>
      </c>
      <c r="B202" s="26" t="s">
        <v>228</v>
      </c>
      <c r="C202" s="8" t="s">
        <v>4</v>
      </c>
      <c r="D202" s="10">
        <v>0</v>
      </c>
      <c r="E202" s="8"/>
      <c r="F202" s="8"/>
      <c r="G202" s="10">
        <f t="shared" si="55"/>
        <v>0</v>
      </c>
      <c r="H202" s="10">
        <f>D202+фев!H202</f>
        <v>0</v>
      </c>
      <c r="I202" s="8">
        <f>E202+фев!I202</f>
        <v>0</v>
      </c>
      <c r="J202" s="8">
        <f>F202+фев!J202</f>
        <v>0</v>
      </c>
      <c r="K202" s="10">
        <f t="shared" si="57"/>
        <v>0</v>
      </c>
      <c r="L202" s="16" t="e">
        <f t="shared" si="64"/>
        <v>#DIV/0!</v>
      </c>
      <c r="M202" s="222" t="s">
        <v>290</v>
      </c>
      <c r="N202" s="223"/>
      <c r="Q202">
        <f t="shared" si="76"/>
        <v>0</v>
      </c>
      <c r="R202" s="44">
        <f>E202+фев!I202</f>
        <v>0</v>
      </c>
      <c r="S202" s="30">
        <f>F202+фев!J202</f>
        <v>0</v>
      </c>
    </row>
    <row r="203" spans="1:19" ht="34.5" hidden="1" customHeight="1">
      <c r="A203" s="18" t="s">
        <v>284</v>
      </c>
      <c r="B203" s="26" t="s">
        <v>231</v>
      </c>
      <c r="C203" s="8" t="s">
        <v>4</v>
      </c>
      <c r="D203" s="10">
        <v>0</v>
      </c>
      <c r="E203" s="8"/>
      <c r="F203" s="8"/>
      <c r="G203" s="10">
        <f t="shared" si="55"/>
        <v>0</v>
      </c>
      <c r="H203" s="10">
        <f>D203+фев!H203</f>
        <v>0</v>
      </c>
      <c r="I203" s="8">
        <f>E203+фев!I203</f>
        <v>0</v>
      </c>
      <c r="J203" s="8">
        <f>F203+фев!J203</f>
        <v>0</v>
      </c>
      <c r="K203" s="10">
        <f t="shared" si="57"/>
        <v>0</v>
      </c>
      <c r="L203" s="16" t="e">
        <f t="shared" si="64"/>
        <v>#DIV/0!</v>
      </c>
      <c r="M203" s="222" t="s">
        <v>290</v>
      </c>
      <c r="N203" s="223"/>
      <c r="Q203">
        <f t="shared" si="76"/>
        <v>0</v>
      </c>
      <c r="R203" s="44">
        <f>E203+фев!I203</f>
        <v>0</v>
      </c>
      <c r="S203" s="30">
        <f>F203+фев!J203</f>
        <v>0</v>
      </c>
    </row>
    <row r="204" spans="1:19" ht="17.25" customHeight="1">
      <c r="A204" s="18" t="s">
        <v>282</v>
      </c>
      <c r="B204" s="26" t="s">
        <v>230</v>
      </c>
      <c r="C204" s="8" t="s">
        <v>4</v>
      </c>
      <c r="D204" s="10">
        <v>0</v>
      </c>
      <c r="E204" s="8"/>
      <c r="F204" s="8"/>
      <c r="G204" s="10">
        <f t="shared" si="55"/>
        <v>0</v>
      </c>
      <c r="H204" s="10">
        <f>D204+фев!H204</f>
        <v>0</v>
      </c>
      <c r="I204" s="8">
        <f>E204+фев!I204</f>
        <v>0</v>
      </c>
      <c r="J204" s="8">
        <f>F204+фев!J204</f>
        <v>0</v>
      </c>
      <c r="K204" s="10">
        <f t="shared" si="57"/>
        <v>0</v>
      </c>
      <c r="L204" s="16"/>
      <c r="M204" s="220"/>
      <c r="N204" s="221"/>
      <c r="Q204">
        <f t="shared" si="76"/>
        <v>0</v>
      </c>
      <c r="R204" s="44">
        <f>E204+фев!I204</f>
        <v>0</v>
      </c>
      <c r="S204" s="30">
        <f>F204+фев!J204</f>
        <v>0</v>
      </c>
    </row>
    <row r="205" spans="1:19" ht="21" customHeight="1">
      <c r="A205" s="65" t="s">
        <v>190</v>
      </c>
      <c r="B205" s="6" t="s">
        <v>191</v>
      </c>
      <c r="C205" s="65" t="s">
        <v>4</v>
      </c>
      <c r="D205" s="7">
        <f>D8+D138</f>
        <v>76555.231</v>
      </c>
      <c r="E205" s="21">
        <f>E8+E138</f>
        <v>71086.831999999995</v>
      </c>
      <c r="F205" s="7">
        <f>F8+F138</f>
        <v>71845.146500000003</v>
      </c>
      <c r="G205" s="10">
        <f t="shared" ref="G205:G213" si="77">F205-E205</f>
        <v>758.31450000000768</v>
      </c>
      <c r="H205" s="7">
        <f>H8+H138</f>
        <v>229665.693</v>
      </c>
      <c r="I205" s="21">
        <f>I8+I138</f>
        <v>213260.49600000001</v>
      </c>
      <c r="J205" s="7">
        <f>J8+J138</f>
        <v>213856.26349999997</v>
      </c>
      <c r="K205" s="10">
        <f t="shared" ref="K205:K213" si="78">J205-I205</f>
        <v>595.76749999995809</v>
      </c>
      <c r="L205" s="16">
        <f t="shared" ref="L205:L213" si="79">K205/I205*100</f>
        <v>0.27936139658981102</v>
      </c>
      <c r="M205" s="220"/>
      <c r="N205" s="221"/>
      <c r="Q205">
        <f t="shared" si="76"/>
        <v>229665.693</v>
      </c>
      <c r="R205" s="44">
        <f>E205+фев!I205</f>
        <v>213260.49599999998</v>
      </c>
      <c r="S205" s="30">
        <f>F205+фев!J205</f>
        <v>213856.26249999998</v>
      </c>
    </row>
    <row r="206" spans="1:19" ht="17.25" customHeight="1">
      <c r="A206" s="65" t="s">
        <v>192</v>
      </c>
      <c r="B206" s="6" t="s">
        <v>193</v>
      </c>
      <c r="C206" s="65" t="s">
        <v>4</v>
      </c>
      <c r="D206" s="7">
        <v>1469.992</v>
      </c>
      <c r="E206" s="81">
        <v>1470.0830000000001</v>
      </c>
      <c r="F206" s="21">
        <f>F209-F205</f>
        <v>-23223.5193</v>
      </c>
      <c r="G206" s="16">
        <f t="shared" si="77"/>
        <v>-24693.602299999999</v>
      </c>
      <c r="H206" s="10">
        <f>D206+фев!H206</f>
        <v>4409.9759999999997</v>
      </c>
      <c r="I206" s="8">
        <f>E206+фев!I206</f>
        <v>4410.2489999999998</v>
      </c>
      <c r="J206" s="8">
        <f>F206+фев!J206</f>
        <v>4919.3374999999796</v>
      </c>
      <c r="K206" s="10">
        <f t="shared" si="78"/>
        <v>509.08849999997983</v>
      </c>
      <c r="L206" s="16">
        <f t="shared" si="79"/>
        <v>11.543305151250641</v>
      </c>
      <c r="M206" s="220"/>
      <c r="N206" s="221"/>
      <c r="Q206">
        <f t="shared" si="76"/>
        <v>4409.9759999999997</v>
      </c>
      <c r="R206" s="44">
        <f>E206+фев!I206</f>
        <v>4410.2489999999998</v>
      </c>
      <c r="S206" s="30">
        <f>F206+фев!J206</f>
        <v>4919.3374999999796</v>
      </c>
    </row>
    <row r="207" spans="1:19" ht="17.25" customHeight="1">
      <c r="A207" s="65" t="s">
        <v>194</v>
      </c>
      <c r="B207" s="6" t="s">
        <v>195</v>
      </c>
      <c r="C207" s="65" t="s">
        <v>4</v>
      </c>
      <c r="D207" s="7">
        <f>D205+D206</f>
        <v>78025.222999999998</v>
      </c>
      <c r="E207" s="21">
        <f>E205+E206</f>
        <v>72556.914999999994</v>
      </c>
      <c r="F207" s="7">
        <f>F205+F206</f>
        <v>48621.627200000003</v>
      </c>
      <c r="G207" s="16">
        <f t="shared" si="77"/>
        <v>-23935.287799999991</v>
      </c>
      <c r="H207" s="7">
        <f>H205+H206</f>
        <v>234075.66899999999</v>
      </c>
      <c r="I207" s="21">
        <f>I205+I206</f>
        <v>217670.74500000002</v>
      </c>
      <c r="J207" s="7">
        <f>J205+J206</f>
        <v>218775.60099999997</v>
      </c>
      <c r="K207" s="10">
        <f t="shared" si="78"/>
        <v>1104.8559999999416</v>
      </c>
      <c r="L207" s="16">
        <f t="shared" si="79"/>
        <v>0.50758130129059897</v>
      </c>
      <c r="M207" s="220"/>
      <c r="N207" s="221"/>
      <c r="Q207">
        <f t="shared" si="76"/>
        <v>234075.66899999999</v>
      </c>
      <c r="R207" s="44">
        <f>E207+фев!I207</f>
        <v>217670.745</v>
      </c>
      <c r="S207" s="30">
        <f>F207+фев!J207</f>
        <v>218775.59999999998</v>
      </c>
    </row>
    <row r="208" spans="1:19" ht="17.25" customHeight="1">
      <c r="A208" s="224" t="s">
        <v>196</v>
      </c>
      <c r="B208" s="225" t="s">
        <v>197</v>
      </c>
      <c r="C208" s="65" t="s">
        <v>114</v>
      </c>
      <c r="D208" s="7">
        <v>559.39200000000005</v>
      </c>
      <c r="E208" s="81">
        <v>523.61</v>
      </c>
      <c r="F208" s="81">
        <v>352.53500000000003</v>
      </c>
      <c r="G208" s="10">
        <f t="shared" si="77"/>
        <v>-171.07499999999999</v>
      </c>
      <c r="H208" s="10">
        <f>D208+фев!H208</f>
        <v>1678.1760000000002</v>
      </c>
      <c r="I208" s="8">
        <f>E208+фев!I208</f>
        <v>1570.83</v>
      </c>
      <c r="J208" s="8">
        <f>F208+фев!J208</f>
        <v>1586.25</v>
      </c>
      <c r="K208" s="10">
        <f t="shared" si="78"/>
        <v>15.420000000000073</v>
      </c>
      <c r="L208" s="16">
        <f t="shared" si="79"/>
        <v>0.9816466454040268</v>
      </c>
      <c r="M208" s="220"/>
      <c r="N208" s="221"/>
      <c r="Q208">
        <f t="shared" si="76"/>
        <v>1678.1760000000002</v>
      </c>
      <c r="R208" s="44">
        <f>E208+фев!I208</f>
        <v>1570.83</v>
      </c>
      <c r="S208" s="30">
        <f>F208+фев!J208</f>
        <v>1586.25</v>
      </c>
    </row>
    <row r="209" spans="1:20" ht="17.25" customHeight="1">
      <c r="A209" s="224"/>
      <c r="B209" s="225"/>
      <c r="C209" s="65" t="s">
        <v>4</v>
      </c>
      <c r="D209" s="7">
        <f>D207</f>
        <v>78025.222999999998</v>
      </c>
      <c r="E209" s="21">
        <f>E207</f>
        <v>72556.914999999994</v>
      </c>
      <c r="F209" s="81">
        <f>F213*F208</f>
        <v>48621.627200000003</v>
      </c>
      <c r="G209" s="16">
        <f t="shared" si="77"/>
        <v>-23935.287799999991</v>
      </c>
      <c r="H209" s="10">
        <f>D209+фев!H209</f>
        <v>234075.66899999999</v>
      </c>
      <c r="I209" s="21">
        <f>I207</f>
        <v>217670.74500000002</v>
      </c>
      <c r="J209" s="81">
        <f>J213*J208</f>
        <v>218775.59999999998</v>
      </c>
      <c r="K209" s="10">
        <f t="shared" si="78"/>
        <v>1104.8549999999523</v>
      </c>
      <c r="L209" s="16">
        <f t="shared" si="79"/>
        <v>0.50758084188114116</v>
      </c>
      <c r="M209" s="220"/>
      <c r="N209" s="221"/>
      <c r="Q209">
        <f t="shared" si="76"/>
        <v>234075.66899999999</v>
      </c>
      <c r="R209" s="44">
        <f>E209+фев!I209</f>
        <v>217670.745</v>
      </c>
      <c r="S209" s="30">
        <f>F209+фев!J209</f>
        <v>218775.59999999998</v>
      </c>
    </row>
    <row r="210" spans="1:20" ht="17.25" customHeight="1">
      <c r="A210" s="65" t="s">
        <v>198</v>
      </c>
      <c r="B210" s="66" t="s">
        <v>199</v>
      </c>
      <c r="C210" s="65" t="s">
        <v>114</v>
      </c>
      <c r="D210" s="7">
        <v>761.69899999999996</v>
      </c>
      <c r="E210" s="21">
        <v>713</v>
      </c>
      <c r="F210" s="81">
        <v>435.22899999999998</v>
      </c>
      <c r="G210" s="10">
        <f t="shared" si="77"/>
        <v>-277.77100000000002</v>
      </c>
      <c r="H210" s="10">
        <f>D210+фев!H210</f>
        <v>2285.0969999999998</v>
      </c>
      <c r="I210" s="8">
        <f>E210+фев!I210</f>
        <v>2139</v>
      </c>
      <c r="J210" s="8">
        <f>F210+фев!J210</f>
        <v>2033.5720000000001</v>
      </c>
      <c r="K210" s="10">
        <f t="shared" si="78"/>
        <v>-105.42799999999988</v>
      </c>
      <c r="L210" s="16">
        <f t="shared" si="79"/>
        <v>-4.9288452547919537</v>
      </c>
      <c r="M210" s="220"/>
      <c r="N210" s="221"/>
      <c r="Q210">
        <f t="shared" si="76"/>
        <v>2285.0969999999998</v>
      </c>
      <c r="R210" s="44">
        <f>E210+фев!I210</f>
        <v>2139</v>
      </c>
      <c r="S210" s="30">
        <f>F210+фев!J210</f>
        <v>2033.5720000000001</v>
      </c>
    </row>
    <row r="211" spans="1:20" ht="17.25" customHeight="1">
      <c r="A211" s="224" t="s">
        <v>200</v>
      </c>
      <c r="B211" s="225" t="s">
        <v>201</v>
      </c>
      <c r="C211" s="65" t="s">
        <v>202</v>
      </c>
      <c r="D211" s="21">
        <f>D212/D210*100</f>
        <v>26.559966600980168</v>
      </c>
      <c r="E211" s="21">
        <f>E212/E210*100</f>
        <v>26.562412342215985</v>
      </c>
      <c r="F211" s="21">
        <f>F212/F210*100</f>
        <v>19.000112584409578</v>
      </c>
      <c r="G211" s="10">
        <f t="shared" si="77"/>
        <v>-7.5622997578064073</v>
      </c>
      <c r="H211" s="21">
        <f>H212/H210*100</f>
        <v>26.559966600980161</v>
      </c>
      <c r="I211" s="21">
        <f>I212/I210*100</f>
        <v>26.562412342215993</v>
      </c>
      <c r="J211" s="21">
        <f>J212/J210*100</f>
        <v>21.996860696351057</v>
      </c>
      <c r="K211" s="10">
        <f t="shared" si="78"/>
        <v>-4.5655516458649359</v>
      </c>
      <c r="L211" s="16">
        <f t="shared" si="79"/>
        <v>-17.188015858818833</v>
      </c>
      <c r="M211" s="220"/>
      <c r="N211" s="221"/>
      <c r="Q211">
        <f t="shared" si="76"/>
        <v>79.679899802940497</v>
      </c>
      <c r="R211" s="44">
        <f>E211+фев!I211</f>
        <v>53.124824684431971</v>
      </c>
      <c r="S211" s="30">
        <f>F211+фев!J211</f>
        <v>41.812988168686559</v>
      </c>
    </row>
    <row r="212" spans="1:20" ht="17.25" customHeight="1">
      <c r="A212" s="224"/>
      <c r="B212" s="225"/>
      <c r="C212" s="65" t="s">
        <v>114</v>
      </c>
      <c r="D212" s="7">
        <f>D210-D208</f>
        <v>202.3069999999999</v>
      </c>
      <c r="E212" s="7">
        <f>E210-E208</f>
        <v>189.39</v>
      </c>
      <c r="F212" s="7">
        <f>F210-F208</f>
        <v>82.69399999999996</v>
      </c>
      <c r="G212" s="10">
        <f t="shared" si="77"/>
        <v>-106.69600000000003</v>
      </c>
      <c r="H212" s="7">
        <f>H210-H208</f>
        <v>606.92099999999959</v>
      </c>
      <c r="I212" s="7">
        <f>I210-I208</f>
        <v>568.17000000000007</v>
      </c>
      <c r="J212" s="7">
        <f>J210-J208</f>
        <v>447.32200000000012</v>
      </c>
      <c r="K212" s="10">
        <f t="shared" si="78"/>
        <v>-120.84799999999996</v>
      </c>
      <c r="L212" s="16">
        <f t="shared" si="79"/>
        <v>-21.269690409560507</v>
      </c>
      <c r="M212" s="220"/>
      <c r="N212" s="221"/>
      <c r="Q212">
        <f t="shared" si="76"/>
        <v>606.92099999999971</v>
      </c>
      <c r="R212" s="44">
        <f>E212+фев!I212</f>
        <v>568.16999999999996</v>
      </c>
      <c r="S212" s="30">
        <f>F212+фев!J212</f>
        <v>447.32200000000012</v>
      </c>
    </row>
    <row r="213" spans="1:20" s="1" customFormat="1" ht="21" customHeight="1">
      <c r="A213" s="65" t="s">
        <v>203</v>
      </c>
      <c r="B213" s="6" t="s">
        <v>204</v>
      </c>
      <c r="C213" s="65" t="s">
        <v>205</v>
      </c>
      <c r="D213" s="21">
        <f>D207/D208</f>
        <v>139.48219316686686</v>
      </c>
      <c r="E213" s="21">
        <f>E209/E208</f>
        <v>138.57052959263572</v>
      </c>
      <c r="F213" s="81">
        <v>137.91999999999999</v>
      </c>
      <c r="G213" s="10">
        <f t="shared" si="77"/>
        <v>-0.65052959263573484</v>
      </c>
      <c r="H213" s="21">
        <f>H207/H208</f>
        <v>139.48219316686686</v>
      </c>
      <c r="I213" s="21">
        <f>I207/I208</f>
        <v>138.57052959263575</v>
      </c>
      <c r="J213" s="81">
        <v>137.91999999999999</v>
      </c>
      <c r="K213" s="10">
        <f t="shared" si="78"/>
        <v>-0.65052959263576327</v>
      </c>
      <c r="L213" s="16">
        <f t="shared" si="79"/>
        <v>-0.46945739079453963</v>
      </c>
      <c r="M213" s="220"/>
      <c r="N213" s="221"/>
      <c r="O213"/>
      <c r="P213"/>
      <c r="Q213">
        <f t="shared" si="76"/>
        <v>418.44657950060059</v>
      </c>
      <c r="R213" s="44">
        <f>E213+фев!I213</f>
        <v>277.14105918527144</v>
      </c>
      <c r="S213" s="30">
        <f>F213+фев!J213</f>
        <v>275.83999999999997</v>
      </c>
      <c r="T213"/>
    </row>
    <row r="214" spans="1:20" ht="17.25" customHeight="1">
      <c r="A214" s="8"/>
      <c r="B214" s="9" t="s">
        <v>206</v>
      </c>
      <c r="C214" s="8"/>
      <c r="D214" s="21"/>
      <c r="E214" s="8"/>
      <c r="F214" s="8"/>
      <c r="G214" s="8"/>
      <c r="H214" s="21"/>
      <c r="I214" s="8"/>
      <c r="J214" s="8"/>
      <c r="K214" s="8"/>
      <c r="L214" s="16"/>
      <c r="M214" s="220"/>
      <c r="N214" s="221"/>
      <c r="Q214">
        <f t="shared" si="76"/>
        <v>0</v>
      </c>
      <c r="R214" s="44">
        <f>E214+фев!I214</f>
        <v>0</v>
      </c>
      <c r="S214" s="30">
        <f>F214+фев!J214</f>
        <v>0</v>
      </c>
    </row>
    <row r="215" spans="1:20" ht="35.25" customHeight="1">
      <c r="A215" s="8">
        <v>7</v>
      </c>
      <c r="B215" s="9" t="s">
        <v>207</v>
      </c>
      <c r="C215" s="8" t="s">
        <v>208</v>
      </c>
      <c r="D215" s="14">
        <f>D216+D217</f>
        <v>253</v>
      </c>
      <c r="E215" s="14">
        <f t="shared" ref="E215:G215" si="80">E216+E217</f>
        <v>0</v>
      </c>
      <c r="F215" s="14">
        <f t="shared" si="80"/>
        <v>172</v>
      </c>
      <c r="G215" s="14">
        <f t="shared" si="80"/>
        <v>0</v>
      </c>
      <c r="H215" s="14">
        <f>H216+H217</f>
        <v>253</v>
      </c>
      <c r="I215" s="14">
        <f t="shared" ref="I215:K215" si="81">I216+I217</f>
        <v>0</v>
      </c>
      <c r="J215" s="14">
        <f t="shared" si="81"/>
        <v>172</v>
      </c>
      <c r="K215" s="14">
        <f t="shared" si="81"/>
        <v>0</v>
      </c>
      <c r="L215" s="16"/>
      <c r="M215" s="220"/>
      <c r="N215" s="221"/>
      <c r="Q215">
        <f t="shared" si="76"/>
        <v>759</v>
      </c>
      <c r="R215" s="44">
        <f>E215+фев!I215</f>
        <v>0</v>
      </c>
      <c r="S215" s="30">
        <f>F215+фев!J215</f>
        <v>172</v>
      </c>
    </row>
    <row r="216" spans="1:20" ht="17.25" customHeight="1">
      <c r="A216" s="18" t="s">
        <v>209</v>
      </c>
      <c r="B216" s="9" t="s">
        <v>210</v>
      </c>
      <c r="C216" s="8" t="s">
        <v>208</v>
      </c>
      <c r="D216" s="14">
        <v>236</v>
      </c>
      <c r="E216" s="8"/>
      <c r="F216" s="8">
        <v>164</v>
      </c>
      <c r="G216" s="8"/>
      <c r="H216" s="14">
        <v>236</v>
      </c>
      <c r="I216" s="8"/>
      <c r="J216" s="8">
        <v>164</v>
      </c>
      <c r="K216" s="8"/>
      <c r="L216" s="16"/>
      <c r="M216" s="220"/>
      <c r="N216" s="221"/>
      <c r="Q216">
        <f t="shared" si="76"/>
        <v>708</v>
      </c>
      <c r="R216" s="44">
        <f>E216+фев!I216</f>
        <v>0</v>
      </c>
      <c r="S216" s="30">
        <f>F216+фев!J216</f>
        <v>164</v>
      </c>
    </row>
    <row r="217" spans="1:20" ht="17.25" customHeight="1">
      <c r="A217" s="18" t="s">
        <v>211</v>
      </c>
      <c r="B217" s="9" t="s">
        <v>212</v>
      </c>
      <c r="C217" s="8" t="s">
        <v>208</v>
      </c>
      <c r="D217" s="14">
        <v>17</v>
      </c>
      <c r="E217" s="8"/>
      <c r="F217" s="8">
        <v>8</v>
      </c>
      <c r="G217" s="8"/>
      <c r="H217" s="14">
        <v>17</v>
      </c>
      <c r="I217" s="8"/>
      <c r="J217" s="8">
        <v>8</v>
      </c>
      <c r="K217" s="8"/>
      <c r="L217" s="16"/>
      <c r="M217" s="220"/>
      <c r="N217" s="221"/>
      <c r="Q217">
        <f t="shared" si="76"/>
        <v>51</v>
      </c>
      <c r="R217" s="44">
        <f>E217+фев!I217</f>
        <v>0</v>
      </c>
      <c r="S217" s="30">
        <f>F217+фев!J217</f>
        <v>8</v>
      </c>
    </row>
    <row r="218" spans="1:20" ht="36" customHeight="1">
      <c r="A218" s="18" t="s">
        <v>213</v>
      </c>
      <c r="B218" s="9" t="s">
        <v>214</v>
      </c>
      <c r="C218" s="8" t="s">
        <v>16</v>
      </c>
      <c r="D218" s="14">
        <f>(D88+D145)/D215*1000</f>
        <v>86746.573122529648</v>
      </c>
      <c r="E218" s="14"/>
      <c r="F218" s="14">
        <f>(F88+F145)/F215*1000</f>
        <v>133677.38372093023</v>
      </c>
      <c r="G218" s="8"/>
      <c r="H218" s="14">
        <f>(H88+H145)/H215*1000/3</f>
        <v>86746.573122529662</v>
      </c>
      <c r="I218" s="14"/>
      <c r="J218" s="14">
        <f>(J88+J145)/J215*1000/3</f>
        <v>114809.57945736435</v>
      </c>
      <c r="K218" s="8"/>
      <c r="L218" s="16"/>
      <c r="M218" s="220"/>
      <c r="N218" s="221"/>
      <c r="Q218">
        <f t="shared" si="76"/>
        <v>260239.71936758893</v>
      </c>
      <c r="R218" s="44">
        <f>E218+фев!I218</f>
        <v>0</v>
      </c>
      <c r="S218" s="30">
        <f>F218+фев!J218</f>
        <v>133677.38372093023</v>
      </c>
    </row>
    <row r="219" spans="1:20" ht="17.25" customHeight="1">
      <c r="A219" s="18" t="s">
        <v>215</v>
      </c>
      <c r="B219" s="9" t="s">
        <v>210</v>
      </c>
      <c r="C219" s="8" t="s">
        <v>16</v>
      </c>
      <c r="D219" s="14">
        <f>D88/D216*1000</f>
        <v>84883.580508474581</v>
      </c>
      <c r="E219" s="14"/>
      <c r="F219" s="14">
        <f t="shared" ref="F219" si="82">F88/F216*1000</f>
        <v>130405.98170731707</v>
      </c>
      <c r="G219" s="8"/>
      <c r="H219" s="14">
        <f>H88/H216*1000/3</f>
        <v>84883.580508474581</v>
      </c>
      <c r="I219" s="14"/>
      <c r="J219" s="14">
        <f>J88/J216*1000/3</f>
        <v>112564.31300813008</v>
      </c>
      <c r="K219" s="8"/>
      <c r="L219" s="16"/>
      <c r="M219" s="220"/>
      <c r="N219" s="221"/>
      <c r="R219" s="44">
        <f>E219+фев!I219</f>
        <v>0</v>
      </c>
      <c r="S219" s="30">
        <f>F219+фев!J219</f>
        <v>130405.98170731707</v>
      </c>
    </row>
    <row r="220" spans="1:20" ht="17.25" customHeight="1">
      <c r="A220" s="18" t="s">
        <v>216</v>
      </c>
      <c r="B220" s="9" t="s">
        <v>212</v>
      </c>
      <c r="C220" s="8" t="s">
        <v>16</v>
      </c>
      <c r="D220" s="14">
        <f>D145/D217*1000</f>
        <v>112609.29411764705</v>
      </c>
      <c r="E220" s="14"/>
      <c r="F220" s="14">
        <f t="shared" ref="F220" si="83">F145/F217*1000</f>
        <v>200741.12499999997</v>
      </c>
      <c r="G220" s="8"/>
      <c r="H220" s="14">
        <f>H145/H217*1000/3</f>
        <v>112609.29411764705</v>
      </c>
      <c r="I220" s="14"/>
      <c r="J220" s="14">
        <f>J145/J217*1000/3</f>
        <v>160837.54166666666</v>
      </c>
      <c r="K220" s="8"/>
      <c r="L220" s="16"/>
      <c r="M220" s="220"/>
      <c r="N220" s="221"/>
      <c r="R220" s="44">
        <f>E220+фев!I220</f>
        <v>0</v>
      </c>
      <c r="S220" s="30">
        <f>F220+фев!J220</f>
        <v>200741.12499999997</v>
      </c>
    </row>
    <row r="221" spans="1:20" ht="18.7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>
        <f>H221+I221</f>
        <v>0</v>
      </c>
    </row>
    <row r="222" spans="1:20" ht="18.7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</row>
    <row r="223" spans="1:20" ht="18.7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</row>
    <row r="224" spans="1:20" ht="18.75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</row>
    <row r="225" spans="1:14" ht="30" customHeight="1">
      <c r="A225" s="29"/>
      <c r="B225" s="29" t="s">
        <v>322</v>
      </c>
      <c r="C225" s="29"/>
      <c r="D225" s="29"/>
      <c r="E225" s="29"/>
      <c r="F225" s="29"/>
      <c r="G225" s="29"/>
      <c r="H225" s="29"/>
      <c r="I225" s="29" t="s">
        <v>323</v>
      </c>
      <c r="J225" s="29"/>
      <c r="K225" s="29"/>
      <c r="L225" s="29"/>
      <c r="M225" s="29"/>
      <c r="N225" s="29">
        <f>SUM(H225:M225)</f>
        <v>0</v>
      </c>
    </row>
    <row r="226" spans="1:14" ht="36.75" customHeight="1">
      <c r="A226" s="29"/>
      <c r="B226" s="29" t="s">
        <v>233</v>
      </c>
      <c r="C226" s="29"/>
      <c r="D226" s="29"/>
      <c r="E226" s="29"/>
      <c r="F226" s="29"/>
      <c r="G226" s="29"/>
      <c r="H226" s="29"/>
      <c r="I226" s="29" t="s">
        <v>324</v>
      </c>
      <c r="J226" s="29"/>
      <c r="K226" s="29"/>
      <c r="L226" s="29"/>
      <c r="M226" s="29"/>
      <c r="N226" s="29"/>
    </row>
    <row r="227" spans="1:14" ht="9" customHeigh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</row>
    <row r="228" spans="1:14" ht="52.5" customHeight="1">
      <c r="A228" s="4" t="s">
        <v>235</v>
      </c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</row>
    <row r="229" spans="1:14" ht="15.75" customHeight="1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</row>
    <row r="230" spans="1:14" ht="27" customHeight="1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</row>
    <row r="231" spans="1:14" ht="30" customHeight="1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</row>
    <row r="232" spans="1:14" ht="28.5" customHeight="1"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</row>
    <row r="233" spans="1:14" ht="4.5" hidden="1" customHeight="1">
      <c r="B233" s="29"/>
      <c r="C233" s="29"/>
      <c r="D233" s="29"/>
      <c r="E233" s="29"/>
      <c r="F233" s="29"/>
      <c r="G233" s="29"/>
      <c r="H233" s="29"/>
      <c r="I233" s="29"/>
      <c r="J233" s="29"/>
    </row>
    <row r="234" spans="1:14" ht="16.5" customHeight="1">
      <c r="B234" s="29"/>
      <c r="C234" s="29"/>
      <c r="D234" s="29"/>
      <c r="E234" s="29"/>
      <c r="F234" s="29"/>
      <c r="G234" s="29"/>
      <c r="H234" s="29"/>
      <c r="I234" s="29"/>
      <c r="J234" s="29"/>
    </row>
    <row r="235" spans="1:14" ht="18.75">
      <c r="A235" s="2"/>
      <c r="B235" s="29"/>
      <c r="C235" s="29"/>
      <c r="D235" s="29"/>
      <c r="E235" s="29"/>
      <c r="F235" s="29"/>
      <c r="G235" s="29"/>
      <c r="H235" s="29"/>
      <c r="I235" s="29"/>
      <c r="J235" s="29"/>
    </row>
    <row r="236" spans="1:14" ht="18.75">
      <c r="A236" s="2"/>
      <c r="B236" s="2"/>
      <c r="C236" s="29"/>
      <c r="D236" s="29"/>
      <c r="E236" s="29"/>
      <c r="F236" s="29"/>
      <c r="G236" s="29"/>
      <c r="H236" s="29"/>
      <c r="I236" s="29"/>
      <c r="J236" s="29"/>
    </row>
    <row r="237" spans="1:14" ht="18.75">
      <c r="A237" s="2"/>
      <c r="B237" s="2"/>
      <c r="C237" s="2"/>
      <c r="D237" s="2"/>
      <c r="E237" s="29"/>
      <c r="F237" s="29"/>
      <c r="G237" s="29"/>
      <c r="H237" s="29"/>
      <c r="I237" s="29"/>
      <c r="J237" s="29"/>
    </row>
    <row r="238" spans="1:14" ht="18.75">
      <c r="A238" s="4"/>
      <c r="B238" s="2"/>
      <c r="C238" s="2"/>
      <c r="D238" s="2"/>
      <c r="E238" s="29"/>
      <c r="F238" s="29"/>
      <c r="G238" s="29"/>
      <c r="H238" s="29"/>
      <c r="I238" s="29"/>
      <c r="J238" s="29"/>
    </row>
    <row r="239" spans="1:14" ht="18.75">
      <c r="A239" s="2"/>
      <c r="B239" s="2"/>
      <c r="C239" s="2"/>
      <c r="D239" s="2"/>
      <c r="E239" s="29"/>
      <c r="F239" s="29"/>
      <c r="G239" s="29"/>
      <c r="H239" s="29"/>
      <c r="I239" s="29"/>
      <c r="J239" s="29"/>
    </row>
    <row r="240" spans="1:14" ht="18.75">
      <c r="E240" s="29"/>
      <c r="F240" s="29"/>
      <c r="G240" s="29"/>
      <c r="H240" s="29"/>
      <c r="I240" s="29"/>
      <c r="J240" s="29"/>
    </row>
    <row r="241" spans="5:10">
      <c r="E241"/>
      <c r="F241"/>
      <c r="G241"/>
      <c r="H241"/>
      <c r="I241"/>
      <c r="J241"/>
    </row>
    <row r="242" spans="5:10">
      <c r="E242"/>
      <c r="F242"/>
      <c r="G242"/>
      <c r="H242"/>
      <c r="I242"/>
      <c r="J242"/>
    </row>
    <row r="243" spans="5:10">
      <c r="E243"/>
      <c r="F243"/>
      <c r="G243"/>
      <c r="H243"/>
      <c r="I243"/>
      <c r="J243"/>
    </row>
    <row r="244" spans="5:10">
      <c r="E244"/>
      <c r="F244"/>
      <c r="G244"/>
      <c r="H244"/>
      <c r="I244"/>
      <c r="J244"/>
    </row>
    <row r="245" spans="5:10">
      <c r="E245"/>
      <c r="F245"/>
      <c r="G245"/>
      <c r="H245"/>
      <c r="I245"/>
      <c r="J245"/>
    </row>
    <row r="246" spans="5:10">
      <c r="E246"/>
      <c r="F246"/>
      <c r="G246"/>
      <c r="H246"/>
      <c r="I246"/>
      <c r="J246"/>
    </row>
    <row r="247" spans="5:10">
      <c r="E247"/>
      <c r="F247"/>
      <c r="G247"/>
      <c r="H247"/>
      <c r="I247"/>
      <c r="J247"/>
    </row>
    <row r="248" spans="5:10">
      <c r="E248"/>
      <c r="F248"/>
      <c r="G248"/>
      <c r="H248"/>
      <c r="I248"/>
      <c r="J248"/>
    </row>
    <row r="249" spans="5:10">
      <c r="E249"/>
      <c r="F249"/>
      <c r="G249"/>
      <c r="H249"/>
      <c r="I249"/>
      <c r="J249"/>
    </row>
    <row r="250" spans="5:10">
      <c r="E250"/>
      <c r="F250"/>
      <c r="G250"/>
      <c r="H250"/>
      <c r="I250"/>
      <c r="J250"/>
    </row>
    <row r="251" spans="5:10">
      <c r="E251"/>
      <c r="F251"/>
      <c r="G251"/>
      <c r="H251"/>
      <c r="I251"/>
      <c r="J251"/>
    </row>
    <row r="252" spans="5:10">
      <c r="E252"/>
      <c r="F252"/>
      <c r="G252"/>
      <c r="H252"/>
      <c r="I252"/>
      <c r="J252"/>
    </row>
    <row r="253" spans="5:10">
      <c r="E253"/>
      <c r="F253"/>
      <c r="G253"/>
      <c r="H253"/>
      <c r="I253"/>
      <c r="J253"/>
    </row>
    <row r="254" spans="5:10">
      <c r="E254"/>
      <c r="F254"/>
      <c r="G254"/>
      <c r="H254"/>
      <c r="I254"/>
      <c r="J254"/>
    </row>
    <row r="255" spans="5:10" ht="18.75">
      <c r="E255" s="29"/>
      <c r="F255" s="29"/>
      <c r="G255"/>
      <c r="H255"/>
      <c r="I255"/>
      <c r="J255"/>
    </row>
    <row r="256" spans="5:10" ht="18.75">
      <c r="E256" s="29"/>
      <c r="F256" s="29"/>
    </row>
    <row r="257" spans="5:6" ht="18.75">
      <c r="E257" s="29"/>
      <c r="F257" s="29"/>
    </row>
    <row r="258" spans="5:6" ht="18.75">
      <c r="E258" s="29"/>
      <c r="F258" s="29"/>
    </row>
    <row r="259" spans="5:6" ht="18.75">
      <c r="E259" s="29"/>
      <c r="F259" s="29"/>
    </row>
  </sheetData>
  <mergeCells count="222">
    <mergeCell ref="E5:E6"/>
    <mergeCell ref="F5:F6"/>
    <mergeCell ref="G5:G6"/>
    <mergeCell ref="H5:H6"/>
    <mergeCell ref="I5:I6"/>
    <mergeCell ref="J5:J6"/>
    <mergeCell ref="A1:N1"/>
    <mergeCell ref="A2:N2"/>
    <mergeCell ref="A3:C3"/>
    <mergeCell ref="A4:A6"/>
    <mergeCell ref="B4:B6"/>
    <mergeCell ref="C4:C6"/>
    <mergeCell ref="D4:G4"/>
    <mergeCell ref="H4:L4"/>
    <mergeCell ref="M4:N6"/>
    <mergeCell ref="D5:D6"/>
    <mergeCell ref="M11:N11"/>
    <mergeCell ref="M12:N12"/>
    <mergeCell ref="M13:N13"/>
    <mergeCell ref="M14:N14"/>
    <mergeCell ref="M15:N15"/>
    <mergeCell ref="M16:N16"/>
    <mergeCell ref="K5:K6"/>
    <mergeCell ref="L5:L6"/>
    <mergeCell ref="M7:N7"/>
    <mergeCell ref="M8:N8"/>
    <mergeCell ref="M9:N9"/>
    <mergeCell ref="M10:N10"/>
    <mergeCell ref="M23:N23"/>
    <mergeCell ref="M24:N24"/>
    <mergeCell ref="M25:N25"/>
    <mergeCell ref="M26:N26"/>
    <mergeCell ref="M27:N27"/>
    <mergeCell ref="M28:N28"/>
    <mergeCell ref="M17:N17"/>
    <mergeCell ref="M18:N18"/>
    <mergeCell ref="M19:N19"/>
    <mergeCell ref="M20:N20"/>
    <mergeCell ref="M21:N21"/>
    <mergeCell ref="M22:N22"/>
    <mergeCell ref="M35:N35"/>
    <mergeCell ref="M36:N36"/>
    <mergeCell ref="M37:N37"/>
    <mergeCell ref="M38:N38"/>
    <mergeCell ref="M39:N39"/>
    <mergeCell ref="M40:N40"/>
    <mergeCell ref="M29:N29"/>
    <mergeCell ref="M30:N30"/>
    <mergeCell ref="M31:N31"/>
    <mergeCell ref="M32:N32"/>
    <mergeCell ref="M33:N33"/>
    <mergeCell ref="M34:N34"/>
    <mergeCell ref="M48:N48"/>
    <mergeCell ref="M49:N49"/>
    <mergeCell ref="M50:N50"/>
    <mergeCell ref="M51:N51"/>
    <mergeCell ref="M52:N52"/>
    <mergeCell ref="M53:N53"/>
    <mergeCell ref="M41:N41"/>
    <mergeCell ref="M42:N43"/>
    <mergeCell ref="M44:N44"/>
    <mergeCell ref="M45:N45"/>
    <mergeCell ref="M46:N46"/>
    <mergeCell ref="M47:N47"/>
    <mergeCell ref="M62:N62"/>
    <mergeCell ref="M63:N63"/>
    <mergeCell ref="M64:N64"/>
    <mergeCell ref="M65:N65"/>
    <mergeCell ref="M66:N66"/>
    <mergeCell ref="M67:N67"/>
    <mergeCell ref="M54:N54"/>
    <mergeCell ref="M55:N55"/>
    <mergeCell ref="M56:N56"/>
    <mergeCell ref="M57:N58"/>
    <mergeCell ref="M59:N59"/>
    <mergeCell ref="M60:N61"/>
    <mergeCell ref="M75:N75"/>
    <mergeCell ref="M76:N76"/>
    <mergeCell ref="M77:N77"/>
    <mergeCell ref="M78:N78"/>
    <mergeCell ref="M79:N79"/>
    <mergeCell ref="M80:N80"/>
    <mergeCell ref="M68:N68"/>
    <mergeCell ref="M69:N70"/>
    <mergeCell ref="M71:N71"/>
    <mergeCell ref="M72:N72"/>
    <mergeCell ref="M73:N73"/>
    <mergeCell ref="M74:N74"/>
    <mergeCell ref="M88:N88"/>
    <mergeCell ref="M89:N89"/>
    <mergeCell ref="M93:N93"/>
    <mergeCell ref="M94:N94"/>
    <mergeCell ref="M95:N95"/>
    <mergeCell ref="M96:N96"/>
    <mergeCell ref="M81:N81"/>
    <mergeCell ref="M82:N82"/>
    <mergeCell ref="M83:N83"/>
    <mergeCell ref="M84:N85"/>
    <mergeCell ref="M86:N86"/>
    <mergeCell ref="M87:N87"/>
    <mergeCell ref="M103:N103"/>
    <mergeCell ref="M104:N104"/>
    <mergeCell ref="M105:N105"/>
    <mergeCell ref="M106:N106"/>
    <mergeCell ref="M107:N107"/>
    <mergeCell ref="M108:N108"/>
    <mergeCell ref="M97:N97"/>
    <mergeCell ref="M98:N98"/>
    <mergeCell ref="M99:N99"/>
    <mergeCell ref="M100:N100"/>
    <mergeCell ref="M101:N101"/>
    <mergeCell ref="M102:N102"/>
    <mergeCell ref="M115:N115"/>
    <mergeCell ref="M116:N116"/>
    <mergeCell ref="M117:N117"/>
    <mergeCell ref="M118:N118"/>
    <mergeCell ref="M119:N119"/>
    <mergeCell ref="M120:N120"/>
    <mergeCell ref="M109:N109"/>
    <mergeCell ref="M110:N110"/>
    <mergeCell ref="M111:N111"/>
    <mergeCell ref="M112:N112"/>
    <mergeCell ref="M113:N113"/>
    <mergeCell ref="M114:N114"/>
    <mergeCell ref="M127:N127"/>
    <mergeCell ref="M128:N128"/>
    <mergeCell ref="M129:N129"/>
    <mergeCell ref="M130:N130"/>
    <mergeCell ref="M131:N131"/>
    <mergeCell ref="M132:N132"/>
    <mergeCell ref="M121:N121"/>
    <mergeCell ref="M122:N122"/>
    <mergeCell ref="M123:N123"/>
    <mergeCell ref="M124:N124"/>
    <mergeCell ref="M125:N125"/>
    <mergeCell ref="M126:N126"/>
    <mergeCell ref="M141:N141"/>
    <mergeCell ref="M142:N142"/>
    <mergeCell ref="M143:N143"/>
    <mergeCell ref="M144:N144"/>
    <mergeCell ref="M145:N145"/>
    <mergeCell ref="M146:N146"/>
    <mergeCell ref="M133:N133"/>
    <mergeCell ref="M134:N134"/>
    <mergeCell ref="M135:N135"/>
    <mergeCell ref="M138:N138"/>
    <mergeCell ref="M139:N139"/>
    <mergeCell ref="M140:N140"/>
    <mergeCell ref="M156:N156"/>
    <mergeCell ref="M157:N157"/>
    <mergeCell ref="M158:N158"/>
    <mergeCell ref="M159:N159"/>
    <mergeCell ref="M160:N160"/>
    <mergeCell ref="M161:N161"/>
    <mergeCell ref="M150:N150"/>
    <mergeCell ref="M151:N151"/>
    <mergeCell ref="M152:N152"/>
    <mergeCell ref="M153:N153"/>
    <mergeCell ref="M154:N154"/>
    <mergeCell ref="M155:N155"/>
    <mergeCell ref="M168:N168"/>
    <mergeCell ref="M169:N169"/>
    <mergeCell ref="M170:N170"/>
    <mergeCell ref="M171:N171"/>
    <mergeCell ref="M172:N172"/>
    <mergeCell ref="M173:N173"/>
    <mergeCell ref="M162:N162"/>
    <mergeCell ref="M163:N163"/>
    <mergeCell ref="M164:N164"/>
    <mergeCell ref="M165:N165"/>
    <mergeCell ref="M166:N166"/>
    <mergeCell ref="M167:N167"/>
    <mergeCell ref="M181:N181"/>
    <mergeCell ref="M182:N182"/>
    <mergeCell ref="M183:N183"/>
    <mergeCell ref="M184:N184"/>
    <mergeCell ref="M185:N185"/>
    <mergeCell ref="M186:N186"/>
    <mergeCell ref="M174:N174"/>
    <mergeCell ref="M175:N175"/>
    <mergeCell ref="M176:N176"/>
    <mergeCell ref="M177:N177"/>
    <mergeCell ref="M179:N179"/>
    <mergeCell ref="M180:N180"/>
    <mergeCell ref="M193:N193"/>
    <mergeCell ref="M194:N194"/>
    <mergeCell ref="M195:N195"/>
    <mergeCell ref="M196:N196"/>
    <mergeCell ref="M197:N197"/>
    <mergeCell ref="M198:N198"/>
    <mergeCell ref="M187:N187"/>
    <mergeCell ref="M188:N188"/>
    <mergeCell ref="M189:N189"/>
    <mergeCell ref="M190:N190"/>
    <mergeCell ref="M191:N191"/>
    <mergeCell ref="M192:N192"/>
    <mergeCell ref="M205:N205"/>
    <mergeCell ref="M206:N206"/>
    <mergeCell ref="M207:N207"/>
    <mergeCell ref="A208:A209"/>
    <mergeCell ref="B208:B209"/>
    <mergeCell ref="M208:N208"/>
    <mergeCell ref="M209:N209"/>
    <mergeCell ref="M199:N199"/>
    <mergeCell ref="M200:N200"/>
    <mergeCell ref="M201:N201"/>
    <mergeCell ref="M202:N202"/>
    <mergeCell ref="M203:N203"/>
    <mergeCell ref="M204:N204"/>
    <mergeCell ref="M220:N220"/>
    <mergeCell ref="M214:N214"/>
    <mergeCell ref="M215:N215"/>
    <mergeCell ref="M216:N216"/>
    <mergeCell ref="M217:N217"/>
    <mergeCell ref="M218:N218"/>
    <mergeCell ref="M219:N219"/>
    <mergeCell ref="M210:N210"/>
    <mergeCell ref="A211:A212"/>
    <mergeCell ref="B211:B212"/>
    <mergeCell ref="M211:N211"/>
    <mergeCell ref="M212:N212"/>
    <mergeCell ref="M213:N213"/>
  </mergeCells>
  <pageMargins left="0" right="0" top="0.94488188976377963" bottom="0.39370078740157483" header="0.31496062992125984" footer="0.31496062992125984"/>
  <pageSetup paperSize="9" scale="78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S239"/>
  <sheetViews>
    <sheetView workbookViewId="0">
      <pane xSplit="10" ySplit="15" topLeftCell="K191" activePane="bottomRight" state="frozen"/>
      <selection pane="topRight" activeCell="J1" sqref="J1"/>
      <selection pane="bottomLeft" activeCell="A16" sqref="A16"/>
      <selection pane="bottomRight" activeCell="H192" sqref="H192"/>
    </sheetView>
  </sheetViews>
  <sheetFormatPr defaultRowHeight="15"/>
  <cols>
    <col min="1" max="1" width="8.85546875" customWidth="1"/>
    <col min="2" max="2" width="38.42578125" customWidth="1"/>
    <col min="3" max="3" width="13.140625" customWidth="1"/>
    <col min="4" max="4" width="14.5703125" customWidth="1"/>
    <col min="5" max="5" width="13" customWidth="1"/>
    <col min="6" max="6" width="14.5703125" style="60" customWidth="1"/>
    <col min="7" max="7" width="12.5703125" customWidth="1"/>
    <col min="8" max="8" width="15" customWidth="1"/>
    <col min="9" max="9" width="14.7109375" style="60" customWidth="1"/>
    <col min="10" max="10" width="15.85546875" customWidth="1"/>
    <col min="11" max="11" width="16.7109375" customWidth="1"/>
    <col min="12" max="12" width="10.7109375" customWidth="1"/>
    <col min="13" max="13" width="14.85546875" hidden="1" customWidth="1"/>
    <col min="14" max="14" width="15.5703125" hidden="1" customWidth="1"/>
    <col min="15" max="15" width="13.42578125" customWidth="1"/>
    <col min="16" max="16" width="12.85546875" customWidth="1"/>
    <col min="17" max="17" width="13.28515625" customWidth="1"/>
    <col min="18" max="18" width="13.7109375" customWidth="1"/>
    <col min="19" max="19" width="11.85546875" customWidth="1"/>
  </cols>
  <sheetData>
    <row r="1" spans="1:19" ht="54" customHeight="1">
      <c r="A1" s="241" t="s">
        <v>226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</row>
    <row r="2" spans="1:19" ht="42.75" customHeight="1">
      <c r="A2" s="242" t="s">
        <v>318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</row>
    <row r="3" spans="1:19" ht="1.5" customHeight="1">
      <c r="A3" s="243"/>
      <c r="B3" s="243"/>
      <c r="C3" s="243"/>
      <c r="D3" s="78"/>
      <c r="E3" s="78"/>
      <c r="F3" s="78"/>
      <c r="G3" s="78"/>
      <c r="H3" s="29"/>
      <c r="I3" s="29"/>
      <c r="J3" s="29"/>
      <c r="K3" s="29"/>
      <c r="L3" s="29"/>
      <c r="M3" s="29"/>
      <c r="N3" s="29"/>
    </row>
    <row r="4" spans="1:19" ht="18.75">
      <c r="A4" s="244" t="s">
        <v>0</v>
      </c>
      <c r="B4" s="247" t="s">
        <v>1</v>
      </c>
      <c r="C4" s="244" t="s">
        <v>217</v>
      </c>
      <c r="D4" s="250" t="s">
        <v>304</v>
      </c>
      <c r="E4" s="251"/>
      <c r="F4" s="251"/>
      <c r="G4" s="252"/>
      <c r="H4" s="250" t="s">
        <v>227</v>
      </c>
      <c r="I4" s="251"/>
      <c r="J4" s="251"/>
      <c r="K4" s="251"/>
      <c r="L4" s="252"/>
      <c r="M4" s="253" t="s">
        <v>239</v>
      </c>
      <c r="N4" s="254"/>
    </row>
    <row r="5" spans="1:19" ht="15" customHeight="1">
      <c r="A5" s="245"/>
      <c r="B5" s="248"/>
      <c r="C5" s="245"/>
      <c r="D5" s="237" t="s">
        <v>305</v>
      </c>
      <c r="E5" s="237" t="s">
        <v>306</v>
      </c>
      <c r="F5" s="237" t="s">
        <v>229</v>
      </c>
      <c r="G5" s="237" t="s">
        <v>219</v>
      </c>
      <c r="H5" s="237" t="s">
        <v>305</v>
      </c>
      <c r="I5" s="237" t="s">
        <v>306</v>
      </c>
      <c r="J5" s="237" t="s">
        <v>229</v>
      </c>
      <c r="K5" s="237" t="s">
        <v>219</v>
      </c>
      <c r="L5" s="237" t="s">
        <v>236</v>
      </c>
      <c r="M5" s="255"/>
      <c r="N5" s="256"/>
    </row>
    <row r="6" spans="1:19" ht="41.25" customHeight="1">
      <c r="A6" s="246"/>
      <c r="B6" s="249"/>
      <c r="C6" s="246"/>
      <c r="D6" s="238"/>
      <c r="E6" s="238"/>
      <c r="F6" s="238"/>
      <c r="G6" s="238"/>
      <c r="H6" s="238"/>
      <c r="I6" s="238"/>
      <c r="J6" s="238"/>
      <c r="K6" s="238"/>
      <c r="L6" s="238"/>
      <c r="M6" s="257"/>
      <c r="N6" s="258"/>
    </row>
    <row r="7" spans="1:19" ht="15.75" customHeight="1">
      <c r="A7" s="35">
        <v>1</v>
      </c>
      <c r="B7" s="35">
        <v>2</v>
      </c>
      <c r="C7" s="35">
        <v>3</v>
      </c>
      <c r="D7" s="35"/>
      <c r="E7" s="35"/>
      <c r="F7" s="35"/>
      <c r="G7" s="35"/>
      <c r="H7" s="35">
        <v>4</v>
      </c>
      <c r="I7" s="35">
        <v>5</v>
      </c>
      <c r="J7" s="35">
        <v>6</v>
      </c>
      <c r="K7" s="35"/>
      <c r="L7" s="35">
        <v>7</v>
      </c>
      <c r="M7" s="239">
        <v>8</v>
      </c>
      <c r="N7" s="240"/>
      <c r="O7" s="30">
        <f>J8-O8</f>
        <v>489.36649999988731</v>
      </c>
      <c r="P7">
        <v>272681.63099999999</v>
      </c>
      <c r="Q7" s="30">
        <f>J8-P7</f>
        <v>1129.8214999999036</v>
      </c>
    </row>
    <row r="8" spans="1:19" ht="39" customHeight="1">
      <c r="A8" s="74" t="s">
        <v>2</v>
      </c>
      <c r="B8" s="6" t="s">
        <v>3</v>
      </c>
      <c r="C8" s="74" t="s">
        <v>4</v>
      </c>
      <c r="D8" s="7">
        <f>D9+D87+D93+D95+D97</f>
        <v>73170.115000000005</v>
      </c>
      <c r="E8" s="21">
        <f>E9+E87+E93+E95+E97</f>
        <v>68097.582999999999</v>
      </c>
      <c r="F8" s="7">
        <f>F9+F87+F93+F95+F97</f>
        <v>66704.001999999993</v>
      </c>
      <c r="G8" s="7">
        <f>F8-E8</f>
        <v>-1393.5810000000056</v>
      </c>
      <c r="H8" s="7">
        <f>H9+H87+H93+H95+H97</f>
        <v>292680.46000000002</v>
      </c>
      <c r="I8" s="21">
        <f>I9+I87+I93+I95+I97</f>
        <v>272390.33199999999</v>
      </c>
      <c r="J8" s="7">
        <f>J9+J87+J93+J95+J97</f>
        <v>273811.4524999999</v>
      </c>
      <c r="K8" s="71">
        <f>J8-I8</f>
        <v>1421.1204999999027</v>
      </c>
      <c r="L8" s="21">
        <f>K8/I8*100</f>
        <v>0.52172207785990832</v>
      </c>
      <c r="M8" s="220"/>
      <c r="N8" s="221"/>
      <c r="O8">
        <f>640.455+272681.631</f>
        <v>273322.08600000001</v>
      </c>
      <c r="P8">
        <f>D8*4</f>
        <v>292680.46000000002</v>
      </c>
      <c r="Q8" s="44">
        <f>E8+март!I8</f>
        <v>272390.33199999999</v>
      </c>
      <c r="R8" s="30">
        <f>F8+фев!J8</f>
        <v>204368.962</v>
      </c>
      <c r="S8" s="30">
        <f>J8-R8</f>
        <v>69442.490499999898</v>
      </c>
    </row>
    <row r="9" spans="1:19" ht="17.25" customHeight="1">
      <c r="A9" s="74" t="s">
        <v>5</v>
      </c>
      <c r="B9" s="6" t="s">
        <v>6</v>
      </c>
      <c r="C9" s="74" t="s">
        <v>4</v>
      </c>
      <c r="D9" s="7">
        <f>D10+D37+D72</f>
        <v>35732.106</v>
      </c>
      <c r="E9" s="21">
        <f>E10+E37+E72</f>
        <v>32135.084000000003</v>
      </c>
      <c r="F9" s="7">
        <f>F10+F37+F72</f>
        <v>32752.173999999999</v>
      </c>
      <c r="G9" s="7">
        <f>F9-E9</f>
        <v>617.08999999999651</v>
      </c>
      <c r="H9" s="7">
        <f>H10+H37+H72</f>
        <v>142928.424</v>
      </c>
      <c r="I9" s="21">
        <f>I10+I37+I72</f>
        <v>128540.33600000001</v>
      </c>
      <c r="J9" s="7">
        <f>J10+J37+J72</f>
        <v>138967.022</v>
      </c>
      <c r="K9" s="21">
        <f>J9-I9</f>
        <v>10426.685999999987</v>
      </c>
      <c r="L9" s="21">
        <f>K9/I9*100</f>
        <v>8.1116063054323959</v>
      </c>
      <c r="M9" s="220"/>
      <c r="N9" s="221"/>
      <c r="P9">
        <f t="shared" ref="P9:P72" si="0">D9*4</f>
        <v>142928.424</v>
      </c>
      <c r="Q9" s="44">
        <f>E9+март!I9</f>
        <v>128540.33600000001</v>
      </c>
      <c r="R9" s="30">
        <f>F9+фев!J9</f>
        <v>106621.928</v>
      </c>
    </row>
    <row r="10" spans="1:19" ht="17.25" customHeight="1">
      <c r="A10" s="8" t="s">
        <v>7</v>
      </c>
      <c r="B10" s="9" t="s">
        <v>8</v>
      </c>
      <c r="C10" s="8" t="s">
        <v>4</v>
      </c>
      <c r="D10" s="10">
        <f>D11+D30+D35</f>
        <v>7601.0440000000008</v>
      </c>
      <c r="E10" s="10">
        <f>E11+E30+E35</f>
        <v>5895.3339999999998</v>
      </c>
      <c r="F10" s="10">
        <f>F11+F30+F35</f>
        <v>3062.7499999999995</v>
      </c>
      <c r="G10" s="10">
        <f>F10-E10</f>
        <v>-2832.5840000000003</v>
      </c>
      <c r="H10" s="10">
        <f>H11+H30+H35</f>
        <v>30404.176000000003</v>
      </c>
      <c r="I10" s="10">
        <f>I11+I30+I35</f>
        <v>23581.335999999999</v>
      </c>
      <c r="J10" s="10">
        <f>J11+J30+J35</f>
        <v>22702.712</v>
      </c>
      <c r="K10" s="10">
        <f>J10-I10</f>
        <v>-878.6239999999998</v>
      </c>
      <c r="L10" s="16">
        <f>K10/I10*100</f>
        <v>-3.7259296928723624</v>
      </c>
      <c r="M10" s="220"/>
      <c r="N10" s="221"/>
      <c r="P10">
        <f t="shared" si="0"/>
        <v>30404.176000000003</v>
      </c>
      <c r="Q10" s="44">
        <f>E10+март!I10</f>
        <v>23581.335999999999</v>
      </c>
      <c r="R10" s="30">
        <f>F10+фев!J10</f>
        <v>19946.016</v>
      </c>
    </row>
    <row r="11" spans="1:19" ht="17.25" customHeight="1">
      <c r="A11" s="8" t="s">
        <v>9</v>
      </c>
      <c r="B11" s="9" t="s">
        <v>10</v>
      </c>
      <c r="C11" s="8" t="s">
        <v>4</v>
      </c>
      <c r="D11" s="10">
        <f>D12+D15+D18+D21+D24+D27</f>
        <v>5032.2450000000008</v>
      </c>
      <c r="E11" s="8">
        <v>4970.0829999999996</v>
      </c>
      <c r="F11" s="10">
        <f>F12+F15+F18+F21+F24+F27</f>
        <v>2382.6859999999997</v>
      </c>
      <c r="G11" s="10">
        <f t="shared" ref="G11:G74" si="1">F11-E11</f>
        <v>-2587.3969999999999</v>
      </c>
      <c r="H11" s="10">
        <f>H12+H15+H18+H21+H24+H27</f>
        <v>20128.980000000003</v>
      </c>
      <c r="I11" s="8">
        <f>E11+март!I11</f>
        <v>19880.331999999999</v>
      </c>
      <c r="J11" s="10">
        <f>J12+J15+J18+J21+J24+J27</f>
        <v>11746.415000000001</v>
      </c>
      <c r="K11" s="10">
        <f t="shared" ref="K11:K74" si="2">J11-I11</f>
        <v>-8133.9169999999976</v>
      </c>
      <c r="L11" s="16">
        <f t="shared" ref="L11:L72" si="3">K11/I11*100</f>
        <v>-40.914392174134711</v>
      </c>
      <c r="M11" s="220"/>
      <c r="N11" s="221"/>
      <c r="P11">
        <f t="shared" si="0"/>
        <v>20128.980000000003</v>
      </c>
      <c r="Q11" s="44">
        <f>E11+март!I11</f>
        <v>19880.331999999999</v>
      </c>
      <c r="R11" s="30">
        <f>F11+фев!J11</f>
        <v>9647.5459999999985</v>
      </c>
    </row>
    <row r="12" spans="1:19" ht="18.75" customHeight="1">
      <c r="A12" s="8" t="s">
        <v>11</v>
      </c>
      <c r="B12" s="9" t="s">
        <v>12</v>
      </c>
      <c r="C12" s="8" t="s">
        <v>4</v>
      </c>
      <c r="D12" s="10">
        <v>852.13199999999995</v>
      </c>
      <c r="E12" s="8"/>
      <c r="F12" s="54">
        <v>603.80399999999997</v>
      </c>
      <c r="G12" s="10">
        <f t="shared" si="1"/>
        <v>603.80399999999997</v>
      </c>
      <c r="H12" s="10">
        <f>D12+март!H12</f>
        <v>3408.5279999999998</v>
      </c>
      <c r="I12" s="8"/>
      <c r="J12" s="10">
        <f>F12+март!J12</f>
        <v>2319.59</v>
      </c>
      <c r="K12" s="10">
        <f t="shared" si="2"/>
        <v>2319.59</v>
      </c>
      <c r="L12" s="16"/>
      <c r="M12" s="222" t="s">
        <v>297</v>
      </c>
      <c r="N12" s="223"/>
      <c r="P12">
        <f t="shared" si="0"/>
        <v>3408.5279999999998</v>
      </c>
      <c r="Q12" s="44">
        <f>E12+март!I12</f>
        <v>0</v>
      </c>
      <c r="R12" s="30">
        <f>F12+фев!J12</f>
        <v>1728.8400000000001</v>
      </c>
    </row>
    <row r="13" spans="1:19" ht="17.25" customHeight="1">
      <c r="A13" s="8"/>
      <c r="B13" s="12" t="s">
        <v>13</v>
      </c>
      <c r="C13" s="13" t="s">
        <v>14</v>
      </c>
      <c r="D13" s="14">
        <v>3667</v>
      </c>
      <c r="E13" s="13"/>
      <c r="F13" s="8">
        <v>1989</v>
      </c>
      <c r="G13" s="10">
        <f t="shared" si="1"/>
        <v>1989</v>
      </c>
      <c r="H13" s="14">
        <f>D13+март!H13</f>
        <v>14668</v>
      </c>
      <c r="I13" s="8"/>
      <c r="J13" s="14">
        <f>F13+март!J13</f>
        <v>7641</v>
      </c>
      <c r="K13" s="10">
        <f t="shared" si="2"/>
        <v>7641</v>
      </c>
      <c r="L13" s="16"/>
      <c r="M13" s="220"/>
      <c r="N13" s="221"/>
      <c r="P13">
        <f t="shared" si="0"/>
        <v>14668</v>
      </c>
      <c r="Q13" s="44">
        <f>E13+март!I13</f>
        <v>0</v>
      </c>
      <c r="R13" s="30">
        <f>F13+фев!J13</f>
        <v>5695</v>
      </c>
    </row>
    <row r="14" spans="1:19" ht="17.25" customHeight="1">
      <c r="A14" s="15"/>
      <c r="B14" s="12" t="s">
        <v>15</v>
      </c>
      <c r="C14" s="13" t="s">
        <v>16</v>
      </c>
      <c r="D14" s="16">
        <f>D12/D13*1000</f>
        <v>232.37851104445048</v>
      </c>
      <c r="E14" s="16"/>
      <c r="F14" s="16">
        <f t="shared" ref="F14" si="4">F12/F13*1000</f>
        <v>303.57164404223226</v>
      </c>
      <c r="G14" s="10">
        <f t="shared" si="1"/>
        <v>303.57164404223226</v>
      </c>
      <c r="H14" s="16">
        <f>H12/H13*1000</f>
        <v>232.37851104445048</v>
      </c>
      <c r="I14" s="16"/>
      <c r="J14" s="16">
        <f t="shared" ref="J14" si="5">J12/J13*1000</f>
        <v>303.5715220520874</v>
      </c>
      <c r="K14" s="10">
        <f t="shared" si="2"/>
        <v>303.5715220520874</v>
      </c>
      <c r="L14" s="16"/>
      <c r="M14" s="220"/>
      <c r="N14" s="221"/>
      <c r="P14">
        <f t="shared" si="0"/>
        <v>929.51404417780191</v>
      </c>
      <c r="Q14" s="44">
        <f>E14+март!I14</f>
        <v>0</v>
      </c>
      <c r="R14" s="30">
        <f>F14+фев!J14</f>
        <v>607.14314970871897</v>
      </c>
    </row>
    <row r="15" spans="1:19" ht="17.25" customHeight="1">
      <c r="A15" s="8" t="s">
        <v>17</v>
      </c>
      <c r="B15" s="9" t="s">
        <v>18</v>
      </c>
      <c r="C15" s="8" t="s">
        <v>4</v>
      </c>
      <c r="D15" s="10">
        <v>2808.576</v>
      </c>
      <c r="E15" s="8"/>
      <c r="F15" s="54">
        <v>706.702</v>
      </c>
      <c r="G15" s="10">
        <f t="shared" si="1"/>
        <v>706.702</v>
      </c>
      <c r="H15" s="10">
        <f>D15+март!H15</f>
        <v>11234.304</v>
      </c>
      <c r="I15" s="8"/>
      <c r="J15" s="10">
        <f>F15+март!J15</f>
        <v>4970.8050000000003</v>
      </c>
      <c r="K15" s="10">
        <f t="shared" si="2"/>
        <v>4970.8050000000003</v>
      </c>
      <c r="L15" s="16"/>
      <c r="M15" s="220"/>
      <c r="N15" s="221"/>
      <c r="P15">
        <f t="shared" si="0"/>
        <v>11234.304</v>
      </c>
      <c r="Q15" s="44">
        <f>E15+март!I15</f>
        <v>0</v>
      </c>
      <c r="R15" s="30">
        <f>F15+фев!J15</f>
        <v>4600.7060000000001</v>
      </c>
    </row>
    <row r="16" spans="1:19" ht="17.25" customHeight="1">
      <c r="A16" s="8"/>
      <c r="B16" s="12" t="s">
        <v>13</v>
      </c>
      <c r="C16" s="13" t="s">
        <v>14</v>
      </c>
      <c r="D16" s="14">
        <v>15000</v>
      </c>
      <c r="E16" s="13"/>
      <c r="F16" s="8">
        <v>5591</v>
      </c>
      <c r="G16" s="10">
        <f t="shared" si="1"/>
        <v>5591</v>
      </c>
      <c r="H16" s="14">
        <f>D16+март!H16</f>
        <v>60000</v>
      </c>
      <c r="I16" s="8"/>
      <c r="J16" s="14">
        <f>F16+март!J16</f>
        <v>39326</v>
      </c>
      <c r="K16" s="10">
        <f t="shared" si="2"/>
        <v>39326</v>
      </c>
      <c r="L16" s="16"/>
      <c r="M16" s="220"/>
      <c r="N16" s="221"/>
      <c r="P16">
        <f t="shared" si="0"/>
        <v>60000</v>
      </c>
      <c r="Q16" s="44">
        <f>E16+март!I16</f>
        <v>0</v>
      </c>
      <c r="R16" s="30">
        <f>F16+фев!J16</f>
        <v>36398</v>
      </c>
    </row>
    <row r="17" spans="1:18" ht="17.25" customHeight="1">
      <c r="A17" s="8"/>
      <c r="B17" s="12" t="s">
        <v>15</v>
      </c>
      <c r="C17" s="13" t="s">
        <v>16</v>
      </c>
      <c r="D17" s="16">
        <f>D15/D16*1000</f>
        <v>187.23840000000001</v>
      </c>
      <c r="E17" s="16"/>
      <c r="F17" s="16">
        <f t="shared" ref="F17" si="6">F15/F16*1000</f>
        <v>126.39992845644787</v>
      </c>
      <c r="G17" s="10">
        <f t="shared" si="1"/>
        <v>126.39992845644787</v>
      </c>
      <c r="H17" s="16">
        <f>H15/H16*1000</f>
        <v>187.23840000000001</v>
      </c>
      <c r="I17" s="8"/>
      <c r="J17" s="13"/>
      <c r="K17" s="10">
        <f t="shared" si="2"/>
        <v>0</v>
      </c>
      <c r="L17" s="16"/>
      <c r="M17" s="220"/>
      <c r="N17" s="221"/>
      <c r="P17">
        <f t="shared" si="0"/>
        <v>748.95360000000005</v>
      </c>
      <c r="Q17" s="44" t="e">
        <f>E17+март!I17</f>
        <v>#DIV/0!</v>
      </c>
      <c r="R17" s="30">
        <f>F17+фев!J17</f>
        <v>126.39992845644787</v>
      </c>
    </row>
    <row r="18" spans="1:18" ht="17.25" customHeight="1">
      <c r="A18" s="8" t="s">
        <v>19</v>
      </c>
      <c r="B18" s="9" t="s">
        <v>20</v>
      </c>
      <c r="C18" s="8" t="s">
        <v>4</v>
      </c>
      <c r="D18" s="10">
        <v>241.64599999999999</v>
      </c>
      <c r="E18" s="8"/>
      <c r="F18" s="54">
        <v>25.76</v>
      </c>
      <c r="G18" s="10">
        <f t="shared" si="1"/>
        <v>25.76</v>
      </c>
      <c r="H18" s="10">
        <f>D18+март!H18</f>
        <v>966.58399999999995</v>
      </c>
      <c r="I18" s="8"/>
      <c r="J18" s="10">
        <f>F18+март!J18</f>
        <v>145.96</v>
      </c>
      <c r="K18" s="10">
        <f t="shared" si="2"/>
        <v>145.96</v>
      </c>
      <c r="L18" s="16"/>
      <c r="M18" s="220"/>
      <c r="N18" s="221"/>
      <c r="P18">
        <f t="shared" si="0"/>
        <v>966.58399999999995</v>
      </c>
      <c r="Q18" s="44">
        <f>E18+март!I18</f>
        <v>0</v>
      </c>
      <c r="R18" s="30">
        <f>F18+фев!J18</f>
        <v>113.76</v>
      </c>
    </row>
    <row r="19" spans="1:18" ht="17.25" customHeight="1">
      <c r="A19" s="8"/>
      <c r="B19" s="12" t="s">
        <v>13</v>
      </c>
      <c r="C19" s="13" t="s">
        <v>14</v>
      </c>
      <c r="D19" s="14">
        <v>1025</v>
      </c>
      <c r="E19" s="13"/>
      <c r="F19" s="8">
        <v>40</v>
      </c>
      <c r="G19" s="10">
        <f t="shared" si="1"/>
        <v>40</v>
      </c>
      <c r="H19" s="14">
        <f>D19+март!H19</f>
        <v>4100</v>
      </c>
      <c r="I19" s="8"/>
      <c r="J19" s="14">
        <f>F19+март!J19</f>
        <v>290</v>
      </c>
      <c r="K19" s="10">
        <f t="shared" si="2"/>
        <v>290</v>
      </c>
      <c r="L19" s="16"/>
      <c r="M19" s="220"/>
      <c r="N19" s="221"/>
      <c r="P19">
        <f t="shared" si="0"/>
        <v>4100</v>
      </c>
      <c r="Q19" s="44">
        <f>E19+март!I19</f>
        <v>0</v>
      </c>
      <c r="R19" s="30">
        <f>F19+фев!J19</f>
        <v>240</v>
      </c>
    </row>
    <row r="20" spans="1:18" ht="17.25" customHeight="1">
      <c r="A20" s="8"/>
      <c r="B20" s="12" t="s">
        <v>15</v>
      </c>
      <c r="C20" s="13" t="s">
        <v>16</v>
      </c>
      <c r="D20" s="16">
        <f>D18/D19*1000</f>
        <v>235.75219512195119</v>
      </c>
      <c r="E20" s="16"/>
      <c r="F20" s="16">
        <f>F18/F19*1000</f>
        <v>644</v>
      </c>
      <c r="G20" s="10">
        <f t="shared" si="1"/>
        <v>644</v>
      </c>
      <c r="H20" s="16">
        <f>H18/H19*1000</f>
        <v>235.75219512195119</v>
      </c>
      <c r="I20" s="8"/>
      <c r="J20" s="58"/>
      <c r="K20" s="10">
        <f t="shared" si="2"/>
        <v>0</v>
      </c>
      <c r="L20" s="16"/>
      <c r="M20" s="220"/>
      <c r="N20" s="221"/>
      <c r="P20">
        <f t="shared" si="0"/>
        <v>943.00878048780476</v>
      </c>
      <c r="Q20" s="44">
        <f>E20+март!I20</f>
        <v>0</v>
      </c>
      <c r="R20" s="30">
        <f>F20+фев!J20</f>
        <v>644</v>
      </c>
    </row>
    <row r="21" spans="1:18" ht="17.25" customHeight="1">
      <c r="A21" s="8" t="s">
        <v>21</v>
      </c>
      <c r="B21" s="9" t="s">
        <v>22</v>
      </c>
      <c r="C21" s="8" t="s">
        <v>4</v>
      </c>
      <c r="D21" s="10">
        <v>750.73</v>
      </c>
      <c r="E21" s="8"/>
      <c r="F21" s="54">
        <v>838.5</v>
      </c>
      <c r="G21" s="10">
        <f t="shared" si="1"/>
        <v>838.5</v>
      </c>
      <c r="H21" s="10">
        <f>D21+март!H21</f>
        <v>3002.92</v>
      </c>
      <c r="I21" s="8"/>
      <c r="J21" s="10">
        <f>F21+март!J21</f>
        <v>3894.22</v>
      </c>
      <c r="K21" s="10">
        <f t="shared" si="2"/>
        <v>3894.22</v>
      </c>
      <c r="L21" s="16"/>
      <c r="M21" s="220"/>
      <c r="N21" s="221"/>
      <c r="P21">
        <f t="shared" si="0"/>
        <v>3002.92</v>
      </c>
      <c r="Q21" s="44">
        <f>E21+март!I21</f>
        <v>0</v>
      </c>
      <c r="R21" s="30">
        <f>F21+фев!J21</f>
        <v>2996.3199999999997</v>
      </c>
    </row>
    <row r="22" spans="1:18" ht="17.25" customHeight="1">
      <c r="A22" s="8"/>
      <c r="B22" s="12" t="s">
        <v>13</v>
      </c>
      <c r="C22" s="13" t="s">
        <v>14</v>
      </c>
      <c r="D22" s="14">
        <v>5883</v>
      </c>
      <c r="E22" s="13"/>
      <c r="F22" s="8">
        <v>5250</v>
      </c>
      <c r="G22" s="10">
        <f t="shared" si="1"/>
        <v>5250</v>
      </c>
      <c r="H22" s="14">
        <f>D22+март!H22</f>
        <v>23532</v>
      </c>
      <c r="I22" s="8"/>
      <c r="J22" s="14">
        <f>F22+март!J22</f>
        <v>22790</v>
      </c>
      <c r="K22" s="10">
        <f t="shared" si="2"/>
        <v>22790</v>
      </c>
      <c r="L22" s="16"/>
      <c r="M22" s="220"/>
      <c r="N22" s="221"/>
      <c r="P22">
        <f t="shared" si="0"/>
        <v>23532</v>
      </c>
      <c r="Q22" s="44">
        <f>E22+март!I22</f>
        <v>0</v>
      </c>
      <c r="R22" s="30">
        <f>F22+фев!J22</f>
        <v>17540</v>
      </c>
    </row>
    <row r="23" spans="1:18" ht="17.25" customHeight="1">
      <c r="A23" s="8"/>
      <c r="B23" s="12" t="s">
        <v>15</v>
      </c>
      <c r="C23" s="13" t="s">
        <v>16</v>
      </c>
      <c r="D23" s="16">
        <f>D21/D22*1000</f>
        <v>127.61006289308177</v>
      </c>
      <c r="E23" s="16" t="e">
        <f t="shared" ref="E23:F23" si="7">E21/E22*1000</f>
        <v>#DIV/0!</v>
      </c>
      <c r="F23" s="16">
        <f t="shared" si="7"/>
        <v>159.71428571428572</v>
      </c>
      <c r="G23" s="10" t="e">
        <f t="shared" si="1"/>
        <v>#DIV/0!</v>
      </c>
      <c r="H23" s="16">
        <f>H21/H22*1000</f>
        <v>127.61006289308177</v>
      </c>
      <c r="I23" s="8"/>
      <c r="J23" s="13"/>
      <c r="K23" s="10">
        <f t="shared" si="2"/>
        <v>0</v>
      </c>
      <c r="L23" s="16"/>
      <c r="M23" s="220"/>
      <c r="N23" s="221"/>
      <c r="P23">
        <f t="shared" si="0"/>
        <v>510.4402515723271</v>
      </c>
      <c r="Q23" s="44" t="e">
        <f>E23+март!I23</f>
        <v>#DIV/0!</v>
      </c>
      <c r="R23" s="30">
        <f>F23+фев!J23</f>
        <v>159.71428571428572</v>
      </c>
    </row>
    <row r="24" spans="1:18" ht="17.25" customHeight="1">
      <c r="A24" s="8" t="s">
        <v>23</v>
      </c>
      <c r="B24" s="9" t="s">
        <v>24</v>
      </c>
      <c r="C24" s="8" t="s">
        <v>4</v>
      </c>
      <c r="D24" s="10">
        <v>165.005</v>
      </c>
      <c r="E24" s="8"/>
      <c r="F24" s="54">
        <v>207.92</v>
      </c>
      <c r="G24" s="10">
        <f t="shared" si="1"/>
        <v>207.92</v>
      </c>
      <c r="H24" s="10">
        <f>D24+март!H24</f>
        <v>660.02</v>
      </c>
      <c r="I24" s="8"/>
      <c r="J24" s="10">
        <f>F24+март!J24</f>
        <v>415.84</v>
      </c>
      <c r="K24" s="10">
        <f t="shared" si="2"/>
        <v>415.84</v>
      </c>
      <c r="L24" s="16"/>
      <c r="M24" s="220"/>
      <c r="N24" s="221"/>
      <c r="P24">
        <f t="shared" si="0"/>
        <v>660.02</v>
      </c>
      <c r="Q24" s="44">
        <f>E24+март!I24</f>
        <v>0</v>
      </c>
      <c r="R24" s="30">
        <f>F24+фев!J24</f>
        <v>207.92</v>
      </c>
    </row>
    <row r="25" spans="1:18" ht="17.25" customHeight="1">
      <c r="A25" s="8"/>
      <c r="B25" s="12" t="s">
        <v>13</v>
      </c>
      <c r="C25" s="13" t="s">
        <v>14</v>
      </c>
      <c r="D25" s="14">
        <v>251</v>
      </c>
      <c r="E25" s="13"/>
      <c r="F25" s="8">
        <v>400</v>
      </c>
      <c r="G25" s="10">
        <f t="shared" si="1"/>
        <v>400</v>
      </c>
      <c r="H25" s="14">
        <f>D25+март!H25</f>
        <v>1004</v>
      </c>
      <c r="I25" s="8"/>
      <c r="J25" s="14">
        <f>F25+март!J25</f>
        <v>800</v>
      </c>
      <c r="K25" s="10">
        <f t="shared" si="2"/>
        <v>800</v>
      </c>
      <c r="L25" s="16"/>
      <c r="M25" s="220"/>
      <c r="N25" s="221"/>
      <c r="P25">
        <f t="shared" si="0"/>
        <v>1004</v>
      </c>
      <c r="Q25" s="44">
        <f>E25+март!I25</f>
        <v>0</v>
      </c>
      <c r="R25" s="30">
        <f>F25+фев!J25</f>
        <v>400</v>
      </c>
    </row>
    <row r="26" spans="1:18" ht="17.25" customHeight="1">
      <c r="A26" s="8"/>
      <c r="B26" s="12" t="s">
        <v>15</v>
      </c>
      <c r="C26" s="13" t="s">
        <v>16</v>
      </c>
      <c r="D26" s="16">
        <f>D24/D25*1000</f>
        <v>657.39043824701196</v>
      </c>
      <c r="E26" s="16" t="e">
        <f t="shared" ref="E26:F26" si="8">E24/E25*1000</f>
        <v>#DIV/0!</v>
      </c>
      <c r="F26" s="16">
        <f t="shared" si="8"/>
        <v>519.79999999999995</v>
      </c>
      <c r="G26" s="10" t="e">
        <f t="shared" si="1"/>
        <v>#DIV/0!</v>
      </c>
      <c r="H26" s="16">
        <f>H24/H25*1000</f>
        <v>657.39043824701196</v>
      </c>
      <c r="I26" s="16"/>
      <c r="J26" s="16">
        <f t="shared" ref="J26" si="9">J24/J25*1000</f>
        <v>519.79999999999995</v>
      </c>
      <c r="K26" s="16"/>
      <c r="L26" s="16"/>
      <c r="M26" s="220"/>
      <c r="N26" s="221"/>
      <c r="P26">
        <f t="shared" si="0"/>
        <v>2629.5617529880478</v>
      </c>
      <c r="Q26" s="44" t="e">
        <f>E26+март!I26</f>
        <v>#DIV/0!</v>
      </c>
      <c r="R26" s="30">
        <f>F26+фев!J26</f>
        <v>519.79999999999995</v>
      </c>
    </row>
    <row r="27" spans="1:18" ht="17.25" customHeight="1">
      <c r="A27" s="8" t="s">
        <v>23</v>
      </c>
      <c r="B27" s="9" t="s">
        <v>25</v>
      </c>
      <c r="C27" s="8" t="s">
        <v>4</v>
      </c>
      <c r="D27" s="10">
        <v>214.15600000000001</v>
      </c>
      <c r="E27" s="8"/>
      <c r="F27" s="8"/>
      <c r="G27" s="10">
        <f t="shared" si="1"/>
        <v>0</v>
      </c>
      <c r="H27" s="10">
        <f>D27+март!H27</f>
        <v>856.62400000000002</v>
      </c>
      <c r="I27" s="8"/>
      <c r="J27" s="10">
        <f>F27+март!J27</f>
        <v>0</v>
      </c>
      <c r="K27" s="10">
        <f t="shared" si="2"/>
        <v>0</v>
      </c>
      <c r="L27" s="16"/>
      <c r="M27" s="220"/>
      <c r="N27" s="221"/>
      <c r="P27">
        <f t="shared" si="0"/>
        <v>856.62400000000002</v>
      </c>
      <c r="Q27" s="44">
        <f>E27+март!I27</f>
        <v>0</v>
      </c>
      <c r="R27" s="30">
        <f>F27+фев!J27</f>
        <v>0</v>
      </c>
    </row>
    <row r="28" spans="1:18" ht="17.25" customHeight="1">
      <c r="A28" s="8"/>
      <c r="B28" s="12" t="s">
        <v>13</v>
      </c>
      <c r="C28" s="13" t="s">
        <v>14</v>
      </c>
      <c r="D28" s="14">
        <v>238</v>
      </c>
      <c r="E28" s="13"/>
      <c r="F28" s="8"/>
      <c r="G28" s="10">
        <f t="shared" si="1"/>
        <v>0</v>
      </c>
      <c r="H28" s="14">
        <f>D28+март!H28</f>
        <v>952</v>
      </c>
      <c r="I28" s="8"/>
      <c r="J28" s="14">
        <f>F28+март!J28</f>
        <v>0</v>
      </c>
      <c r="K28" s="10">
        <f t="shared" si="2"/>
        <v>0</v>
      </c>
      <c r="L28" s="16"/>
      <c r="M28" s="220"/>
      <c r="N28" s="221"/>
      <c r="P28">
        <f t="shared" si="0"/>
        <v>952</v>
      </c>
      <c r="Q28" s="44">
        <f>E28+март!I28</f>
        <v>0</v>
      </c>
      <c r="R28" s="30">
        <f>F28+фев!J28</f>
        <v>0</v>
      </c>
    </row>
    <row r="29" spans="1:18" ht="17.25" customHeight="1">
      <c r="A29" s="8"/>
      <c r="B29" s="12" t="s">
        <v>15</v>
      </c>
      <c r="C29" s="13" t="s">
        <v>16</v>
      </c>
      <c r="D29" s="16">
        <f>D27/D28*1000</f>
        <v>899.81512605042019</v>
      </c>
      <c r="E29" s="13"/>
      <c r="F29" s="8"/>
      <c r="G29" s="10">
        <f t="shared" si="1"/>
        <v>0</v>
      </c>
      <c r="H29" s="16">
        <f>H27/H28*1000</f>
        <v>899.81512605042019</v>
      </c>
      <c r="I29" s="16"/>
      <c r="J29" s="16" t="e">
        <f t="shared" ref="J29" si="10">J27/J28*1000</f>
        <v>#DIV/0!</v>
      </c>
      <c r="K29" s="10" t="e">
        <f t="shared" si="2"/>
        <v>#DIV/0!</v>
      </c>
      <c r="L29" s="16"/>
      <c r="M29" s="220"/>
      <c r="N29" s="221"/>
      <c r="P29">
        <f t="shared" si="0"/>
        <v>3599.2605042016808</v>
      </c>
      <c r="Q29" s="44">
        <f>E29+март!I29</f>
        <v>0</v>
      </c>
      <c r="R29" s="30">
        <f>F29+фев!J29</f>
        <v>0</v>
      </c>
    </row>
    <row r="30" spans="1:18" ht="17.25" customHeight="1">
      <c r="A30" s="18" t="s">
        <v>26</v>
      </c>
      <c r="B30" s="9" t="s">
        <v>27</v>
      </c>
      <c r="C30" s="8" t="s">
        <v>4</v>
      </c>
      <c r="D30" s="10">
        <f t="shared" ref="D30" si="11">D31+D32+D33+D34</f>
        <v>2406.0839999999998</v>
      </c>
      <c r="E30" s="8">
        <v>762.50099999999998</v>
      </c>
      <c r="F30" s="10">
        <f>F31+F32+F33+F34</f>
        <v>601.69200000000001</v>
      </c>
      <c r="G30" s="10">
        <f t="shared" si="1"/>
        <v>-160.80899999999997</v>
      </c>
      <c r="H30" s="10">
        <f t="shared" ref="H30" si="12">H31+H32+H33+H34</f>
        <v>9624.3359999999993</v>
      </c>
      <c r="I30" s="8">
        <f>E30+март!I30</f>
        <v>3050.0039999999999</v>
      </c>
      <c r="J30" s="10">
        <f t="shared" ref="J30" si="13">J31+J32+J33+J34</f>
        <v>9172.7489999999998</v>
      </c>
      <c r="K30" s="10">
        <f t="shared" si="2"/>
        <v>6122.7449999999999</v>
      </c>
      <c r="L30" s="16">
        <f t="shared" si="3"/>
        <v>200.74547443216466</v>
      </c>
      <c r="M30" s="220"/>
      <c r="N30" s="221"/>
      <c r="P30">
        <f t="shared" si="0"/>
        <v>9624.3359999999993</v>
      </c>
      <c r="Q30" s="44">
        <f>E30+март!I30</f>
        <v>3050.0039999999999</v>
      </c>
      <c r="R30" s="30">
        <f>F30+фев!J30</f>
        <v>8863.6860000000015</v>
      </c>
    </row>
    <row r="31" spans="1:18" ht="35.25" customHeight="1">
      <c r="A31" s="18" t="s">
        <v>28</v>
      </c>
      <c r="B31" s="9" t="s">
        <v>29</v>
      </c>
      <c r="C31" s="8" t="s">
        <v>4</v>
      </c>
      <c r="D31" s="10">
        <v>2288.5219999999999</v>
      </c>
      <c r="E31" s="8"/>
      <c r="F31" s="55">
        <v>462.95400000000001</v>
      </c>
      <c r="G31" s="10">
        <f t="shared" si="1"/>
        <v>462.95400000000001</v>
      </c>
      <c r="H31" s="10">
        <f>D31+март!H31</f>
        <v>9154.0879999999997</v>
      </c>
      <c r="I31" s="8"/>
      <c r="J31" s="10">
        <f>F31+март!J31</f>
        <v>8773.4349999999995</v>
      </c>
      <c r="K31" s="10">
        <f t="shared" si="2"/>
        <v>8773.4349999999995</v>
      </c>
      <c r="L31" s="16"/>
      <c r="M31" s="220"/>
      <c r="N31" s="221"/>
      <c r="P31">
        <f t="shared" si="0"/>
        <v>9154.0879999999997</v>
      </c>
      <c r="Q31" s="44">
        <f>E31+март!I31</f>
        <v>0</v>
      </c>
      <c r="R31" s="30">
        <f>F31+фев!J31</f>
        <v>8515.9320000000007</v>
      </c>
    </row>
    <row r="32" spans="1:18" ht="51.75" customHeight="1">
      <c r="A32" s="18" t="s">
        <v>30</v>
      </c>
      <c r="B32" s="9" t="s">
        <v>31</v>
      </c>
      <c r="C32" s="8" t="s">
        <v>4</v>
      </c>
      <c r="D32" s="10">
        <v>60.337000000000003</v>
      </c>
      <c r="E32" s="8"/>
      <c r="F32" s="54">
        <v>118.22799999999999</v>
      </c>
      <c r="G32" s="10">
        <f t="shared" si="1"/>
        <v>118.22799999999999</v>
      </c>
      <c r="H32" s="10">
        <f>D32+март!H32</f>
        <v>241.34800000000001</v>
      </c>
      <c r="I32" s="8"/>
      <c r="J32" s="10">
        <f>F32+март!J32</f>
        <v>268.02999999999997</v>
      </c>
      <c r="K32" s="10">
        <f t="shared" si="2"/>
        <v>268.02999999999997</v>
      </c>
      <c r="L32" s="16"/>
      <c r="M32" s="222" t="s">
        <v>285</v>
      </c>
      <c r="N32" s="223"/>
      <c r="P32">
        <f t="shared" si="0"/>
        <v>241.34800000000001</v>
      </c>
      <c r="Q32" s="44">
        <f>E32+март!I32</f>
        <v>0</v>
      </c>
      <c r="R32" s="30">
        <f>F32+фев!J32</f>
        <v>248.38799999999998</v>
      </c>
    </row>
    <row r="33" spans="1:18" ht="17.25" customHeight="1">
      <c r="A33" s="18" t="s">
        <v>32</v>
      </c>
      <c r="B33" s="9" t="s">
        <v>33</v>
      </c>
      <c r="C33" s="8" t="s">
        <v>4</v>
      </c>
      <c r="D33" s="10">
        <v>19.736999999999998</v>
      </c>
      <c r="E33" s="8"/>
      <c r="F33" s="55">
        <v>14.436999999999999</v>
      </c>
      <c r="G33" s="10">
        <f t="shared" si="1"/>
        <v>14.436999999999999</v>
      </c>
      <c r="H33" s="10">
        <f>D33+март!H33</f>
        <v>78.947999999999993</v>
      </c>
      <c r="I33" s="8"/>
      <c r="J33" s="10">
        <f>F33+март!J33</f>
        <v>49.525999999999996</v>
      </c>
      <c r="K33" s="10">
        <f t="shared" si="2"/>
        <v>49.525999999999996</v>
      </c>
      <c r="L33" s="16"/>
      <c r="M33" s="220"/>
      <c r="N33" s="221"/>
      <c r="P33">
        <f t="shared" si="0"/>
        <v>78.947999999999993</v>
      </c>
      <c r="Q33" s="44">
        <f>E33+март!I33</f>
        <v>0</v>
      </c>
      <c r="R33" s="30">
        <f>F33+фев!J33</f>
        <v>30.158999999999999</v>
      </c>
    </row>
    <row r="34" spans="1:18" ht="33" customHeight="1">
      <c r="A34" s="18" t="s">
        <v>34</v>
      </c>
      <c r="B34" s="9" t="s">
        <v>35</v>
      </c>
      <c r="C34" s="8" t="s">
        <v>4</v>
      </c>
      <c r="D34" s="10">
        <v>37.488</v>
      </c>
      <c r="E34" s="8"/>
      <c r="F34" s="55">
        <v>6.0730000000000004</v>
      </c>
      <c r="G34" s="10">
        <f t="shared" si="1"/>
        <v>6.0730000000000004</v>
      </c>
      <c r="H34" s="10">
        <f>D34+март!H34</f>
        <v>149.952</v>
      </c>
      <c r="I34" s="8"/>
      <c r="J34" s="10">
        <f>F34+март!J34</f>
        <v>81.75800000000001</v>
      </c>
      <c r="K34" s="10">
        <f t="shared" si="2"/>
        <v>81.75800000000001</v>
      </c>
      <c r="L34" s="16"/>
      <c r="M34" s="220"/>
      <c r="N34" s="221"/>
      <c r="P34">
        <f t="shared" si="0"/>
        <v>149.952</v>
      </c>
      <c r="Q34" s="44">
        <f>E34+март!I34</f>
        <v>0</v>
      </c>
      <c r="R34" s="30">
        <f>F34+фев!J34</f>
        <v>69.206999999999994</v>
      </c>
    </row>
    <row r="35" spans="1:18" ht="17.25" customHeight="1">
      <c r="A35" s="18" t="s">
        <v>36</v>
      </c>
      <c r="B35" s="9" t="s">
        <v>37</v>
      </c>
      <c r="C35" s="8" t="s">
        <v>4</v>
      </c>
      <c r="D35" s="10">
        <f t="shared" ref="D35:J35" si="14">D36</f>
        <v>162.715</v>
      </c>
      <c r="E35" s="10">
        <f t="shared" si="14"/>
        <v>162.75</v>
      </c>
      <c r="F35" s="10">
        <f t="shared" si="14"/>
        <v>78.372</v>
      </c>
      <c r="G35" s="10">
        <f t="shared" si="1"/>
        <v>-84.378</v>
      </c>
      <c r="H35" s="10">
        <f t="shared" si="14"/>
        <v>650.86</v>
      </c>
      <c r="I35" s="10">
        <f t="shared" si="14"/>
        <v>651</v>
      </c>
      <c r="J35" s="10">
        <f t="shared" si="14"/>
        <v>1783.548</v>
      </c>
      <c r="K35" s="10">
        <f t="shared" si="2"/>
        <v>1132.548</v>
      </c>
      <c r="L35" s="16">
        <f t="shared" si="3"/>
        <v>173.9705069124424</v>
      </c>
      <c r="M35" s="220"/>
      <c r="N35" s="221"/>
      <c r="P35">
        <f t="shared" si="0"/>
        <v>650.86</v>
      </c>
      <c r="Q35" s="44">
        <f>E35+март!I35</f>
        <v>651</v>
      </c>
      <c r="R35" s="30">
        <f>F35+фев!J35</f>
        <v>1434.7840000000001</v>
      </c>
    </row>
    <row r="36" spans="1:18" ht="17.25" customHeight="1">
      <c r="A36" s="8" t="s">
        <v>38</v>
      </c>
      <c r="B36" s="9" t="s">
        <v>39</v>
      </c>
      <c r="C36" s="8" t="s">
        <v>4</v>
      </c>
      <c r="D36" s="10">
        <v>162.715</v>
      </c>
      <c r="E36" s="8">
        <v>162.75</v>
      </c>
      <c r="F36" s="54">
        <v>78.372</v>
      </c>
      <c r="G36" s="10">
        <f t="shared" si="1"/>
        <v>-84.378</v>
      </c>
      <c r="H36" s="10">
        <f>D36+март!H36</f>
        <v>650.86</v>
      </c>
      <c r="I36" s="10">
        <f>E36+март!I36</f>
        <v>651</v>
      </c>
      <c r="J36" s="10">
        <f>F36+март!J36</f>
        <v>1783.548</v>
      </c>
      <c r="K36" s="10">
        <f t="shared" si="2"/>
        <v>1132.548</v>
      </c>
      <c r="L36" s="16">
        <f t="shared" si="3"/>
        <v>173.9705069124424</v>
      </c>
      <c r="M36" s="220"/>
      <c r="N36" s="221"/>
      <c r="P36">
        <f t="shared" si="0"/>
        <v>650.86</v>
      </c>
      <c r="Q36" s="44">
        <f>E36+март!I36</f>
        <v>651</v>
      </c>
      <c r="R36" s="30">
        <f>F36+фев!J36</f>
        <v>1434.7840000000001</v>
      </c>
    </row>
    <row r="37" spans="1:18" ht="17.25" customHeight="1">
      <c r="A37" s="18" t="s">
        <v>40</v>
      </c>
      <c r="B37" s="9" t="s">
        <v>41</v>
      </c>
      <c r="C37" s="8" t="s">
        <v>4</v>
      </c>
      <c r="D37" s="10">
        <f>D38+D41+D48+D51</f>
        <v>1613.3909999999998</v>
      </c>
      <c r="E37" s="8">
        <v>1933.0830000000001</v>
      </c>
      <c r="F37" s="10">
        <f>F38+F41+F48+F51</f>
        <v>2457.3290000000002</v>
      </c>
      <c r="G37" s="10">
        <f t="shared" si="1"/>
        <v>524.24600000000009</v>
      </c>
      <c r="H37" s="10">
        <f>H38+H41+H48+H51</f>
        <v>6453.5639999999994</v>
      </c>
      <c r="I37" s="8">
        <f>E37+март!I37</f>
        <v>7732.3320000000003</v>
      </c>
      <c r="J37" s="10">
        <f>J38+J41+J48+J51</f>
        <v>10051.732</v>
      </c>
      <c r="K37" s="10">
        <f t="shared" si="2"/>
        <v>2319.3999999999996</v>
      </c>
      <c r="L37" s="16">
        <f t="shared" si="3"/>
        <v>29.99612536036993</v>
      </c>
      <c r="M37" s="220"/>
      <c r="N37" s="221"/>
      <c r="P37">
        <f t="shared" si="0"/>
        <v>6453.5639999999994</v>
      </c>
      <c r="Q37" s="44">
        <f>E37+март!I37</f>
        <v>7732.3320000000003</v>
      </c>
      <c r="R37" s="30">
        <f>F37+фев!J37</f>
        <v>7864.1490000000013</v>
      </c>
    </row>
    <row r="38" spans="1:18" ht="17.25" customHeight="1">
      <c r="A38" s="18" t="s">
        <v>42</v>
      </c>
      <c r="B38" s="9" t="s">
        <v>43</v>
      </c>
      <c r="C38" s="8" t="s">
        <v>4</v>
      </c>
      <c r="D38" s="10">
        <v>707.32500000000005</v>
      </c>
      <c r="E38" s="8">
        <v>707.33299999999997</v>
      </c>
      <c r="F38" s="55">
        <v>1220.296</v>
      </c>
      <c r="G38" s="10">
        <f t="shared" si="1"/>
        <v>512.96300000000008</v>
      </c>
      <c r="H38" s="10">
        <f>D38+март!H38</f>
        <v>2829.3</v>
      </c>
      <c r="I38" s="8">
        <f>E38+март!I38</f>
        <v>2829.3319999999999</v>
      </c>
      <c r="J38" s="10">
        <f>F38+март!J38</f>
        <v>5547.366</v>
      </c>
      <c r="K38" s="10">
        <f t="shared" si="2"/>
        <v>2718.0340000000001</v>
      </c>
      <c r="L38" s="16">
        <f t="shared" si="3"/>
        <v>96.066279955834105</v>
      </c>
      <c r="M38" s="220"/>
      <c r="N38" s="221"/>
      <c r="P38">
        <f t="shared" si="0"/>
        <v>2829.3</v>
      </c>
      <c r="Q38" s="44">
        <f>E38+март!I38</f>
        <v>2829.3319999999999</v>
      </c>
      <c r="R38" s="30">
        <f>F38+фев!J38</f>
        <v>4445.3640000000005</v>
      </c>
    </row>
    <row r="39" spans="1:18" ht="17.25" customHeight="1">
      <c r="A39" s="8"/>
      <c r="B39" s="12" t="s">
        <v>13</v>
      </c>
      <c r="C39" s="13" t="s">
        <v>44</v>
      </c>
      <c r="D39" s="14">
        <v>87</v>
      </c>
      <c r="E39" s="13"/>
      <c r="F39" s="55">
        <v>196</v>
      </c>
      <c r="G39" s="10">
        <f t="shared" si="1"/>
        <v>196</v>
      </c>
      <c r="H39" s="14">
        <f>D39+март!H39</f>
        <v>348</v>
      </c>
      <c r="I39" s="8"/>
      <c r="J39" s="14">
        <f>F39+март!J39</f>
        <v>891</v>
      </c>
      <c r="K39" s="10">
        <f t="shared" si="2"/>
        <v>891</v>
      </c>
      <c r="L39" s="16"/>
      <c r="M39" s="220"/>
      <c r="N39" s="221"/>
      <c r="P39">
        <f t="shared" si="0"/>
        <v>348</v>
      </c>
      <c r="Q39" s="44">
        <f>E39+март!I39</f>
        <v>0</v>
      </c>
      <c r="R39" s="30">
        <f>F39+фев!J39</f>
        <v>714</v>
      </c>
    </row>
    <row r="40" spans="1:18" ht="17.25" customHeight="1">
      <c r="A40" s="8"/>
      <c r="B40" s="12" t="s">
        <v>15</v>
      </c>
      <c r="C40" s="13" t="s">
        <v>16</v>
      </c>
      <c r="D40" s="16">
        <f>D38/D39*1000</f>
        <v>8130.1724137931051</v>
      </c>
      <c r="E40" s="16"/>
      <c r="F40" s="16">
        <f t="shared" ref="F40" si="15">F38/F39*1000</f>
        <v>6226</v>
      </c>
      <c r="G40" s="10">
        <f t="shared" si="1"/>
        <v>6226</v>
      </c>
      <c r="H40" s="16">
        <f>H38/H39*1000</f>
        <v>8130.1724137931051</v>
      </c>
      <c r="I40" s="16"/>
      <c r="J40" s="16">
        <f t="shared" ref="J40" si="16">J38/J39*1000</f>
        <v>6226</v>
      </c>
      <c r="K40" s="10">
        <f t="shared" si="2"/>
        <v>6226</v>
      </c>
      <c r="L40" s="16"/>
      <c r="M40" s="220"/>
      <c r="N40" s="221"/>
      <c r="P40">
        <f t="shared" si="0"/>
        <v>32520.68965517242</v>
      </c>
      <c r="Q40" s="44">
        <f>E40+март!I40</f>
        <v>0</v>
      </c>
      <c r="R40" s="30">
        <f>F40+фев!J40</f>
        <v>12452</v>
      </c>
    </row>
    <row r="41" spans="1:18" ht="17.25" customHeight="1">
      <c r="A41" s="18" t="s">
        <v>45</v>
      </c>
      <c r="B41" s="9" t="s">
        <v>46</v>
      </c>
      <c r="C41" s="8" t="s">
        <v>4</v>
      </c>
      <c r="D41" s="10">
        <f t="shared" ref="D41:F41" si="17">D42+D45</f>
        <v>315.00200000000001</v>
      </c>
      <c r="E41" s="10">
        <f t="shared" si="17"/>
        <v>0</v>
      </c>
      <c r="F41" s="10">
        <f t="shared" si="17"/>
        <v>296.67</v>
      </c>
      <c r="G41" s="10">
        <f t="shared" si="1"/>
        <v>296.67</v>
      </c>
      <c r="H41" s="10">
        <f t="shared" ref="H41:J41" si="18">H42+H45</f>
        <v>1260.008</v>
      </c>
      <c r="I41" s="10">
        <f t="shared" si="18"/>
        <v>0</v>
      </c>
      <c r="J41" s="10">
        <f t="shared" si="18"/>
        <v>1437.058</v>
      </c>
      <c r="K41" s="10">
        <f t="shared" si="2"/>
        <v>1437.058</v>
      </c>
      <c r="L41" s="16"/>
      <c r="M41" s="220"/>
      <c r="N41" s="221"/>
      <c r="P41">
        <f t="shared" si="0"/>
        <v>1260.008</v>
      </c>
      <c r="Q41" s="44">
        <f>E41+март!I41</f>
        <v>0</v>
      </c>
      <c r="R41" s="30">
        <f>F41+фев!J41</f>
        <v>1117.27</v>
      </c>
    </row>
    <row r="42" spans="1:18" ht="16.5" customHeight="1">
      <c r="A42" s="8"/>
      <c r="B42" s="9" t="s">
        <v>47</v>
      </c>
      <c r="C42" s="8" t="s">
        <v>4</v>
      </c>
      <c r="D42" s="10">
        <v>152.298</v>
      </c>
      <c r="E42" s="8"/>
      <c r="F42" s="8"/>
      <c r="G42" s="10">
        <f t="shared" si="1"/>
        <v>0</v>
      </c>
      <c r="H42" s="10">
        <f>D42+март!H42</f>
        <v>609.19200000000001</v>
      </c>
      <c r="I42" s="8"/>
      <c r="J42" s="10">
        <f>F42+март!J42</f>
        <v>0</v>
      </c>
      <c r="K42" s="10">
        <f t="shared" si="2"/>
        <v>0</v>
      </c>
      <c r="L42" s="16"/>
      <c r="M42" s="233" t="s">
        <v>286</v>
      </c>
      <c r="N42" s="234"/>
      <c r="P42">
        <f t="shared" si="0"/>
        <v>609.19200000000001</v>
      </c>
      <c r="Q42" s="44">
        <f>E42+март!I42</f>
        <v>0</v>
      </c>
      <c r="R42" s="30">
        <f>F42+фев!J42</f>
        <v>0</v>
      </c>
    </row>
    <row r="43" spans="1:18" ht="17.25" customHeight="1">
      <c r="A43" s="8"/>
      <c r="B43" s="12" t="s">
        <v>48</v>
      </c>
      <c r="C43" s="13" t="s">
        <v>49</v>
      </c>
      <c r="D43" s="14">
        <v>1917</v>
      </c>
      <c r="E43" s="13"/>
      <c r="F43" s="8"/>
      <c r="G43" s="10">
        <f t="shared" si="1"/>
        <v>0</v>
      </c>
      <c r="H43" s="14">
        <f>D43+март!H43</f>
        <v>7668</v>
      </c>
      <c r="I43" s="8"/>
      <c r="J43" s="14">
        <f>F43+март!J43</f>
        <v>0</v>
      </c>
      <c r="K43" s="10">
        <f t="shared" si="2"/>
        <v>0</v>
      </c>
      <c r="L43" s="16"/>
      <c r="M43" s="235"/>
      <c r="N43" s="236"/>
      <c r="P43">
        <f t="shared" si="0"/>
        <v>7668</v>
      </c>
      <c r="Q43" s="44">
        <f>E43+март!I43</f>
        <v>0</v>
      </c>
      <c r="R43" s="30">
        <f>F43+фев!J43</f>
        <v>0</v>
      </c>
    </row>
    <row r="44" spans="1:18" ht="17.25" customHeight="1">
      <c r="A44" s="8"/>
      <c r="B44" s="12" t="s">
        <v>15</v>
      </c>
      <c r="C44" s="13" t="s">
        <v>16</v>
      </c>
      <c r="D44" s="16">
        <f>D42/D43*1000</f>
        <v>79.44600938967136</v>
      </c>
      <c r="E44" s="13"/>
      <c r="F44" s="8"/>
      <c r="G44" s="10">
        <f t="shared" si="1"/>
        <v>0</v>
      </c>
      <c r="H44" s="16">
        <f>H42/H43*1000</f>
        <v>79.44600938967136</v>
      </c>
      <c r="I44" s="16"/>
      <c r="J44" s="16" t="e">
        <f t="shared" ref="J44" si="19">J42/J43*1000</f>
        <v>#DIV/0!</v>
      </c>
      <c r="K44" s="10" t="e">
        <f t="shared" si="2"/>
        <v>#DIV/0!</v>
      </c>
      <c r="L44" s="16"/>
      <c r="M44" s="220"/>
      <c r="N44" s="221"/>
      <c r="P44">
        <f t="shared" si="0"/>
        <v>317.78403755868544</v>
      </c>
      <c r="Q44" s="44">
        <f>E44+март!I44</f>
        <v>0</v>
      </c>
      <c r="R44" s="30">
        <f>F44+фев!J44</f>
        <v>0</v>
      </c>
    </row>
    <row r="45" spans="1:18" ht="17.25" customHeight="1">
      <c r="A45" s="8"/>
      <c r="B45" s="19" t="s">
        <v>50</v>
      </c>
      <c r="C45" s="8" t="s">
        <v>4</v>
      </c>
      <c r="D45" s="10">
        <v>162.70400000000001</v>
      </c>
      <c r="E45" s="8"/>
      <c r="F45" s="54">
        <v>296.67</v>
      </c>
      <c r="G45" s="10">
        <f t="shared" si="1"/>
        <v>296.67</v>
      </c>
      <c r="H45" s="10">
        <f>D45+март!H45</f>
        <v>650.81600000000003</v>
      </c>
      <c r="I45" s="10">
        <f>E45+март!I45</f>
        <v>0</v>
      </c>
      <c r="J45" s="10">
        <f>F45+март!J45</f>
        <v>1437.058</v>
      </c>
      <c r="K45" s="10">
        <f t="shared" si="2"/>
        <v>1437.058</v>
      </c>
      <c r="L45" s="16"/>
      <c r="M45" s="220"/>
      <c r="N45" s="221"/>
      <c r="P45">
        <f t="shared" si="0"/>
        <v>650.81600000000003</v>
      </c>
      <c r="Q45" s="44">
        <f>E45+март!I45</f>
        <v>0</v>
      </c>
      <c r="R45" s="30">
        <f>F45+фев!J45</f>
        <v>1117.27</v>
      </c>
    </row>
    <row r="46" spans="1:18" ht="17.25" customHeight="1">
      <c r="A46" s="8"/>
      <c r="B46" s="12" t="s">
        <v>51</v>
      </c>
      <c r="C46" s="13" t="s">
        <v>49</v>
      </c>
      <c r="D46" s="14">
        <v>1417</v>
      </c>
      <c r="E46" s="13"/>
      <c r="F46" s="8">
        <v>2096</v>
      </c>
      <c r="G46" s="10">
        <f t="shared" si="1"/>
        <v>2096</v>
      </c>
      <c r="H46" s="14">
        <f>D46+март!H46</f>
        <v>5668</v>
      </c>
      <c r="I46" s="8"/>
      <c r="J46" s="14">
        <f>F46+март!J46</f>
        <v>10122</v>
      </c>
      <c r="K46" s="10">
        <f t="shared" si="2"/>
        <v>10122</v>
      </c>
      <c r="L46" s="16"/>
      <c r="M46" s="220"/>
      <c r="N46" s="221"/>
      <c r="P46">
        <f t="shared" si="0"/>
        <v>5668</v>
      </c>
      <c r="Q46" s="44">
        <f>E46+март!I46</f>
        <v>0</v>
      </c>
      <c r="R46" s="30">
        <f>F46+фев!J46</f>
        <v>7799</v>
      </c>
    </row>
    <row r="47" spans="1:18" ht="17.25" customHeight="1">
      <c r="A47" s="8"/>
      <c r="B47" s="12" t="s">
        <v>15</v>
      </c>
      <c r="C47" s="13" t="s">
        <v>16</v>
      </c>
      <c r="D47" s="16">
        <f>D45/D46*1000</f>
        <v>114.82286520818631</v>
      </c>
      <c r="E47" s="16"/>
      <c r="F47" s="16">
        <f t="shared" ref="F47" si="20">F45/F46*1000</f>
        <v>141.54103053435117</v>
      </c>
      <c r="G47" s="10">
        <f t="shared" si="1"/>
        <v>141.54103053435117</v>
      </c>
      <c r="H47" s="16">
        <f>H45/H46*1000</f>
        <v>114.82286520818631</v>
      </c>
      <c r="I47" s="16"/>
      <c r="J47" s="16">
        <f t="shared" ref="J47" si="21">J45/J46*1000</f>
        <v>141.97372060857538</v>
      </c>
      <c r="K47" s="10">
        <f t="shared" si="2"/>
        <v>141.97372060857538</v>
      </c>
      <c r="L47" s="16"/>
      <c r="M47" s="220"/>
      <c r="N47" s="221"/>
      <c r="P47">
        <f t="shared" si="0"/>
        <v>459.29146083274526</v>
      </c>
      <c r="Q47" s="44">
        <f>E47+март!I47</f>
        <v>0</v>
      </c>
      <c r="R47" s="30">
        <f>F47+фев!J47</f>
        <v>141.54103053435117</v>
      </c>
    </row>
    <row r="48" spans="1:18" ht="17.25" customHeight="1">
      <c r="A48" s="18" t="s">
        <v>52</v>
      </c>
      <c r="B48" s="9" t="s">
        <v>53</v>
      </c>
      <c r="C48" s="8" t="s">
        <v>4</v>
      </c>
      <c r="D48" s="10">
        <v>515.60799999999995</v>
      </c>
      <c r="E48" s="8"/>
      <c r="F48" s="55">
        <f>82.69+748.374</f>
        <v>831.06400000000008</v>
      </c>
      <c r="G48" s="10">
        <f t="shared" si="1"/>
        <v>831.06400000000008</v>
      </c>
      <c r="H48" s="10">
        <f>D48+март!H48</f>
        <v>2062.4319999999998</v>
      </c>
      <c r="I48" s="8"/>
      <c r="J48" s="10">
        <f>F48+март!J48</f>
        <v>2946.1590000000006</v>
      </c>
      <c r="K48" s="10">
        <f t="shared" si="2"/>
        <v>2946.1590000000006</v>
      </c>
      <c r="L48" s="16"/>
      <c r="M48" s="220"/>
      <c r="N48" s="221"/>
      <c r="P48">
        <f t="shared" si="0"/>
        <v>2062.4319999999998</v>
      </c>
      <c r="Q48" s="44">
        <f>E48+март!I48</f>
        <v>0</v>
      </c>
      <c r="R48" s="30">
        <f>F48+фев!J48</f>
        <v>2180.9560000000001</v>
      </c>
    </row>
    <row r="49" spans="1:18" ht="17.25" customHeight="1">
      <c r="A49" s="8"/>
      <c r="B49" s="12" t="s">
        <v>13</v>
      </c>
      <c r="C49" s="13" t="s">
        <v>49</v>
      </c>
      <c r="D49" s="14">
        <v>5833</v>
      </c>
      <c r="E49" s="13"/>
      <c r="F49" s="8">
        <f>5115+432</f>
        <v>5547</v>
      </c>
      <c r="G49" s="10">
        <f t="shared" si="1"/>
        <v>5547</v>
      </c>
      <c r="H49" s="14">
        <f>D49+март!H49</f>
        <v>23332</v>
      </c>
      <c r="I49" s="8"/>
      <c r="J49" s="14">
        <f>F49+март!J49</f>
        <v>18323</v>
      </c>
      <c r="K49" s="10">
        <f t="shared" si="2"/>
        <v>18323</v>
      </c>
      <c r="L49" s="16"/>
      <c r="M49" s="220"/>
      <c r="N49" s="221"/>
      <c r="P49">
        <f t="shared" si="0"/>
        <v>23332</v>
      </c>
      <c r="Q49" s="44">
        <f>E49+март!I49</f>
        <v>0</v>
      </c>
      <c r="R49" s="30">
        <f>F49+фев!J49</f>
        <v>14046</v>
      </c>
    </row>
    <row r="50" spans="1:18" ht="17.25" customHeight="1">
      <c r="A50" s="8"/>
      <c r="B50" s="12" t="s">
        <v>15</v>
      </c>
      <c r="C50" s="13" t="s">
        <v>16</v>
      </c>
      <c r="D50" s="16">
        <f>D48/D49*1000</f>
        <v>88.394993999657117</v>
      </c>
      <c r="E50" s="16"/>
      <c r="F50" s="16">
        <f t="shared" ref="F50" si="22">F48/F49*1000</f>
        <v>149.82224625923922</v>
      </c>
      <c r="G50" s="10">
        <f t="shared" si="1"/>
        <v>149.82224625923922</v>
      </c>
      <c r="H50" s="16">
        <f>H48/H49*1000</f>
        <v>88.394993999657117</v>
      </c>
      <c r="I50" s="16"/>
      <c r="J50" s="16">
        <f t="shared" ref="J50" si="23">J48/J49*1000</f>
        <v>160.7902090269061</v>
      </c>
      <c r="K50" s="10">
        <f t="shared" si="2"/>
        <v>160.7902090269061</v>
      </c>
      <c r="L50" s="16"/>
      <c r="M50" s="220"/>
      <c r="N50" s="221"/>
      <c r="P50">
        <f t="shared" si="0"/>
        <v>353.57997599862847</v>
      </c>
      <c r="Q50" s="44">
        <f>E50+март!I50</f>
        <v>0</v>
      </c>
      <c r="R50" s="30">
        <f>F50+фев!J50</f>
        <v>149.82224625923922</v>
      </c>
    </row>
    <row r="51" spans="1:18" ht="17.25" customHeight="1">
      <c r="A51" s="18" t="s">
        <v>54</v>
      </c>
      <c r="B51" s="20" t="s">
        <v>55</v>
      </c>
      <c r="C51" s="8" t="s">
        <v>4</v>
      </c>
      <c r="D51" s="10">
        <f t="shared" ref="D51:F52" si="24">D54+D57+D60+D63+D66+D69</f>
        <v>75.456000000000003</v>
      </c>
      <c r="E51" s="10"/>
      <c r="F51" s="10">
        <f t="shared" si="24"/>
        <v>109.29900000000001</v>
      </c>
      <c r="G51" s="10">
        <f t="shared" si="1"/>
        <v>109.29900000000001</v>
      </c>
      <c r="H51" s="10">
        <f t="shared" ref="H51:H52" si="25">H54+H57+H60+H63+H66+H69</f>
        <v>301.82400000000001</v>
      </c>
      <c r="I51" s="10"/>
      <c r="J51" s="10">
        <f t="shared" ref="J51:J52" si="26">J54+J57+J60+J63+J66+J69</f>
        <v>121.149</v>
      </c>
      <c r="K51" s="10">
        <f t="shared" si="2"/>
        <v>121.149</v>
      </c>
      <c r="L51" s="16"/>
      <c r="M51" s="220"/>
      <c r="N51" s="221"/>
      <c r="P51">
        <f t="shared" si="0"/>
        <v>301.82400000000001</v>
      </c>
      <c r="Q51" s="44">
        <f>E51+март!I51</f>
        <v>0</v>
      </c>
      <c r="R51" s="30">
        <f>F51+фев!J51</f>
        <v>120.55900000000001</v>
      </c>
    </row>
    <row r="52" spans="1:18" ht="17.25" customHeight="1">
      <c r="A52" s="8"/>
      <c r="B52" s="19" t="s">
        <v>13</v>
      </c>
      <c r="C52" s="13" t="s">
        <v>49</v>
      </c>
      <c r="D52" s="14">
        <f t="shared" si="24"/>
        <v>177</v>
      </c>
      <c r="E52" s="13"/>
      <c r="F52" s="14">
        <f t="shared" si="24"/>
        <v>199</v>
      </c>
      <c r="G52" s="10">
        <f t="shared" si="1"/>
        <v>199</v>
      </c>
      <c r="H52" s="14">
        <f t="shared" si="25"/>
        <v>708</v>
      </c>
      <c r="I52" s="8"/>
      <c r="J52" s="14">
        <f t="shared" si="26"/>
        <v>219.07499999999999</v>
      </c>
      <c r="K52" s="10">
        <f t="shared" si="2"/>
        <v>219.07499999999999</v>
      </c>
      <c r="L52" s="16"/>
      <c r="M52" s="220"/>
      <c r="N52" s="221"/>
      <c r="P52">
        <f t="shared" si="0"/>
        <v>708</v>
      </c>
      <c r="Q52" s="44">
        <f>E52+март!I52</f>
        <v>0</v>
      </c>
      <c r="R52" s="30">
        <f>F52+фев!J52</f>
        <v>199</v>
      </c>
    </row>
    <row r="53" spans="1:18" ht="17.25" customHeight="1">
      <c r="A53" s="8"/>
      <c r="B53" s="19" t="s">
        <v>15</v>
      </c>
      <c r="C53" s="13" t="s">
        <v>16</v>
      </c>
      <c r="D53" s="16">
        <f>D51/D52*1000</f>
        <v>426.30508474576271</v>
      </c>
      <c r="E53" s="16"/>
      <c r="F53" s="16">
        <f t="shared" ref="F53" si="27">F51/F52*1000</f>
        <v>549.24120603015081</v>
      </c>
      <c r="G53" s="10">
        <f t="shared" si="1"/>
        <v>549.24120603015081</v>
      </c>
      <c r="H53" s="16">
        <f>H51/H52*1000</f>
        <v>426.30508474576271</v>
      </c>
      <c r="I53" s="16"/>
      <c r="J53" s="16">
        <f t="shared" ref="J53" si="28">J51/J52*1000</f>
        <v>553.00239643957548</v>
      </c>
      <c r="K53" s="10">
        <f t="shared" si="2"/>
        <v>553.00239643957548</v>
      </c>
      <c r="L53" s="16"/>
      <c r="M53" s="220"/>
      <c r="N53" s="221"/>
      <c r="P53">
        <f t="shared" si="0"/>
        <v>1705.2203389830509</v>
      </c>
      <c r="Q53" s="44">
        <f>E53+март!I53</f>
        <v>0</v>
      </c>
      <c r="R53" s="30">
        <f>F53+фев!J53</f>
        <v>549.24120603015081</v>
      </c>
    </row>
    <row r="54" spans="1:18" ht="17.25" customHeight="1">
      <c r="A54" s="8"/>
      <c r="B54" s="20" t="s">
        <v>56</v>
      </c>
      <c r="C54" s="8" t="s">
        <v>4</v>
      </c>
      <c r="D54" s="10">
        <v>7.8079999999999998</v>
      </c>
      <c r="E54" s="8"/>
      <c r="F54" s="55">
        <v>2.3439999999999999</v>
      </c>
      <c r="G54" s="10">
        <f t="shared" si="1"/>
        <v>2.3439999999999999</v>
      </c>
      <c r="H54" s="10">
        <f>D54+март!H54</f>
        <v>31.231999999999999</v>
      </c>
      <c r="I54" s="8"/>
      <c r="J54" s="10">
        <f>F54+март!J54</f>
        <v>13.603999999999999</v>
      </c>
      <c r="K54" s="10">
        <f t="shared" si="2"/>
        <v>13.603999999999999</v>
      </c>
      <c r="L54" s="16"/>
      <c r="M54" s="220"/>
      <c r="N54" s="221"/>
      <c r="P54">
        <f t="shared" si="0"/>
        <v>31.231999999999999</v>
      </c>
      <c r="Q54" s="44">
        <f>E54+март!I54</f>
        <v>0</v>
      </c>
      <c r="R54" s="30">
        <f>F54+фев!J54</f>
        <v>13.603999999999999</v>
      </c>
    </row>
    <row r="55" spans="1:18" ht="17.25" customHeight="1">
      <c r="A55" s="8"/>
      <c r="B55" s="12" t="s">
        <v>13</v>
      </c>
      <c r="C55" s="13" t="s">
        <v>49</v>
      </c>
      <c r="D55" s="14">
        <v>31</v>
      </c>
      <c r="E55" s="13"/>
      <c r="F55" s="8">
        <v>5</v>
      </c>
      <c r="G55" s="10">
        <f t="shared" si="1"/>
        <v>5</v>
      </c>
      <c r="H55" s="14">
        <f>D55+март!H55</f>
        <v>124</v>
      </c>
      <c r="I55" s="8"/>
      <c r="J55" s="14">
        <f>F55+март!J55</f>
        <v>25</v>
      </c>
      <c r="K55" s="10">
        <f t="shared" si="2"/>
        <v>25</v>
      </c>
      <c r="L55" s="16"/>
      <c r="M55" s="220"/>
      <c r="N55" s="221"/>
      <c r="P55">
        <f t="shared" si="0"/>
        <v>124</v>
      </c>
      <c r="Q55" s="44">
        <f>E55+март!I55</f>
        <v>0</v>
      </c>
      <c r="R55" s="30">
        <f>F55+фев!J55</f>
        <v>25</v>
      </c>
    </row>
    <row r="56" spans="1:18" ht="17.25" customHeight="1">
      <c r="A56" s="8"/>
      <c r="B56" s="12" t="s">
        <v>15</v>
      </c>
      <c r="C56" s="13" t="s">
        <v>16</v>
      </c>
      <c r="D56" s="16">
        <f>D54/D55*1000</f>
        <v>251.87096774193546</v>
      </c>
      <c r="E56" s="16"/>
      <c r="F56" s="16">
        <f t="shared" ref="F56" si="29">F54/F55*1000</f>
        <v>468.8</v>
      </c>
      <c r="G56" s="10">
        <f t="shared" si="1"/>
        <v>468.8</v>
      </c>
      <c r="H56" s="16">
        <f>H54/H55*1000</f>
        <v>251.87096774193546</v>
      </c>
      <c r="I56" s="16"/>
      <c r="J56" s="16">
        <f t="shared" ref="J56" si="30">J54/J55*1000</f>
        <v>544.16</v>
      </c>
      <c r="K56" s="10">
        <f t="shared" si="2"/>
        <v>544.16</v>
      </c>
      <c r="L56" s="16"/>
      <c r="M56" s="220"/>
      <c r="N56" s="221"/>
      <c r="P56">
        <f t="shared" si="0"/>
        <v>1007.4838709677418</v>
      </c>
      <c r="Q56" s="44">
        <f>E56+март!I56</f>
        <v>0</v>
      </c>
      <c r="R56" s="30">
        <f>F56+фев!J56</f>
        <v>468.8</v>
      </c>
    </row>
    <row r="57" spans="1:18" ht="17.25" customHeight="1">
      <c r="A57" s="8"/>
      <c r="B57" s="20" t="s">
        <v>57</v>
      </c>
      <c r="C57" s="8" t="s">
        <v>4</v>
      </c>
      <c r="D57" s="10">
        <v>13.96</v>
      </c>
      <c r="E57" s="8"/>
      <c r="F57" s="8"/>
      <c r="G57" s="10">
        <f t="shared" si="1"/>
        <v>0</v>
      </c>
      <c r="H57" s="10">
        <f>D57+март!H57</f>
        <v>55.84</v>
      </c>
      <c r="I57" s="8"/>
      <c r="J57" s="10">
        <f>F57+март!J57</f>
        <v>0</v>
      </c>
      <c r="K57" s="10">
        <f t="shared" si="2"/>
        <v>0</v>
      </c>
      <c r="L57" s="16"/>
      <c r="M57" s="233" t="s">
        <v>291</v>
      </c>
      <c r="N57" s="234"/>
      <c r="P57">
        <f t="shared" si="0"/>
        <v>55.84</v>
      </c>
      <c r="Q57" s="44">
        <f>E57+март!I57</f>
        <v>0</v>
      </c>
      <c r="R57" s="30">
        <f>F57+фев!J57</f>
        <v>0</v>
      </c>
    </row>
    <row r="58" spans="1:18" ht="17.25" customHeight="1">
      <c r="A58" s="8"/>
      <c r="B58" s="12" t="s">
        <v>13</v>
      </c>
      <c r="C58" s="13" t="s">
        <v>49</v>
      </c>
      <c r="D58" s="14">
        <v>33</v>
      </c>
      <c r="E58" s="13"/>
      <c r="F58" s="8"/>
      <c r="G58" s="10">
        <f t="shared" si="1"/>
        <v>0</v>
      </c>
      <c r="H58" s="14">
        <f>D58+март!H58</f>
        <v>132</v>
      </c>
      <c r="I58" s="8"/>
      <c r="J58" s="14">
        <f>F58+март!J58</f>
        <v>0</v>
      </c>
      <c r="K58" s="10">
        <f t="shared" si="2"/>
        <v>0</v>
      </c>
      <c r="L58" s="16"/>
      <c r="M58" s="235"/>
      <c r="N58" s="236"/>
      <c r="P58">
        <f t="shared" si="0"/>
        <v>132</v>
      </c>
      <c r="Q58" s="44">
        <f>E58+март!I58</f>
        <v>0</v>
      </c>
      <c r="R58" s="30">
        <f>F58+фев!J58</f>
        <v>0</v>
      </c>
    </row>
    <row r="59" spans="1:18" ht="17.25" customHeight="1">
      <c r="A59" s="8"/>
      <c r="B59" s="12" t="s">
        <v>15</v>
      </c>
      <c r="C59" s="13" t="s">
        <v>16</v>
      </c>
      <c r="D59" s="16">
        <f>D57/D58*1000</f>
        <v>423.03030303030306</v>
      </c>
      <c r="E59" s="13"/>
      <c r="F59" s="8"/>
      <c r="G59" s="10">
        <f t="shared" si="1"/>
        <v>0</v>
      </c>
      <c r="H59" s="16">
        <f>H57/H58*1000</f>
        <v>423.03030303030306</v>
      </c>
      <c r="I59" s="8"/>
      <c r="J59" s="13"/>
      <c r="K59" s="10">
        <f t="shared" si="2"/>
        <v>0</v>
      </c>
      <c r="L59" s="16"/>
      <c r="M59" s="220"/>
      <c r="N59" s="221"/>
      <c r="P59">
        <f t="shared" si="0"/>
        <v>1692.1212121212122</v>
      </c>
      <c r="Q59" s="44">
        <f>E59+март!I59</f>
        <v>0</v>
      </c>
      <c r="R59" s="30">
        <f>F59+фев!J59</f>
        <v>0</v>
      </c>
    </row>
    <row r="60" spans="1:18" ht="17.25" customHeight="1">
      <c r="A60" s="8"/>
      <c r="B60" s="20" t="s">
        <v>58</v>
      </c>
      <c r="C60" s="8" t="s">
        <v>4</v>
      </c>
      <c r="D60" s="10">
        <v>28.585000000000001</v>
      </c>
      <c r="E60" s="8"/>
      <c r="F60" s="55">
        <v>57.375</v>
      </c>
      <c r="G60" s="10">
        <f t="shared" si="1"/>
        <v>57.375</v>
      </c>
      <c r="H60" s="10">
        <f>D60+март!H60</f>
        <v>114.34</v>
      </c>
      <c r="I60" s="8"/>
      <c r="J60" s="10">
        <f>F60+март!J60</f>
        <v>57.375</v>
      </c>
      <c r="K60" s="10">
        <f t="shared" si="2"/>
        <v>57.375</v>
      </c>
      <c r="L60" s="16"/>
      <c r="M60" s="233" t="s">
        <v>291</v>
      </c>
      <c r="N60" s="234"/>
      <c r="P60">
        <f t="shared" si="0"/>
        <v>114.34</v>
      </c>
      <c r="Q60" s="44">
        <f>E60+март!I60</f>
        <v>0</v>
      </c>
      <c r="R60" s="30">
        <f>F60+фев!J60</f>
        <v>57.375</v>
      </c>
    </row>
    <row r="61" spans="1:18" ht="17.25" customHeight="1">
      <c r="A61" s="8"/>
      <c r="B61" s="12" t="s">
        <v>13</v>
      </c>
      <c r="C61" s="13" t="s">
        <v>49</v>
      </c>
      <c r="D61" s="14">
        <v>70</v>
      </c>
      <c r="E61" s="13"/>
      <c r="F61" s="8">
        <v>108</v>
      </c>
      <c r="G61" s="10">
        <f t="shared" si="1"/>
        <v>108</v>
      </c>
      <c r="H61" s="14">
        <f>D61+март!H61</f>
        <v>280</v>
      </c>
      <c r="I61" s="8"/>
      <c r="J61" s="14">
        <f>F61+март!J61</f>
        <v>108</v>
      </c>
      <c r="K61" s="10">
        <f t="shared" si="2"/>
        <v>108</v>
      </c>
      <c r="L61" s="16"/>
      <c r="M61" s="235"/>
      <c r="N61" s="236"/>
      <c r="P61">
        <f t="shared" si="0"/>
        <v>280</v>
      </c>
      <c r="Q61" s="44">
        <f>E61+март!I61</f>
        <v>0</v>
      </c>
      <c r="R61" s="30">
        <f>F61+фев!J61</f>
        <v>108</v>
      </c>
    </row>
    <row r="62" spans="1:18" ht="17.25" customHeight="1">
      <c r="A62" s="8"/>
      <c r="B62" s="12" t="s">
        <v>15</v>
      </c>
      <c r="C62" s="13" t="s">
        <v>16</v>
      </c>
      <c r="D62" s="16">
        <f>D60/D61*1000</f>
        <v>408.35714285714289</v>
      </c>
      <c r="E62" s="16"/>
      <c r="F62" s="16">
        <f t="shared" ref="F62" si="31">F60/F61*1000</f>
        <v>531.25</v>
      </c>
      <c r="G62" s="10">
        <f t="shared" si="1"/>
        <v>531.25</v>
      </c>
      <c r="H62" s="16">
        <f>H60/H61*1000</f>
        <v>408.35714285714289</v>
      </c>
      <c r="I62" s="16"/>
      <c r="J62" s="16">
        <f t="shared" ref="J62" si="32">J60/J61*1000</f>
        <v>531.25</v>
      </c>
      <c r="K62" s="10">
        <f t="shared" si="2"/>
        <v>531.25</v>
      </c>
      <c r="L62" s="16"/>
      <c r="M62" s="220"/>
      <c r="N62" s="221"/>
      <c r="P62">
        <f t="shared" si="0"/>
        <v>1633.4285714285716</v>
      </c>
      <c r="Q62" s="44">
        <f>E62+март!I62</f>
        <v>0</v>
      </c>
      <c r="R62" s="30">
        <f>F62+фев!J62</f>
        <v>531.25</v>
      </c>
    </row>
    <row r="63" spans="1:18" ht="17.25" customHeight="1">
      <c r="A63" s="8"/>
      <c r="B63" s="20" t="s">
        <v>220</v>
      </c>
      <c r="C63" s="8" t="s">
        <v>4</v>
      </c>
      <c r="D63" s="10">
        <v>12.234</v>
      </c>
      <c r="E63" s="8"/>
      <c r="F63" s="54">
        <v>8.66</v>
      </c>
      <c r="G63" s="10">
        <f t="shared" si="1"/>
        <v>8.66</v>
      </c>
      <c r="H63" s="10">
        <f>D63+март!H63</f>
        <v>48.936</v>
      </c>
      <c r="I63" s="8"/>
      <c r="J63" s="10">
        <f>F63+март!J63</f>
        <v>8.66</v>
      </c>
      <c r="K63" s="10">
        <f t="shared" si="2"/>
        <v>8.66</v>
      </c>
      <c r="L63" s="16"/>
      <c r="M63" s="220"/>
      <c r="N63" s="221"/>
      <c r="P63">
        <f t="shared" si="0"/>
        <v>48.936</v>
      </c>
      <c r="Q63" s="44">
        <f>E63+март!I63</f>
        <v>0</v>
      </c>
      <c r="R63" s="30">
        <f>F63+фев!J63</f>
        <v>8.66</v>
      </c>
    </row>
    <row r="64" spans="1:18" ht="17.25" customHeight="1">
      <c r="A64" s="8"/>
      <c r="B64" s="12" t="s">
        <v>13</v>
      </c>
      <c r="C64" s="13" t="s">
        <v>49</v>
      </c>
      <c r="D64" s="14">
        <v>23</v>
      </c>
      <c r="E64" s="13"/>
      <c r="F64" s="8">
        <v>20</v>
      </c>
      <c r="G64" s="10">
        <f t="shared" si="1"/>
        <v>20</v>
      </c>
      <c r="H64" s="14">
        <f>D64+март!H64</f>
        <v>92</v>
      </c>
      <c r="I64" s="8"/>
      <c r="J64" s="14">
        <f>F64+март!J64</f>
        <v>20</v>
      </c>
      <c r="K64" s="10">
        <f t="shared" si="2"/>
        <v>20</v>
      </c>
      <c r="L64" s="16"/>
      <c r="M64" s="220"/>
      <c r="N64" s="221"/>
      <c r="P64">
        <f t="shared" si="0"/>
        <v>92</v>
      </c>
      <c r="Q64" s="44">
        <f>E64+март!I64</f>
        <v>0</v>
      </c>
      <c r="R64" s="30">
        <f>F64+фев!J64</f>
        <v>20</v>
      </c>
    </row>
    <row r="65" spans="1:18" ht="17.25" customHeight="1">
      <c r="A65" s="8"/>
      <c r="B65" s="12" t="s">
        <v>15</v>
      </c>
      <c r="C65" s="13" t="s">
        <v>16</v>
      </c>
      <c r="D65" s="16">
        <f>D63/D64*1000</f>
        <v>531.91304347826087</v>
      </c>
      <c r="E65" s="16"/>
      <c r="F65" s="16">
        <f t="shared" ref="F65" si="33">F63/F64*1000</f>
        <v>433</v>
      </c>
      <c r="G65" s="10">
        <f t="shared" si="1"/>
        <v>433</v>
      </c>
      <c r="H65" s="16">
        <f>H63/H64*1000</f>
        <v>531.91304347826087</v>
      </c>
      <c r="I65" s="16"/>
      <c r="J65" s="16">
        <f t="shared" ref="J65" si="34">J63/J64*1000</f>
        <v>433</v>
      </c>
      <c r="K65" s="10">
        <f t="shared" si="2"/>
        <v>433</v>
      </c>
      <c r="L65" s="16"/>
      <c r="M65" s="220"/>
      <c r="N65" s="221"/>
      <c r="P65">
        <f t="shared" si="0"/>
        <v>2127.6521739130435</v>
      </c>
      <c r="Q65" s="44">
        <f>E65+март!I65</f>
        <v>0</v>
      </c>
      <c r="R65" s="30">
        <f>F65+фев!J65</f>
        <v>433</v>
      </c>
    </row>
    <row r="66" spans="1:18" ht="17.25" customHeight="1">
      <c r="A66" s="8"/>
      <c r="B66" s="9" t="s">
        <v>59</v>
      </c>
      <c r="C66" s="8" t="s">
        <v>4</v>
      </c>
      <c r="D66" s="10">
        <v>2.8610000000000002</v>
      </c>
      <c r="E66" s="8"/>
      <c r="F66" s="8"/>
      <c r="G66" s="10">
        <f t="shared" si="1"/>
        <v>0</v>
      </c>
      <c r="H66" s="10">
        <f>D66+март!H66</f>
        <v>11.444000000000001</v>
      </c>
      <c r="I66" s="8"/>
      <c r="J66" s="10">
        <f>F66+март!J66</f>
        <v>0</v>
      </c>
      <c r="K66" s="10">
        <f t="shared" si="2"/>
        <v>0</v>
      </c>
      <c r="L66" s="16"/>
      <c r="M66" s="220"/>
      <c r="N66" s="221"/>
      <c r="P66">
        <f t="shared" si="0"/>
        <v>11.444000000000001</v>
      </c>
      <c r="Q66" s="44">
        <f>E66+март!I66</f>
        <v>0</v>
      </c>
      <c r="R66" s="30">
        <f>F66+фев!J66</f>
        <v>0</v>
      </c>
    </row>
    <row r="67" spans="1:18" ht="17.25" customHeight="1">
      <c r="A67" s="8"/>
      <c r="B67" s="12" t="s">
        <v>13</v>
      </c>
      <c r="C67" s="13" t="s">
        <v>49</v>
      </c>
      <c r="D67" s="14">
        <v>2</v>
      </c>
      <c r="E67" s="13"/>
      <c r="F67" s="8"/>
      <c r="G67" s="10">
        <f t="shared" si="1"/>
        <v>0</v>
      </c>
      <c r="H67" s="14">
        <f>D67+март!H67</f>
        <v>8</v>
      </c>
      <c r="I67" s="8"/>
      <c r="J67" s="14">
        <f>F67+март!J67</f>
        <v>0</v>
      </c>
      <c r="K67" s="10">
        <f t="shared" si="2"/>
        <v>0</v>
      </c>
      <c r="L67" s="16"/>
      <c r="M67" s="220"/>
      <c r="N67" s="221"/>
      <c r="P67">
        <f t="shared" si="0"/>
        <v>8</v>
      </c>
      <c r="Q67" s="44">
        <f>E67+март!I67</f>
        <v>0</v>
      </c>
      <c r="R67" s="30">
        <f>F67+фев!J67</f>
        <v>0</v>
      </c>
    </row>
    <row r="68" spans="1:18" ht="17.25" customHeight="1">
      <c r="A68" s="8"/>
      <c r="B68" s="12" t="s">
        <v>15</v>
      </c>
      <c r="C68" s="13" t="s">
        <v>16</v>
      </c>
      <c r="D68" s="16">
        <f>D66/D67*1000</f>
        <v>1430.5</v>
      </c>
      <c r="E68" s="13"/>
      <c r="F68" s="8"/>
      <c r="G68" s="10">
        <f t="shared" si="1"/>
        <v>0</v>
      </c>
      <c r="H68" s="16">
        <f>H66/H67*1000</f>
        <v>1430.5</v>
      </c>
      <c r="I68" s="16"/>
      <c r="J68" s="16" t="e">
        <f t="shared" ref="J68" si="35">J66/J67*1000</f>
        <v>#DIV/0!</v>
      </c>
      <c r="K68" s="10" t="e">
        <f t="shared" si="2"/>
        <v>#DIV/0!</v>
      </c>
      <c r="L68" s="16"/>
      <c r="M68" s="220"/>
      <c r="N68" s="221"/>
      <c r="P68">
        <f t="shared" si="0"/>
        <v>5722</v>
      </c>
      <c r="Q68" s="44">
        <f>E68+март!I68</f>
        <v>0</v>
      </c>
      <c r="R68" s="30">
        <f>F68+фев!J68</f>
        <v>0</v>
      </c>
    </row>
    <row r="69" spans="1:18" ht="17.25" customHeight="1">
      <c r="A69" s="8"/>
      <c r="B69" s="20" t="s">
        <v>60</v>
      </c>
      <c r="C69" s="8" t="s">
        <v>4</v>
      </c>
      <c r="D69" s="10">
        <v>10.007999999999999</v>
      </c>
      <c r="E69" s="8"/>
      <c r="F69" s="54">
        <v>40.92</v>
      </c>
      <c r="G69" s="10">
        <f t="shared" si="1"/>
        <v>40.92</v>
      </c>
      <c r="H69" s="10">
        <f>D69+март!H69</f>
        <v>40.031999999999996</v>
      </c>
      <c r="I69" s="8"/>
      <c r="J69" s="10">
        <f>F69+март!J69</f>
        <v>41.510000000000005</v>
      </c>
      <c r="K69" s="10">
        <f t="shared" si="2"/>
        <v>41.510000000000005</v>
      </c>
      <c r="L69" s="16"/>
      <c r="M69" s="233" t="s">
        <v>292</v>
      </c>
      <c r="N69" s="234"/>
      <c r="P69">
        <f t="shared" si="0"/>
        <v>40.031999999999996</v>
      </c>
      <c r="Q69" s="44">
        <f>E69+март!I69</f>
        <v>0</v>
      </c>
      <c r="R69" s="30">
        <f>F69+фев!J69</f>
        <v>40.92</v>
      </c>
    </row>
    <row r="70" spans="1:18" ht="17.25" customHeight="1">
      <c r="A70" s="8"/>
      <c r="B70" s="12" t="s">
        <v>13</v>
      </c>
      <c r="C70" s="13" t="s">
        <v>61</v>
      </c>
      <c r="D70" s="14">
        <v>18</v>
      </c>
      <c r="E70" s="13"/>
      <c r="F70" s="8">
        <v>66</v>
      </c>
      <c r="G70" s="10">
        <f t="shared" si="1"/>
        <v>66</v>
      </c>
      <c r="H70" s="14">
        <f>D70+март!H70</f>
        <v>72</v>
      </c>
      <c r="I70" s="8"/>
      <c r="J70" s="14">
        <f>F70+март!J70</f>
        <v>66.075000000000003</v>
      </c>
      <c r="K70" s="10">
        <f t="shared" si="2"/>
        <v>66.075000000000003</v>
      </c>
      <c r="L70" s="16"/>
      <c r="M70" s="235"/>
      <c r="N70" s="236"/>
      <c r="P70">
        <f t="shared" si="0"/>
        <v>72</v>
      </c>
      <c r="Q70" s="44">
        <f>E70+март!I70</f>
        <v>0</v>
      </c>
      <c r="R70" s="30">
        <f>F70+фев!J70</f>
        <v>66</v>
      </c>
    </row>
    <row r="71" spans="1:18" ht="17.25" customHeight="1">
      <c r="A71" s="8"/>
      <c r="B71" s="12" t="s">
        <v>15</v>
      </c>
      <c r="C71" s="13" t="s">
        <v>16</v>
      </c>
      <c r="D71" s="16">
        <f>D69/D70*1000</f>
        <v>555.99999999999989</v>
      </c>
      <c r="E71" s="16"/>
      <c r="F71" s="16">
        <f t="shared" ref="F71" si="36">F69/F70*1000</f>
        <v>620</v>
      </c>
      <c r="G71" s="10">
        <f t="shared" si="1"/>
        <v>620</v>
      </c>
      <c r="H71" s="16">
        <f>H69/H70*1000</f>
        <v>555.99999999999989</v>
      </c>
      <c r="I71" s="16"/>
      <c r="J71" s="16">
        <f t="shared" ref="J71" si="37">J69/J70*1000</f>
        <v>628.22550132425283</v>
      </c>
      <c r="K71" s="10">
        <f t="shared" si="2"/>
        <v>628.22550132425283</v>
      </c>
      <c r="L71" s="16"/>
      <c r="M71" s="220"/>
      <c r="N71" s="221"/>
      <c r="P71">
        <f t="shared" si="0"/>
        <v>2223.9999999999995</v>
      </c>
      <c r="Q71" s="44">
        <f>E71+март!I71</f>
        <v>0</v>
      </c>
      <c r="R71" s="30">
        <f>F71+фев!J71</f>
        <v>620</v>
      </c>
    </row>
    <row r="72" spans="1:18" ht="17.25" customHeight="1">
      <c r="A72" s="18" t="s">
        <v>62</v>
      </c>
      <c r="B72" s="20" t="s">
        <v>63</v>
      </c>
      <c r="C72" s="8" t="s">
        <v>4</v>
      </c>
      <c r="D72" s="10">
        <f>D73</f>
        <v>26517.671000000002</v>
      </c>
      <c r="E72" s="8">
        <v>24306.667000000001</v>
      </c>
      <c r="F72" s="10">
        <v>27232.095000000001</v>
      </c>
      <c r="G72" s="10">
        <f t="shared" si="1"/>
        <v>2925.4279999999999</v>
      </c>
      <c r="H72" s="10">
        <f>H73</f>
        <v>106070.68400000001</v>
      </c>
      <c r="I72" s="8">
        <f>E72+март!I72</f>
        <v>97226.668000000005</v>
      </c>
      <c r="J72" s="10">
        <f>F72+март!J72</f>
        <v>106212.57800000001</v>
      </c>
      <c r="K72" s="10">
        <f t="shared" si="2"/>
        <v>8985.9100000000035</v>
      </c>
      <c r="L72" s="16">
        <f t="shared" si="3"/>
        <v>9.2422276571279838</v>
      </c>
      <c r="M72" s="220"/>
      <c r="N72" s="221"/>
      <c r="P72">
        <f t="shared" si="0"/>
        <v>106070.68400000001</v>
      </c>
      <c r="Q72" s="44">
        <f>E72+март!I72</f>
        <v>97226.668000000005</v>
      </c>
      <c r="R72" s="30">
        <f>F72+фев!J72</f>
        <v>78811.763000000006</v>
      </c>
    </row>
    <row r="73" spans="1:18" ht="17.25" customHeight="1">
      <c r="A73" s="8"/>
      <c r="B73" s="28" t="s">
        <v>64</v>
      </c>
      <c r="C73" s="8" t="s">
        <v>4</v>
      </c>
      <c r="D73" s="10">
        <f>D75+D78+D81+D84</f>
        <v>26517.671000000002</v>
      </c>
      <c r="E73" s="10">
        <f t="shared" ref="E73:F73" si="38">E75+E78+E81+E84</f>
        <v>0</v>
      </c>
      <c r="F73" s="10">
        <f t="shared" si="38"/>
        <v>0</v>
      </c>
      <c r="G73" s="10">
        <f t="shared" si="1"/>
        <v>0</v>
      </c>
      <c r="H73" s="10">
        <f>H75+H78+H81+H84</f>
        <v>106070.68400000001</v>
      </c>
      <c r="I73" s="10">
        <f t="shared" ref="I73:J74" si="39">I75+I78+I81+I84</f>
        <v>0</v>
      </c>
      <c r="J73" s="10">
        <f t="shared" si="39"/>
        <v>78980.485000000001</v>
      </c>
      <c r="K73" s="10">
        <f t="shared" si="2"/>
        <v>78980.485000000001</v>
      </c>
      <c r="L73" s="16"/>
      <c r="M73" s="220"/>
      <c r="N73" s="221"/>
      <c r="P73">
        <f t="shared" ref="P73:P136" si="40">D73*4</f>
        <v>106070.68400000001</v>
      </c>
      <c r="Q73" s="44">
        <f>E73+март!I73</f>
        <v>0</v>
      </c>
      <c r="R73" s="30">
        <f>F73+фев!J73</f>
        <v>51579.67</v>
      </c>
    </row>
    <row r="74" spans="1:18" ht="17.25" customHeight="1">
      <c r="A74" s="8"/>
      <c r="B74" s="28" t="s">
        <v>65</v>
      </c>
      <c r="C74" s="22" t="s">
        <v>66</v>
      </c>
      <c r="D74" s="14">
        <f t="shared" ref="D74:F74" si="41">D76+D79+D82+D85</f>
        <v>1280770</v>
      </c>
      <c r="E74" s="14">
        <f t="shared" si="41"/>
        <v>0</v>
      </c>
      <c r="F74" s="14">
        <f t="shared" si="41"/>
        <v>0</v>
      </c>
      <c r="G74" s="14">
        <f t="shared" si="1"/>
        <v>0</v>
      </c>
      <c r="H74" s="14">
        <f t="shared" ref="H74" si="42">H76+H79+H82+H85</f>
        <v>5123080</v>
      </c>
      <c r="I74" s="59"/>
      <c r="J74" s="14">
        <f t="shared" si="39"/>
        <v>3853106.19</v>
      </c>
      <c r="K74" s="10">
        <f t="shared" si="2"/>
        <v>3853106.19</v>
      </c>
      <c r="L74" s="16"/>
      <c r="M74" s="220"/>
      <c r="N74" s="221"/>
      <c r="P74">
        <f t="shared" si="40"/>
        <v>5123080</v>
      </c>
      <c r="Q74" s="44">
        <f>E74+март!I74</f>
        <v>0</v>
      </c>
      <c r="R74" s="30">
        <f>F74+фев!J74</f>
        <v>0</v>
      </c>
    </row>
    <row r="75" spans="1:18" ht="36" customHeight="1">
      <c r="A75" s="8"/>
      <c r="B75" s="12" t="s">
        <v>67</v>
      </c>
      <c r="C75" s="8" t="s">
        <v>4</v>
      </c>
      <c r="D75" s="10">
        <v>1338.4829999999999</v>
      </c>
      <c r="E75" s="8"/>
      <c r="F75" s="8"/>
      <c r="G75" s="10">
        <f t="shared" ref="G75:G138" si="43">F75-E75</f>
        <v>0</v>
      </c>
      <c r="H75" s="10">
        <f>D75+март!H75</f>
        <v>5353.9319999999998</v>
      </c>
      <c r="I75" s="8"/>
      <c r="J75" s="10">
        <f>F75+март!J75</f>
        <v>6627.174</v>
      </c>
      <c r="K75" s="10">
        <f t="shared" ref="K75:K139" si="44">J75-I75</f>
        <v>6627.174</v>
      </c>
      <c r="L75" s="16"/>
      <c r="M75" s="220"/>
      <c r="N75" s="221"/>
      <c r="P75">
        <f t="shared" si="40"/>
        <v>5353.9319999999998</v>
      </c>
      <c r="Q75" s="44">
        <f>E75+март!I75</f>
        <v>0</v>
      </c>
      <c r="R75" s="30">
        <f>F75+фев!J75</f>
        <v>4546.2950000000001</v>
      </c>
    </row>
    <row r="76" spans="1:18" ht="17.25" customHeight="1">
      <c r="A76" s="8"/>
      <c r="B76" s="12" t="s">
        <v>68</v>
      </c>
      <c r="C76" s="22" t="s">
        <v>66</v>
      </c>
      <c r="D76" s="14">
        <v>68465</v>
      </c>
      <c r="E76" s="22"/>
      <c r="F76" s="59"/>
      <c r="G76" s="14">
        <f t="shared" si="43"/>
        <v>0</v>
      </c>
      <c r="H76" s="14">
        <f>D76+март!H76</f>
        <v>273860</v>
      </c>
      <c r="I76" s="59"/>
      <c r="J76" s="14">
        <f>F76+март!J76</f>
        <v>345435.19</v>
      </c>
      <c r="K76" s="10">
        <f t="shared" si="44"/>
        <v>345435.19</v>
      </c>
      <c r="L76" s="16"/>
      <c r="M76" s="220"/>
      <c r="N76" s="221"/>
      <c r="P76">
        <f t="shared" si="40"/>
        <v>273860</v>
      </c>
      <c r="Q76" s="44">
        <f>E76+март!I76</f>
        <v>0</v>
      </c>
      <c r="R76" s="30">
        <f>F76+фев!J76</f>
        <v>240074.25</v>
      </c>
    </row>
    <row r="77" spans="1:18" ht="17.25" customHeight="1">
      <c r="A77" s="8"/>
      <c r="B77" s="12" t="s">
        <v>15</v>
      </c>
      <c r="C77" s="13" t="s">
        <v>16</v>
      </c>
      <c r="D77" s="16">
        <f>D75/D76*1000</f>
        <v>19.54988680347623</v>
      </c>
      <c r="E77" s="16"/>
      <c r="F77" s="16" t="e">
        <f t="shared" ref="F77" si="45">F75/F76*1000</f>
        <v>#DIV/0!</v>
      </c>
      <c r="G77" s="10" t="e">
        <f t="shared" si="43"/>
        <v>#DIV/0!</v>
      </c>
      <c r="H77" s="16">
        <f>H75/H76*1000</f>
        <v>19.54988680347623</v>
      </c>
      <c r="I77" s="8"/>
      <c r="J77" s="13"/>
      <c r="K77" s="10">
        <f t="shared" si="44"/>
        <v>0</v>
      </c>
      <c r="L77" s="16"/>
      <c r="M77" s="220"/>
      <c r="N77" s="221"/>
      <c r="P77">
        <f t="shared" si="40"/>
        <v>78.199547213904921</v>
      </c>
      <c r="Q77" s="44">
        <f>E77+март!I77</f>
        <v>0</v>
      </c>
      <c r="R77" s="30" t="e">
        <f>F77+фев!J77</f>
        <v>#DIV/0!</v>
      </c>
    </row>
    <row r="78" spans="1:18" ht="55.5" customHeight="1">
      <c r="A78" s="8"/>
      <c r="B78" s="12" t="s">
        <v>69</v>
      </c>
      <c r="C78" s="8" t="s">
        <v>4</v>
      </c>
      <c r="D78" s="10">
        <v>1253.6469999999999</v>
      </c>
      <c r="E78" s="8"/>
      <c r="F78" s="10"/>
      <c r="G78" s="10">
        <f t="shared" si="43"/>
        <v>0</v>
      </c>
      <c r="H78" s="10">
        <f>D78+март!H78</f>
        <v>5014.5879999999997</v>
      </c>
      <c r="I78" s="8"/>
      <c r="J78" s="10">
        <f>F78+март!J78</f>
        <v>5054.1839999999993</v>
      </c>
      <c r="K78" s="10">
        <f t="shared" si="44"/>
        <v>5054.1839999999993</v>
      </c>
      <c r="L78" s="16"/>
      <c r="M78" s="220"/>
      <c r="N78" s="221"/>
      <c r="P78">
        <f t="shared" si="40"/>
        <v>5014.5879999999997</v>
      </c>
      <c r="Q78" s="44">
        <f>E78+март!I78</f>
        <v>0</v>
      </c>
      <c r="R78" s="30">
        <f>F78+фев!J78</f>
        <v>3265.6639999999998</v>
      </c>
    </row>
    <row r="79" spans="1:18" ht="17.25" customHeight="1">
      <c r="A79" s="8"/>
      <c r="B79" s="12" t="s">
        <v>68</v>
      </c>
      <c r="C79" s="22" t="s">
        <v>66</v>
      </c>
      <c r="D79" s="14">
        <v>63799</v>
      </c>
      <c r="E79" s="22"/>
      <c r="F79" s="59"/>
      <c r="G79" s="14">
        <f t="shared" si="43"/>
        <v>0</v>
      </c>
      <c r="H79" s="14">
        <f>D79+март!H79</f>
        <v>255196</v>
      </c>
      <c r="I79" s="59"/>
      <c r="J79" s="14">
        <f>F79+март!J79</f>
        <v>255996</v>
      </c>
      <c r="K79" s="10">
        <f t="shared" si="44"/>
        <v>255996</v>
      </c>
      <c r="L79" s="16"/>
      <c r="M79" s="220"/>
      <c r="N79" s="221"/>
      <c r="P79">
        <f t="shared" si="40"/>
        <v>255196</v>
      </c>
      <c r="Q79" s="44">
        <f>E79+март!I79</f>
        <v>0</v>
      </c>
      <c r="R79" s="30">
        <f>F79+фев!J79</f>
        <v>165438</v>
      </c>
    </row>
    <row r="80" spans="1:18" ht="17.25" customHeight="1">
      <c r="A80" s="8"/>
      <c r="B80" s="12" t="s">
        <v>15</v>
      </c>
      <c r="C80" s="13" t="s">
        <v>16</v>
      </c>
      <c r="D80" s="16">
        <f>D78/D79*1000</f>
        <v>19.649947491339987</v>
      </c>
      <c r="E80" s="16"/>
      <c r="F80" s="16" t="e">
        <f t="shared" ref="F80" si="46">F78/F79*1000</f>
        <v>#DIV/0!</v>
      </c>
      <c r="G80" s="10" t="e">
        <f t="shared" si="43"/>
        <v>#DIV/0!</v>
      </c>
      <c r="H80" s="16">
        <f>H78/H79*1000</f>
        <v>19.649947491339987</v>
      </c>
      <c r="I80" s="8"/>
      <c r="J80" s="13"/>
      <c r="K80" s="10">
        <f t="shared" si="44"/>
        <v>0</v>
      </c>
      <c r="L80" s="16"/>
      <c r="M80" s="220"/>
      <c r="N80" s="221"/>
      <c r="P80">
        <f t="shared" si="40"/>
        <v>78.599789965359946</v>
      </c>
      <c r="Q80" s="44">
        <f>E80+март!I80</f>
        <v>0</v>
      </c>
      <c r="R80" s="30" t="e">
        <f>F80+фев!J80</f>
        <v>#DIV/0!</v>
      </c>
    </row>
    <row r="81" spans="1:18" ht="36" customHeight="1">
      <c r="A81" s="8"/>
      <c r="B81" s="12" t="s">
        <v>70</v>
      </c>
      <c r="C81" s="8" t="s">
        <v>4</v>
      </c>
      <c r="D81" s="10">
        <v>3651.203</v>
      </c>
      <c r="E81" s="8"/>
      <c r="F81" s="8"/>
      <c r="G81" s="10">
        <f t="shared" si="43"/>
        <v>0</v>
      </c>
      <c r="H81" s="10">
        <f>D81+март!H81</f>
        <v>14604.812</v>
      </c>
      <c r="I81" s="8"/>
      <c r="J81" s="10">
        <f>F81+март!J81</f>
        <v>12694.096</v>
      </c>
      <c r="K81" s="10">
        <f t="shared" si="44"/>
        <v>12694.096</v>
      </c>
      <c r="L81" s="16"/>
      <c r="M81" s="220"/>
      <c r="N81" s="221"/>
      <c r="P81">
        <f t="shared" si="40"/>
        <v>14604.812</v>
      </c>
      <c r="Q81" s="44">
        <f>E81+март!I81</f>
        <v>0</v>
      </c>
      <c r="R81" s="30">
        <f>F81+фев!J81</f>
        <v>7464.0389999999998</v>
      </c>
    </row>
    <row r="82" spans="1:18" ht="17.25" customHeight="1">
      <c r="A82" s="8"/>
      <c r="B82" s="12" t="s">
        <v>68</v>
      </c>
      <c r="C82" s="22" t="s">
        <v>66</v>
      </c>
      <c r="D82" s="14">
        <v>185812</v>
      </c>
      <c r="E82" s="22"/>
      <c r="F82" s="59"/>
      <c r="G82" s="14">
        <v>5230.0569999999998</v>
      </c>
      <c r="H82" s="14">
        <f>D82+март!H82</f>
        <v>743248</v>
      </c>
      <c r="I82" s="59"/>
      <c r="J82" s="14">
        <f>F82+март!J82</f>
        <v>642739</v>
      </c>
      <c r="K82" s="10">
        <f t="shared" si="44"/>
        <v>642739</v>
      </c>
      <c r="L82" s="16"/>
      <c r="M82" s="220"/>
      <c r="N82" s="221"/>
      <c r="P82">
        <f t="shared" si="40"/>
        <v>743248</v>
      </c>
      <c r="Q82" s="44">
        <f>E82+март!I82</f>
        <v>0</v>
      </c>
      <c r="R82" s="30">
        <f>F82+фев!J82</f>
        <v>377926</v>
      </c>
    </row>
    <row r="83" spans="1:18" ht="17.25" customHeight="1">
      <c r="A83" s="8"/>
      <c r="B83" s="12" t="s">
        <v>15</v>
      </c>
      <c r="C83" s="13" t="s">
        <v>16</v>
      </c>
      <c r="D83" s="16">
        <f>D81/D82*1000</f>
        <v>19.64998493100553</v>
      </c>
      <c r="E83" s="16"/>
      <c r="F83" s="16" t="e">
        <f t="shared" ref="F83" si="47">F81/F82*1000</f>
        <v>#DIV/0!</v>
      </c>
      <c r="G83" s="10" t="e">
        <f t="shared" si="43"/>
        <v>#DIV/0!</v>
      </c>
      <c r="H83" s="16">
        <f>H81/H82*1000</f>
        <v>19.64998493100553</v>
      </c>
      <c r="I83" s="8"/>
      <c r="J83" s="13"/>
      <c r="K83" s="10">
        <f t="shared" si="44"/>
        <v>0</v>
      </c>
      <c r="L83" s="16"/>
      <c r="M83" s="220"/>
      <c r="N83" s="221"/>
      <c r="P83">
        <f t="shared" si="40"/>
        <v>78.599939724022121</v>
      </c>
      <c r="Q83" s="44">
        <f>E83+март!I83</f>
        <v>0</v>
      </c>
      <c r="R83" s="30" t="e">
        <f>F83+фев!J83</f>
        <v>#DIV/0!</v>
      </c>
    </row>
    <row r="84" spans="1:18" ht="17.25" customHeight="1">
      <c r="A84" s="8"/>
      <c r="B84" s="12" t="s">
        <v>71</v>
      </c>
      <c r="C84" s="8" t="s">
        <v>4</v>
      </c>
      <c r="D84" s="10">
        <v>20274.338</v>
      </c>
      <c r="E84" s="8"/>
      <c r="F84" s="8"/>
      <c r="G84" s="10">
        <f t="shared" si="43"/>
        <v>0</v>
      </c>
      <c r="H84" s="10">
        <f>D84+март!H84</f>
        <v>81097.351999999999</v>
      </c>
      <c r="I84" s="8"/>
      <c r="J84" s="10">
        <f>F84+март!J84</f>
        <v>54605.031000000003</v>
      </c>
      <c r="K84" s="10">
        <f t="shared" si="44"/>
        <v>54605.031000000003</v>
      </c>
      <c r="L84" s="16"/>
      <c r="M84" s="233" t="s">
        <v>297</v>
      </c>
      <c r="N84" s="234"/>
      <c r="P84">
        <f t="shared" si="40"/>
        <v>81097.351999999999</v>
      </c>
      <c r="Q84" s="44">
        <f>E84+март!I84</f>
        <v>0</v>
      </c>
      <c r="R84" s="30">
        <f>F84+фев!J84</f>
        <v>36303.671999999999</v>
      </c>
    </row>
    <row r="85" spans="1:18" ht="26.25" customHeight="1">
      <c r="A85" s="8"/>
      <c r="B85" s="12" t="s">
        <v>68</v>
      </c>
      <c r="C85" s="22" t="s">
        <v>66</v>
      </c>
      <c r="D85" s="14">
        <v>962694</v>
      </c>
      <c r="E85" s="22"/>
      <c r="F85" s="59"/>
      <c r="G85" s="14">
        <f t="shared" si="43"/>
        <v>0</v>
      </c>
      <c r="H85" s="14">
        <f>D85+март!H85</f>
        <v>3850776</v>
      </c>
      <c r="I85" s="59"/>
      <c r="J85" s="14">
        <f>F85+март!J85</f>
        <v>2608936</v>
      </c>
      <c r="K85" s="10">
        <f t="shared" si="44"/>
        <v>2608936</v>
      </c>
      <c r="L85" s="16"/>
      <c r="M85" s="235"/>
      <c r="N85" s="236"/>
      <c r="P85">
        <f t="shared" si="40"/>
        <v>3850776</v>
      </c>
      <c r="Q85" s="44">
        <f>E85+март!I85</f>
        <v>0</v>
      </c>
      <c r="R85" s="30">
        <f>F85+фев!J85</f>
        <v>1734528</v>
      </c>
    </row>
    <row r="86" spans="1:18" ht="17.25" customHeight="1">
      <c r="A86" s="8"/>
      <c r="B86" s="12" t="s">
        <v>15</v>
      </c>
      <c r="C86" s="13" t="s">
        <v>16</v>
      </c>
      <c r="D86" s="16">
        <f>D84/D85*1000</f>
        <v>21.06000245145394</v>
      </c>
      <c r="E86" s="16"/>
      <c r="F86" s="16" t="e">
        <f t="shared" ref="F86" si="48">F84/F85*1000</f>
        <v>#DIV/0!</v>
      </c>
      <c r="G86" s="10" t="e">
        <f t="shared" si="43"/>
        <v>#DIV/0!</v>
      </c>
      <c r="H86" s="16">
        <f>H84/H85*1000</f>
        <v>21.06000245145394</v>
      </c>
      <c r="I86" s="8"/>
      <c r="J86" s="13"/>
      <c r="K86" s="10">
        <f t="shared" si="44"/>
        <v>0</v>
      </c>
      <c r="L86" s="16"/>
      <c r="M86" s="220"/>
      <c r="N86" s="221"/>
      <c r="P86">
        <f t="shared" si="40"/>
        <v>84.24000980581576</v>
      </c>
      <c r="Q86" s="44">
        <f>E86+март!I86</f>
        <v>0</v>
      </c>
      <c r="R86" s="30" t="e">
        <f>F86+фев!J86</f>
        <v>#DIV/0!</v>
      </c>
    </row>
    <row r="87" spans="1:18" ht="17.25" customHeight="1">
      <c r="A87" s="74" t="s">
        <v>72</v>
      </c>
      <c r="B87" s="6" t="s">
        <v>73</v>
      </c>
      <c r="C87" s="74" t="s">
        <v>4</v>
      </c>
      <c r="D87" s="7">
        <f>D88+D89+D90</f>
        <v>22015.745000000003</v>
      </c>
      <c r="E87" s="21">
        <f>E88+E89+E90+E91</f>
        <v>20888.748999999996</v>
      </c>
      <c r="F87" s="7">
        <f>F88+F89+F90+F91+F92</f>
        <v>19056.86</v>
      </c>
      <c r="G87" s="16">
        <f t="shared" si="43"/>
        <v>-1831.8889999999956</v>
      </c>
      <c r="H87" s="7">
        <f>H88+H89+H90</f>
        <v>88062.98000000001</v>
      </c>
      <c r="I87" s="7">
        <f>I88+I89+I90+I91</f>
        <v>83554.995999999985</v>
      </c>
      <c r="J87" s="7">
        <f>J88+J89+J90+J91+J92</f>
        <v>80577.680999999997</v>
      </c>
      <c r="K87" s="10">
        <f t="shared" si="44"/>
        <v>-2977.3149999999878</v>
      </c>
      <c r="L87" s="16">
        <f t="shared" ref="L87:L151" si="49">K87/I87*100</f>
        <v>-3.5632997935874338</v>
      </c>
      <c r="M87" s="220"/>
      <c r="N87" s="221"/>
      <c r="O87" s="30">
        <f>F88+март!J88+F92+F98+март!J92+март!J98</f>
        <v>75496.186999999991</v>
      </c>
      <c r="P87">
        <f t="shared" si="40"/>
        <v>88062.98000000001</v>
      </c>
      <c r="Q87" s="44">
        <f>E87+март!I87</f>
        <v>83554.995999999985</v>
      </c>
      <c r="R87" s="30">
        <f>F87+фев!J87</f>
        <v>56909.771000000008</v>
      </c>
    </row>
    <row r="88" spans="1:18" ht="17.25" customHeight="1">
      <c r="A88" s="8" t="s">
        <v>74</v>
      </c>
      <c r="B88" s="9" t="s">
        <v>75</v>
      </c>
      <c r="C88" s="8" t="s">
        <v>4</v>
      </c>
      <c r="D88" s="10">
        <v>20032.525000000001</v>
      </c>
      <c r="E88" s="8">
        <v>18751.082999999999</v>
      </c>
      <c r="F88" s="54">
        <f>17902.214-F92-F98</f>
        <v>17193.231</v>
      </c>
      <c r="G88" s="16">
        <f t="shared" si="43"/>
        <v>-1557.851999999999</v>
      </c>
      <c r="H88" s="10">
        <f>D88+март!H88</f>
        <v>80130.100000000006</v>
      </c>
      <c r="I88" s="8">
        <f>E88+март!I88</f>
        <v>75004.331999999995</v>
      </c>
      <c r="J88" s="10">
        <f>F88+март!J88</f>
        <v>72574.872999999992</v>
      </c>
      <c r="K88" s="10">
        <f t="shared" si="44"/>
        <v>-2429.4590000000026</v>
      </c>
      <c r="L88" s="16">
        <f t="shared" si="49"/>
        <v>-3.2390915767371977</v>
      </c>
      <c r="M88" s="227"/>
      <c r="N88" s="228"/>
      <c r="O88" s="30">
        <f>J88+J92+J98</f>
        <v>75496.186999999991</v>
      </c>
      <c r="P88">
        <f t="shared" si="40"/>
        <v>80130.100000000006</v>
      </c>
      <c r="Q88" s="44">
        <f>E88+март!I88</f>
        <v>75004.331999999995</v>
      </c>
      <c r="R88" s="30">
        <f>F88+фев!J88</f>
        <v>51188.292000000001</v>
      </c>
    </row>
    <row r="89" spans="1:18" ht="17.25" customHeight="1">
      <c r="A89" s="8" t="s">
        <v>76</v>
      </c>
      <c r="B89" s="9" t="s">
        <v>77</v>
      </c>
      <c r="C89" s="8" t="s">
        <v>4</v>
      </c>
      <c r="D89" s="10">
        <v>1101.788</v>
      </c>
      <c r="E89" s="8">
        <v>1012.583</v>
      </c>
      <c r="F89" s="54">
        <v>973.21699999999998</v>
      </c>
      <c r="G89" s="10">
        <f t="shared" si="43"/>
        <v>-39.365999999999985</v>
      </c>
      <c r="H89" s="10">
        <f>D89+март!H89</f>
        <v>4407.152</v>
      </c>
      <c r="I89" s="8">
        <f>E89+март!I89</f>
        <v>4050.3319999999999</v>
      </c>
      <c r="J89" s="10">
        <f>F89+март!J89</f>
        <v>4081.1979999999999</v>
      </c>
      <c r="K89" s="10">
        <f t="shared" si="44"/>
        <v>30.865999999999985</v>
      </c>
      <c r="L89" s="16">
        <f t="shared" si="49"/>
        <v>0.76206098660554211</v>
      </c>
      <c r="M89" s="227"/>
      <c r="N89" s="228"/>
      <c r="P89">
        <f t="shared" si="40"/>
        <v>4407.152</v>
      </c>
      <c r="Q89" s="44">
        <f>E89+март!I89</f>
        <v>4050.3319999999999</v>
      </c>
      <c r="R89" s="30">
        <f>F89+фев!J89</f>
        <v>2880.4090000000001</v>
      </c>
    </row>
    <row r="90" spans="1:18" ht="17.25" customHeight="1">
      <c r="A90" s="8" t="s">
        <v>308</v>
      </c>
      <c r="B90" s="9" t="s">
        <v>307</v>
      </c>
      <c r="C90" s="8" t="s">
        <v>4</v>
      </c>
      <c r="D90" s="10">
        <v>881.43200000000002</v>
      </c>
      <c r="E90" s="8">
        <v>843.83299999999997</v>
      </c>
      <c r="F90" s="55">
        <v>520.24599999999998</v>
      </c>
      <c r="G90" s="10">
        <f t="shared" si="43"/>
        <v>-323.58699999999999</v>
      </c>
      <c r="H90" s="10">
        <f>D90+март!H90</f>
        <v>3525.7280000000001</v>
      </c>
      <c r="I90" s="8">
        <f>E90+март!I90</f>
        <v>3375.3319999999999</v>
      </c>
      <c r="J90" s="10">
        <f>F90+март!J90</f>
        <v>2231.9520000000002</v>
      </c>
      <c r="K90" s="10">
        <f t="shared" si="44"/>
        <v>-1143.3799999999997</v>
      </c>
      <c r="L90" s="16">
        <f t="shared" si="49"/>
        <v>-33.874593669600493</v>
      </c>
      <c r="M90" s="76"/>
      <c r="N90" s="77"/>
      <c r="P90">
        <f t="shared" si="40"/>
        <v>3525.7280000000001</v>
      </c>
      <c r="Q90" s="44">
        <f>E90+март!I90</f>
        <v>3375.3319999999999</v>
      </c>
      <c r="R90" s="30">
        <f>F90+фев!J90</f>
        <v>1578.5140000000001</v>
      </c>
    </row>
    <row r="91" spans="1:18" ht="17.25" customHeight="1">
      <c r="A91" s="8" t="s">
        <v>309</v>
      </c>
      <c r="B91" s="9" t="s">
        <v>310</v>
      </c>
      <c r="C91" s="8" t="s">
        <v>4</v>
      </c>
      <c r="D91" s="10"/>
      <c r="E91" s="8">
        <v>281.25</v>
      </c>
      <c r="F91" s="55">
        <v>247.88300000000001</v>
      </c>
      <c r="G91" s="10">
        <f t="shared" si="43"/>
        <v>-33.36699999999999</v>
      </c>
      <c r="H91" s="10">
        <f>D91+март!H91</f>
        <v>0</v>
      </c>
      <c r="I91" s="10">
        <f>E91+март!I91</f>
        <v>1125</v>
      </c>
      <c r="J91" s="10">
        <f>F91+март!J91</f>
        <v>1058.7460000000001</v>
      </c>
      <c r="K91" s="10">
        <f t="shared" si="44"/>
        <v>-66.253999999999905</v>
      </c>
      <c r="L91" s="16">
        <f t="shared" si="49"/>
        <v>-5.8892444444444356</v>
      </c>
      <c r="M91" s="76"/>
      <c r="N91" s="77"/>
      <c r="P91">
        <f t="shared" si="40"/>
        <v>0</v>
      </c>
      <c r="Q91" s="44">
        <f>E91+март!I91</f>
        <v>1125</v>
      </c>
      <c r="R91" s="30">
        <f>F91+фев!J91</f>
        <v>747.22400000000005</v>
      </c>
    </row>
    <row r="92" spans="1:18" ht="17.25" customHeight="1">
      <c r="A92" s="8"/>
      <c r="B92" s="9" t="s">
        <v>316</v>
      </c>
      <c r="C92" s="8" t="s">
        <v>4</v>
      </c>
      <c r="D92" s="10"/>
      <c r="E92" s="8"/>
      <c r="F92" s="54">
        <v>122.283</v>
      </c>
      <c r="G92" s="10"/>
      <c r="H92" s="10">
        <f>D92+март!H92</f>
        <v>0</v>
      </c>
      <c r="I92" s="8">
        <f>E92+март!I92</f>
        <v>0</v>
      </c>
      <c r="J92" s="10">
        <f>F92+март!J92</f>
        <v>630.91199999999992</v>
      </c>
      <c r="K92" s="10"/>
      <c r="L92" s="16"/>
      <c r="M92" s="76"/>
      <c r="N92" s="77"/>
      <c r="P92">
        <f t="shared" si="40"/>
        <v>0</v>
      </c>
      <c r="Q92" s="44">
        <f>E92+март!I92</f>
        <v>0</v>
      </c>
      <c r="R92" s="30">
        <f>F92+фев!J92</f>
        <v>515.33199999999999</v>
      </c>
    </row>
    <row r="93" spans="1:18" ht="17.25" customHeight="1">
      <c r="A93" s="74" t="s">
        <v>78</v>
      </c>
      <c r="B93" s="6" t="s">
        <v>79</v>
      </c>
      <c r="C93" s="74" t="s">
        <v>4</v>
      </c>
      <c r="D93" s="7">
        <f>D94</f>
        <v>12258.85</v>
      </c>
      <c r="E93" s="21">
        <f>E94</f>
        <v>12219.75</v>
      </c>
      <c r="F93" s="7">
        <f>F94</f>
        <v>11185.795</v>
      </c>
      <c r="G93" s="10">
        <f t="shared" si="43"/>
        <v>-1033.9549999999999</v>
      </c>
      <c r="H93" s="7">
        <f>H94</f>
        <v>49035.4</v>
      </c>
      <c r="I93" s="21">
        <f>I94</f>
        <v>48879</v>
      </c>
      <c r="J93" s="7">
        <f>J94</f>
        <v>44373.687999999995</v>
      </c>
      <c r="K93" s="10">
        <f t="shared" si="44"/>
        <v>-4505.3120000000054</v>
      </c>
      <c r="L93" s="16">
        <f t="shared" si="49"/>
        <v>-9.2172753125064038</v>
      </c>
      <c r="M93" s="220"/>
      <c r="N93" s="221"/>
      <c r="P93">
        <f t="shared" si="40"/>
        <v>49035.4</v>
      </c>
      <c r="Q93" s="44">
        <f>E93+март!I93</f>
        <v>48879</v>
      </c>
      <c r="R93" s="30">
        <f>F93+фев!J93</f>
        <v>33187.048999999999</v>
      </c>
    </row>
    <row r="94" spans="1:18" ht="17.25" customHeight="1">
      <c r="A94" s="23" t="s">
        <v>80</v>
      </c>
      <c r="B94" s="9" t="s">
        <v>81</v>
      </c>
      <c r="C94" s="8" t="s">
        <v>4</v>
      </c>
      <c r="D94" s="10">
        <v>12258.85</v>
      </c>
      <c r="E94" s="8">
        <v>12219.75</v>
      </c>
      <c r="F94" s="55">
        <v>11185.795</v>
      </c>
      <c r="G94" s="10">
        <f t="shared" si="43"/>
        <v>-1033.9549999999999</v>
      </c>
      <c r="H94" s="10">
        <f>D94+март!H94</f>
        <v>49035.4</v>
      </c>
      <c r="I94" s="8">
        <f>E94+март!I94</f>
        <v>48879</v>
      </c>
      <c r="J94" s="10">
        <f>F94+март!J94</f>
        <v>44373.687999999995</v>
      </c>
      <c r="K94" s="10">
        <f t="shared" si="44"/>
        <v>-4505.3120000000054</v>
      </c>
      <c r="L94" s="16">
        <f t="shared" si="49"/>
        <v>-9.2172753125064038</v>
      </c>
      <c r="M94" s="220"/>
      <c r="N94" s="221"/>
      <c r="P94">
        <f t="shared" si="40"/>
        <v>49035.4</v>
      </c>
      <c r="Q94" s="44">
        <f>E94+март!I94</f>
        <v>48879</v>
      </c>
      <c r="R94" s="30">
        <f>F94+фев!J94</f>
        <v>33187.048999999999</v>
      </c>
    </row>
    <row r="95" spans="1:18" ht="17.25" customHeight="1">
      <c r="A95" s="74" t="s">
        <v>82</v>
      </c>
      <c r="B95" s="6" t="s">
        <v>83</v>
      </c>
      <c r="C95" s="74" t="s">
        <v>4</v>
      </c>
      <c r="D95" s="7">
        <f t="shared" ref="D95:J95" si="50">D96</f>
        <v>588.22500000000002</v>
      </c>
      <c r="E95" s="7">
        <f t="shared" si="50"/>
        <v>291.66699999999997</v>
      </c>
      <c r="F95" s="7">
        <f t="shared" si="50"/>
        <v>0</v>
      </c>
      <c r="G95" s="10">
        <f t="shared" si="43"/>
        <v>-291.66699999999997</v>
      </c>
      <c r="H95" s="7">
        <f t="shared" si="50"/>
        <v>2352.9</v>
      </c>
      <c r="I95" s="7">
        <f t="shared" si="50"/>
        <v>1166.6679999999999</v>
      </c>
      <c r="J95" s="7">
        <f t="shared" si="50"/>
        <v>0.76900000000000002</v>
      </c>
      <c r="K95" s="10">
        <f t="shared" si="44"/>
        <v>-1165.8989999999999</v>
      </c>
      <c r="L95" s="16">
        <f t="shared" si="49"/>
        <v>-99.934085789616248</v>
      </c>
      <c r="M95" s="220"/>
      <c r="N95" s="221"/>
      <c r="P95">
        <f t="shared" si="40"/>
        <v>2352.9</v>
      </c>
      <c r="Q95" s="44">
        <f>E95+март!I95</f>
        <v>1166.6679999999999</v>
      </c>
      <c r="R95" s="30">
        <f>F95+фев!J95</f>
        <v>0.76800000000000002</v>
      </c>
    </row>
    <row r="96" spans="1:18" ht="54" customHeight="1">
      <c r="A96" s="8" t="s">
        <v>84</v>
      </c>
      <c r="B96" s="9" t="s">
        <v>85</v>
      </c>
      <c r="C96" s="8" t="s">
        <v>4</v>
      </c>
      <c r="D96" s="10">
        <v>588.22500000000002</v>
      </c>
      <c r="E96" s="8">
        <v>291.66699999999997</v>
      </c>
      <c r="F96" s="8"/>
      <c r="G96" s="10">
        <f t="shared" si="43"/>
        <v>-291.66699999999997</v>
      </c>
      <c r="H96" s="10">
        <f>D96+март!H96</f>
        <v>2352.9</v>
      </c>
      <c r="I96" s="8">
        <f>E96+март!I96</f>
        <v>1166.6679999999999</v>
      </c>
      <c r="J96" s="10">
        <f>F96+март!J96</f>
        <v>0.76900000000000002</v>
      </c>
      <c r="K96" s="10">
        <f t="shared" si="44"/>
        <v>-1165.8989999999999</v>
      </c>
      <c r="L96" s="16">
        <f t="shared" si="49"/>
        <v>-99.934085789616248</v>
      </c>
      <c r="M96" s="227" t="s">
        <v>299</v>
      </c>
      <c r="N96" s="228"/>
      <c r="P96">
        <f t="shared" si="40"/>
        <v>2352.9</v>
      </c>
      <c r="Q96" s="44">
        <f>E96+март!I96</f>
        <v>1166.6679999999999</v>
      </c>
      <c r="R96" s="30">
        <f>F96+фев!J96</f>
        <v>0.76800000000000002</v>
      </c>
    </row>
    <row r="97" spans="1:18" ht="17.25" customHeight="1">
      <c r="A97" s="74" t="s">
        <v>86</v>
      </c>
      <c r="B97" s="6" t="s">
        <v>87</v>
      </c>
      <c r="C97" s="74" t="s">
        <v>4</v>
      </c>
      <c r="D97" s="7">
        <f t="shared" ref="D97" si="51">D98+D99+D103+D104+D109+D110</f>
        <v>2575.1889999999999</v>
      </c>
      <c r="E97" s="7">
        <f>E98+E99+E103+E104+E109+E110</f>
        <v>2562.3330000000001</v>
      </c>
      <c r="F97" s="7">
        <f>F98+F99+F103+F104+F109+F110</f>
        <v>3709.1730000000002</v>
      </c>
      <c r="G97" s="10">
        <f t="shared" si="43"/>
        <v>1146.8400000000001</v>
      </c>
      <c r="H97" s="7">
        <f t="shared" ref="H97" si="52">H98+H99+H103+H104+H109+H110</f>
        <v>10300.755999999999</v>
      </c>
      <c r="I97" s="7">
        <f>I98+I99+I103+I104+I109+I110</f>
        <v>10249.332</v>
      </c>
      <c r="J97" s="7">
        <f>J98+J99+J103+J104+J109+J110</f>
        <v>9892.2924999999996</v>
      </c>
      <c r="K97" s="10">
        <f t="shared" si="44"/>
        <v>-357.03950000000077</v>
      </c>
      <c r="L97" s="16">
        <f t="shared" si="49"/>
        <v>-3.4835392199218522</v>
      </c>
      <c r="M97" s="220"/>
      <c r="N97" s="221"/>
      <c r="P97">
        <f t="shared" si="40"/>
        <v>10300.755999999999</v>
      </c>
      <c r="Q97" s="44">
        <f>E97+март!I97</f>
        <v>10249.332</v>
      </c>
      <c r="R97" s="30">
        <f>F97+фев!J97</f>
        <v>7649.4459999999999</v>
      </c>
    </row>
    <row r="98" spans="1:18" ht="17.25" customHeight="1">
      <c r="A98" s="8" t="s">
        <v>88</v>
      </c>
      <c r="B98" s="9" t="s">
        <v>89</v>
      </c>
      <c r="C98" s="8" t="s">
        <v>4</v>
      </c>
      <c r="D98" s="10">
        <v>626.41700000000003</v>
      </c>
      <c r="E98" s="8">
        <v>543.08299999999997</v>
      </c>
      <c r="F98" s="54">
        <v>586.70000000000005</v>
      </c>
      <c r="G98" s="10">
        <f t="shared" si="43"/>
        <v>43.617000000000075</v>
      </c>
      <c r="H98" s="10">
        <f>D98+март!H98</f>
        <v>2505.6680000000001</v>
      </c>
      <c r="I98" s="8">
        <f>E98+март!I98</f>
        <v>2172.3319999999999</v>
      </c>
      <c r="J98" s="10">
        <f>F98+март!J98</f>
        <v>2290.402</v>
      </c>
      <c r="K98" s="10">
        <f t="shared" si="44"/>
        <v>118.07000000000016</v>
      </c>
      <c r="L98" s="16">
        <f t="shared" si="49"/>
        <v>5.4351728925412948</v>
      </c>
      <c r="M98" s="227" t="s">
        <v>298</v>
      </c>
      <c r="N98" s="228"/>
      <c r="P98">
        <f t="shared" si="40"/>
        <v>2505.6680000000001</v>
      </c>
      <c r="Q98" s="44">
        <f>E98+март!I98</f>
        <v>2172.3319999999999</v>
      </c>
      <c r="R98" s="30">
        <f>F98+фев!J98</f>
        <v>1752.5240000000001</v>
      </c>
    </row>
    <row r="99" spans="1:18" ht="53.25" customHeight="1">
      <c r="A99" s="8" t="s">
        <v>90</v>
      </c>
      <c r="B99" s="20" t="s">
        <v>242</v>
      </c>
      <c r="C99" s="8" t="s">
        <v>4</v>
      </c>
      <c r="D99" s="10">
        <f t="shared" ref="D99:F99" si="53">D100+D101+D102</f>
        <v>107.703</v>
      </c>
      <c r="E99" s="8">
        <v>107.667</v>
      </c>
      <c r="F99" s="10">
        <f t="shared" si="53"/>
        <v>0</v>
      </c>
      <c r="G99" s="10">
        <f t="shared" si="43"/>
        <v>-107.667</v>
      </c>
      <c r="H99" s="10">
        <f t="shared" ref="H99" si="54">H100+H101+H102</f>
        <v>430.81200000000001</v>
      </c>
      <c r="I99" s="8">
        <f>E99+март!I99</f>
        <v>430.66800000000001</v>
      </c>
      <c r="J99" s="10">
        <f t="shared" ref="J99" si="55">J100+J101+J102</f>
        <v>0</v>
      </c>
      <c r="K99" s="10">
        <f t="shared" si="44"/>
        <v>-430.66800000000001</v>
      </c>
      <c r="L99" s="16">
        <f t="shared" si="49"/>
        <v>-100</v>
      </c>
      <c r="M99" s="220"/>
      <c r="N99" s="221"/>
      <c r="P99">
        <f t="shared" si="40"/>
        <v>430.81200000000001</v>
      </c>
      <c r="Q99" s="44">
        <f>E99+март!I99</f>
        <v>430.66800000000001</v>
      </c>
      <c r="R99" s="30">
        <f>F99+фев!J99</f>
        <v>0</v>
      </c>
    </row>
    <row r="100" spans="1:18" ht="17.25" customHeight="1">
      <c r="A100" s="8" t="s">
        <v>91</v>
      </c>
      <c r="B100" s="20" t="s">
        <v>92</v>
      </c>
      <c r="C100" s="8" t="s">
        <v>4</v>
      </c>
      <c r="D100" s="10">
        <v>45.448999999999998</v>
      </c>
      <c r="E100" s="8"/>
      <c r="F100" s="8"/>
      <c r="G100" s="10">
        <f t="shared" si="43"/>
        <v>0</v>
      </c>
      <c r="H100" s="10">
        <f>D100+март!H100</f>
        <v>181.79599999999999</v>
      </c>
      <c r="I100" s="8"/>
      <c r="J100" s="10">
        <f>F100+март!J100</f>
        <v>0</v>
      </c>
      <c r="K100" s="10">
        <f t="shared" si="44"/>
        <v>0</v>
      </c>
      <c r="L100" s="16"/>
      <c r="M100" s="220"/>
      <c r="N100" s="221"/>
      <c r="P100">
        <f t="shared" si="40"/>
        <v>181.79599999999999</v>
      </c>
      <c r="Q100" s="44">
        <f>E100+март!I100</f>
        <v>0</v>
      </c>
      <c r="R100" s="30">
        <f>F100+фев!J100</f>
        <v>0</v>
      </c>
    </row>
    <row r="101" spans="1:18" ht="33.75" customHeight="1">
      <c r="A101" s="8" t="s">
        <v>93</v>
      </c>
      <c r="B101" s="20" t="s">
        <v>94</v>
      </c>
      <c r="C101" s="8" t="s">
        <v>4</v>
      </c>
      <c r="D101" s="10">
        <v>62.253999999999998</v>
      </c>
      <c r="E101" s="8"/>
      <c r="F101" s="8"/>
      <c r="G101" s="10">
        <f t="shared" si="43"/>
        <v>0</v>
      </c>
      <c r="H101" s="10">
        <f>D101+март!H101</f>
        <v>249.01599999999999</v>
      </c>
      <c r="I101" s="8"/>
      <c r="J101" s="10">
        <f>F101+март!J101</f>
        <v>0</v>
      </c>
      <c r="K101" s="10">
        <f t="shared" si="44"/>
        <v>0</v>
      </c>
      <c r="L101" s="16"/>
      <c r="M101" s="220"/>
      <c r="N101" s="221"/>
      <c r="P101">
        <f t="shared" si="40"/>
        <v>249.01599999999999</v>
      </c>
      <c r="Q101" s="44">
        <f>E101+март!I101</f>
        <v>0</v>
      </c>
      <c r="R101" s="30">
        <f>F101+фев!J101</f>
        <v>0</v>
      </c>
    </row>
    <row r="102" spans="1:18" ht="33.75" customHeight="1">
      <c r="A102" s="8" t="s">
        <v>95</v>
      </c>
      <c r="B102" s="20" t="s">
        <v>96</v>
      </c>
      <c r="C102" s="8" t="s">
        <v>4</v>
      </c>
      <c r="D102" s="10"/>
      <c r="E102" s="8"/>
      <c r="F102" s="8"/>
      <c r="G102" s="10">
        <f t="shared" si="43"/>
        <v>0</v>
      </c>
      <c r="H102" s="10">
        <f>D102+март!H102</f>
        <v>0</v>
      </c>
      <c r="I102" s="8"/>
      <c r="J102" s="10">
        <f>F102+март!J102</f>
        <v>0</v>
      </c>
      <c r="K102" s="10">
        <f t="shared" si="44"/>
        <v>0</v>
      </c>
      <c r="L102" s="16"/>
      <c r="M102" s="220"/>
      <c r="N102" s="221"/>
      <c r="P102">
        <f t="shared" si="40"/>
        <v>0</v>
      </c>
      <c r="Q102" s="44">
        <f>E102+март!I102</f>
        <v>0</v>
      </c>
      <c r="R102" s="30">
        <f>F102+фев!J102</f>
        <v>0</v>
      </c>
    </row>
    <row r="103" spans="1:18" ht="17.25" customHeight="1">
      <c r="A103" s="8" t="s">
        <v>97</v>
      </c>
      <c r="B103" s="20" t="s">
        <v>98</v>
      </c>
      <c r="C103" s="8" t="s">
        <v>4</v>
      </c>
      <c r="D103" s="10">
        <v>1.3089999999999999</v>
      </c>
      <c r="E103" s="8">
        <v>1.333</v>
      </c>
      <c r="F103" s="8"/>
      <c r="G103" s="10">
        <f t="shared" si="43"/>
        <v>-1.333</v>
      </c>
      <c r="H103" s="10">
        <f>D103+март!H103</f>
        <v>5.2359999999999998</v>
      </c>
      <c r="I103" s="8">
        <f>E103+март!I103</f>
        <v>5.3319999999999999</v>
      </c>
      <c r="J103" s="10">
        <f>F103+март!J103</f>
        <v>0</v>
      </c>
      <c r="K103" s="10">
        <f t="shared" si="44"/>
        <v>-5.3319999999999999</v>
      </c>
      <c r="L103" s="16">
        <f t="shared" si="49"/>
        <v>-100</v>
      </c>
      <c r="M103" s="220"/>
      <c r="N103" s="221"/>
      <c r="P103">
        <f t="shared" si="40"/>
        <v>5.2359999999999998</v>
      </c>
      <c r="Q103" s="44">
        <f>E103+март!I103</f>
        <v>5.3319999999999999</v>
      </c>
      <c r="R103" s="30">
        <f>F103+фев!J103</f>
        <v>0</v>
      </c>
    </row>
    <row r="104" spans="1:18" ht="36" customHeight="1">
      <c r="A104" s="18" t="s">
        <v>105</v>
      </c>
      <c r="B104" s="20" t="s">
        <v>99</v>
      </c>
      <c r="C104" s="8" t="s">
        <v>4</v>
      </c>
      <c r="D104" s="10">
        <f t="shared" ref="D104:F104" si="56">D105+D106+D107+D108</f>
        <v>186.095</v>
      </c>
      <c r="E104" s="10">
        <f t="shared" si="56"/>
        <v>152.833</v>
      </c>
      <c r="F104" s="10">
        <f t="shared" si="56"/>
        <v>575.077</v>
      </c>
      <c r="G104" s="10">
        <f t="shared" si="43"/>
        <v>422.24400000000003</v>
      </c>
      <c r="H104" s="10">
        <f t="shared" ref="H104:J104" si="57">H105+H106+H107+H108</f>
        <v>744.38</v>
      </c>
      <c r="I104" s="10">
        <f t="shared" si="57"/>
        <v>611.33199999999999</v>
      </c>
      <c r="J104" s="10">
        <f t="shared" si="57"/>
        <v>798.98400000000004</v>
      </c>
      <c r="K104" s="10">
        <f t="shared" si="44"/>
        <v>187.65200000000004</v>
      </c>
      <c r="L104" s="16">
        <f t="shared" si="49"/>
        <v>30.695595846446782</v>
      </c>
      <c r="M104" s="220"/>
      <c r="N104" s="221"/>
      <c r="P104">
        <f t="shared" si="40"/>
        <v>744.38</v>
      </c>
      <c r="Q104" s="44">
        <f>E104+март!I104</f>
        <v>611.33199999999999</v>
      </c>
      <c r="R104" s="30">
        <f>F104+фев!J104</f>
        <v>722.74</v>
      </c>
    </row>
    <row r="105" spans="1:18" ht="17.25" customHeight="1">
      <c r="A105" s="24" t="s">
        <v>243</v>
      </c>
      <c r="B105" s="20" t="s">
        <v>100</v>
      </c>
      <c r="C105" s="8" t="s">
        <v>4</v>
      </c>
      <c r="D105" s="10">
        <v>43.570999999999998</v>
      </c>
      <c r="E105" s="8">
        <v>43.582999999999998</v>
      </c>
      <c r="F105" s="55">
        <v>221.631</v>
      </c>
      <c r="G105" s="10">
        <f t="shared" si="43"/>
        <v>178.048</v>
      </c>
      <c r="H105" s="10">
        <f>D105+март!H105</f>
        <v>174.28399999999999</v>
      </c>
      <c r="I105" s="8">
        <f>E105+март!I105</f>
        <v>174.33199999999999</v>
      </c>
      <c r="J105" s="10">
        <f>F105+март!J105</f>
        <v>221.631</v>
      </c>
      <c r="K105" s="10">
        <f t="shared" si="44"/>
        <v>47.299000000000007</v>
      </c>
      <c r="L105" s="16">
        <f t="shared" si="49"/>
        <v>27.131565059771017</v>
      </c>
      <c r="M105" s="220"/>
      <c r="N105" s="221"/>
      <c r="P105">
        <f t="shared" si="40"/>
        <v>174.28399999999999</v>
      </c>
      <c r="Q105" s="44">
        <f>E105+март!I105</f>
        <v>174.33199999999999</v>
      </c>
      <c r="R105" s="30">
        <f>F105+фев!J105</f>
        <v>221.631</v>
      </c>
    </row>
    <row r="106" spans="1:18" ht="28.5" customHeight="1">
      <c r="A106" s="8" t="s">
        <v>244</v>
      </c>
      <c r="B106" s="20" t="s">
        <v>101</v>
      </c>
      <c r="C106" s="8" t="s">
        <v>4</v>
      </c>
      <c r="D106" s="10">
        <v>116.209</v>
      </c>
      <c r="E106" s="8">
        <v>82.917000000000002</v>
      </c>
      <c r="F106" s="55">
        <v>270.29300000000001</v>
      </c>
      <c r="G106" s="10">
        <f t="shared" si="43"/>
        <v>187.376</v>
      </c>
      <c r="H106" s="10">
        <f>D106+март!H106</f>
        <v>464.83600000000001</v>
      </c>
      <c r="I106" s="8">
        <f>E106+март!I106</f>
        <v>331.66800000000001</v>
      </c>
      <c r="J106" s="10">
        <f>F106+март!J106</f>
        <v>453.6</v>
      </c>
      <c r="K106" s="10">
        <f t="shared" si="44"/>
        <v>121.93200000000002</v>
      </c>
      <c r="L106" s="16">
        <f t="shared" si="49"/>
        <v>36.763269293389776</v>
      </c>
      <c r="M106" s="222" t="s">
        <v>287</v>
      </c>
      <c r="N106" s="223"/>
      <c r="P106">
        <f t="shared" si="40"/>
        <v>464.83600000000001</v>
      </c>
      <c r="Q106" s="44">
        <f>E106+март!I106</f>
        <v>331.66800000000001</v>
      </c>
      <c r="R106" s="30">
        <f>F106+фев!J106</f>
        <v>417.95600000000002</v>
      </c>
    </row>
    <row r="107" spans="1:18" ht="37.5" customHeight="1">
      <c r="A107" s="8" t="s">
        <v>245</v>
      </c>
      <c r="B107" s="20" t="s">
        <v>102</v>
      </c>
      <c r="C107" s="8" t="s">
        <v>4</v>
      </c>
      <c r="D107" s="10">
        <v>26.315000000000001</v>
      </c>
      <c r="E107" s="8">
        <v>26.332999999999998</v>
      </c>
      <c r="F107" s="54">
        <f>29.894+33.63+4+7+8.629</f>
        <v>83.153000000000006</v>
      </c>
      <c r="G107" s="10">
        <f t="shared" si="43"/>
        <v>56.820000000000007</v>
      </c>
      <c r="H107" s="10">
        <f>D107+март!H107</f>
        <v>105.26</v>
      </c>
      <c r="I107" s="8">
        <f>E107+март!I107</f>
        <v>105.33199999999999</v>
      </c>
      <c r="J107" s="10">
        <f>F107+март!J107</f>
        <v>123.75300000000001</v>
      </c>
      <c r="K107" s="10">
        <f t="shared" si="44"/>
        <v>18.421000000000021</v>
      </c>
      <c r="L107" s="16">
        <f t="shared" si="49"/>
        <v>17.488512512816641</v>
      </c>
      <c r="M107" s="220"/>
      <c r="N107" s="221"/>
      <c r="P107">
        <f t="shared" si="40"/>
        <v>105.26</v>
      </c>
      <c r="Q107" s="44">
        <f>E107+март!I107</f>
        <v>105.33199999999999</v>
      </c>
      <c r="R107" s="30">
        <f>F107+фев!J107</f>
        <v>83.153000000000006</v>
      </c>
    </row>
    <row r="108" spans="1:18" ht="35.25" hidden="1" customHeight="1">
      <c r="A108" s="8" t="s">
        <v>103</v>
      </c>
      <c r="B108" s="20" t="s">
        <v>104</v>
      </c>
      <c r="C108" s="8" t="s">
        <v>4</v>
      </c>
      <c r="D108" s="10">
        <v>0</v>
      </c>
      <c r="E108" s="8"/>
      <c r="F108" s="8"/>
      <c r="G108" s="10">
        <f t="shared" si="43"/>
        <v>0</v>
      </c>
      <c r="H108" s="10">
        <f>D108+март!H108</f>
        <v>0</v>
      </c>
      <c r="I108" s="8">
        <f>E108+март!I108</f>
        <v>0</v>
      </c>
      <c r="J108" s="8">
        <f>F108+фев!J108</f>
        <v>0</v>
      </c>
      <c r="K108" s="10">
        <f t="shared" si="44"/>
        <v>0</v>
      </c>
      <c r="L108" s="16" t="e">
        <f t="shared" si="49"/>
        <v>#DIV/0!</v>
      </c>
      <c r="M108" s="220"/>
      <c r="N108" s="221"/>
      <c r="P108">
        <f t="shared" si="40"/>
        <v>0</v>
      </c>
      <c r="Q108" s="44">
        <f>E108+март!I108</f>
        <v>0</v>
      </c>
      <c r="R108" s="30">
        <f>F108+фев!J108</f>
        <v>0</v>
      </c>
    </row>
    <row r="109" spans="1:18" ht="17.25" customHeight="1">
      <c r="A109" s="18" t="s">
        <v>246</v>
      </c>
      <c r="B109" s="20" t="s">
        <v>106</v>
      </c>
      <c r="C109" s="8" t="s">
        <v>4</v>
      </c>
      <c r="D109" s="10">
        <v>91.483999999999995</v>
      </c>
      <c r="E109" s="8">
        <v>58.167000000000002</v>
      </c>
      <c r="F109" s="55">
        <f>15.207+23.81+0.405+2.478+1.332</f>
        <v>43.231999999999999</v>
      </c>
      <c r="G109" s="10">
        <f t="shared" si="43"/>
        <v>-14.935000000000002</v>
      </c>
      <c r="H109" s="10">
        <f>D109+март!H109</f>
        <v>365.93599999999998</v>
      </c>
      <c r="I109" s="8">
        <f>E109+март!I109</f>
        <v>232.66800000000001</v>
      </c>
      <c r="J109" s="10">
        <f>F109+март!J109</f>
        <v>146.83699999999999</v>
      </c>
      <c r="K109" s="10">
        <f t="shared" si="44"/>
        <v>-85.831000000000017</v>
      </c>
      <c r="L109" s="16">
        <f t="shared" si="49"/>
        <v>-36.889903209723734</v>
      </c>
      <c r="M109" s="220"/>
      <c r="N109" s="221"/>
      <c r="P109">
        <f t="shared" si="40"/>
        <v>365.93599999999998</v>
      </c>
      <c r="Q109" s="44">
        <f>E109+март!I109</f>
        <v>232.66800000000001</v>
      </c>
      <c r="R109" s="30">
        <f>F109+фев!J109</f>
        <v>107.77</v>
      </c>
    </row>
    <row r="110" spans="1:18" ht="17.25" customHeight="1">
      <c r="A110" s="17" t="s">
        <v>247</v>
      </c>
      <c r="B110" s="6" t="s">
        <v>107</v>
      </c>
      <c r="C110" s="8" t="s">
        <v>4</v>
      </c>
      <c r="D110" s="10">
        <f>D111+D115+D119+D123+D124+D125+D126+D127+D128+D129+D130+D131+D132+D133+D134+D135</f>
        <v>1562.1809999999998</v>
      </c>
      <c r="E110" s="10">
        <f>E111+E115+E119+E123+E124+E125+E126+E127+E128+E129+E130+E131+E132+E133+E134+E135+E136+E137</f>
        <v>1699.25</v>
      </c>
      <c r="F110" s="10">
        <f>F111+F115+F119+F123+F124+F125+F126+F127+F128+F129+F130+F131+F132+F133+F134+F135+F136+F137</f>
        <v>2504.1640000000002</v>
      </c>
      <c r="G110" s="10">
        <f t="shared" si="43"/>
        <v>804.91400000000021</v>
      </c>
      <c r="H110" s="10">
        <f>H111+H115+H119+H123+H124+H125+H126+H127+H128+H129+H130+H131+H132+H133+H134+H135</f>
        <v>6248.7239999999993</v>
      </c>
      <c r="I110" s="10">
        <f>I111+I115+I119+I123+I124+I125+I126+I127+I128+I129+I130+I131+I132+I133+I134+I135+I136+I137</f>
        <v>6797</v>
      </c>
      <c r="J110" s="10">
        <f>J111+J115+J119+J123+J124+J125+J126+J127+J128+J129+J130+J131+J132+J133+J134+J135+J136+J137</f>
        <v>6656.0695000000005</v>
      </c>
      <c r="K110" s="10">
        <f t="shared" si="44"/>
        <v>-140.93049999999948</v>
      </c>
      <c r="L110" s="16">
        <f t="shared" si="49"/>
        <v>-2.0734220979843974</v>
      </c>
      <c r="M110" s="226"/>
      <c r="N110" s="221"/>
      <c r="P110">
        <f t="shared" si="40"/>
        <v>6248.7239999999993</v>
      </c>
      <c r="Q110" s="44">
        <f>E110+март!I110</f>
        <v>6797</v>
      </c>
      <c r="R110" s="30">
        <f>F110+фев!J110</f>
        <v>5066.4120000000003</v>
      </c>
    </row>
    <row r="111" spans="1:18" ht="18" customHeight="1">
      <c r="A111" s="18" t="s">
        <v>248</v>
      </c>
      <c r="B111" s="9" t="s">
        <v>108</v>
      </c>
      <c r="C111" s="8" t="s">
        <v>4</v>
      </c>
      <c r="D111" s="10">
        <v>431.38099999999997</v>
      </c>
      <c r="E111" s="8">
        <v>431.41699999999997</v>
      </c>
      <c r="F111" s="10">
        <f>F112+F113+F114</f>
        <v>290.02</v>
      </c>
      <c r="G111" s="10">
        <f t="shared" si="43"/>
        <v>-141.39699999999999</v>
      </c>
      <c r="H111" s="10">
        <f>D111+март!H111</f>
        <v>1725.5239999999999</v>
      </c>
      <c r="I111" s="8">
        <f>E111+март!I111</f>
        <v>1725.6679999999999</v>
      </c>
      <c r="J111" s="10">
        <f>J112+J113+J114</f>
        <v>1188.6309999999999</v>
      </c>
      <c r="K111" s="10">
        <f t="shared" si="44"/>
        <v>-537.03700000000003</v>
      </c>
      <c r="L111" s="16">
        <f t="shared" si="49"/>
        <v>-31.120528398278235</v>
      </c>
      <c r="M111" s="231"/>
      <c r="N111" s="232"/>
      <c r="P111">
        <f t="shared" si="40"/>
        <v>1725.5239999999999</v>
      </c>
      <c r="Q111" s="44">
        <f>E111+март!I111</f>
        <v>1725.6679999999999</v>
      </c>
      <c r="R111" s="30">
        <f>F111+фев!J111</f>
        <v>805.50099999999998</v>
      </c>
    </row>
    <row r="112" spans="1:18" ht="17.25" customHeight="1">
      <c r="A112" s="18"/>
      <c r="B112" s="9" t="s">
        <v>221</v>
      </c>
      <c r="C112" s="8" t="s">
        <v>4</v>
      </c>
      <c r="D112" s="10"/>
      <c r="E112" s="8"/>
      <c r="F112" s="54">
        <v>202.02</v>
      </c>
      <c r="G112" s="10">
        <f t="shared" si="43"/>
        <v>202.02</v>
      </c>
      <c r="H112" s="10"/>
      <c r="I112" s="8"/>
      <c r="J112" s="10">
        <f>F112+март!J112</f>
        <v>966.81</v>
      </c>
      <c r="K112" s="10">
        <f t="shared" si="44"/>
        <v>966.81</v>
      </c>
      <c r="L112" s="16"/>
      <c r="M112" s="220"/>
      <c r="N112" s="221"/>
      <c r="P112">
        <f t="shared" si="40"/>
        <v>0</v>
      </c>
      <c r="Q112" s="44">
        <f>E112+март!I112</f>
        <v>0</v>
      </c>
      <c r="R112" s="30">
        <f>F112+фев!J112</f>
        <v>615.67999999999995</v>
      </c>
    </row>
    <row r="113" spans="1:18" ht="36" customHeight="1">
      <c r="A113" s="18"/>
      <c r="B113" s="9" t="s">
        <v>222</v>
      </c>
      <c r="C113" s="8" t="s">
        <v>4</v>
      </c>
      <c r="D113" s="10"/>
      <c r="E113" s="8"/>
      <c r="F113" s="54">
        <v>88</v>
      </c>
      <c r="G113" s="10">
        <f t="shared" si="43"/>
        <v>88</v>
      </c>
      <c r="H113" s="10"/>
      <c r="I113" s="8"/>
      <c r="J113" s="10">
        <f>F113+март!J113</f>
        <v>221.821</v>
      </c>
      <c r="K113" s="10">
        <f t="shared" si="44"/>
        <v>221.821</v>
      </c>
      <c r="L113" s="16"/>
      <c r="M113" s="220"/>
      <c r="N113" s="221"/>
      <c r="P113">
        <f t="shared" si="40"/>
        <v>0</v>
      </c>
      <c r="Q113" s="44">
        <f>E113+март!I113</f>
        <v>0</v>
      </c>
      <c r="R113" s="30">
        <f>F113+фев!J113</f>
        <v>189.821</v>
      </c>
    </row>
    <row r="114" spans="1:18" ht="17.25" customHeight="1">
      <c r="A114" s="18"/>
      <c r="B114" s="9" t="s">
        <v>223</v>
      </c>
      <c r="C114" s="8" t="s">
        <v>4</v>
      </c>
      <c r="D114" s="10"/>
      <c r="E114" s="8"/>
      <c r="F114" s="8"/>
      <c r="G114" s="10">
        <f t="shared" si="43"/>
        <v>0</v>
      </c>
      <c r="H114" s="10"/>
      <c r="I114" s="8"/>
      <c r="J114" s="10">
        <f>F114+март!J114</f>
        <v>0</v>
      </c>
      <c r="K114" s="10">
        <f t="shared" si="44"/>
        <v>0</v>
      </c>
      <c r="L114" s="16"/>
      <c r="M114" s="220"/>
      <c r="N114" s="221"/>
      <c r="P114">
        <f t="shared" si="40"/>
        <v>0</v>
      </c>
      <c r="Q114" s="44">
        <f>E114+март!I114</f>
        <v>0</v>
      </c>
      <c r="R114" s="30">
        <f>F114+фев!J114</f>
        <v>0</v>
      </c>
    </row>
    <row r="115" spans="1:18" ht="17.25" customHeight="1">
      <c r="A115" s="18" t="s">
        <v>249</v>
      </c>
      <c r="B115" s="9" t="s">
        <v>109</v>
      </c>
      <c r="C115" s="8" t="s">
        <v>4</v>
      </c>
      <c r="D115" s="10">
        <f t="shared" ref="D115:F115" si="58">D116+D117+D118</f>
        <v>121.34400000000001</v>
      </c>
      <c r="E115" s="10">
        <v>121.333</v>
      </c>
      <c r="F115" s="10">
        <f t="shared" si="58"/>
        <v>0</v>
      </c>
      <c r="G115" s="10">
        <f t="shared" si="43"/>
        <v>-121.333</v>
      </c>
      <c r="H115" s="10">
        <f t="shared" ref="H115" si="59">H116+H117+H118</f>
        <v>485.37600000000003</v>
      </c>
      <c r="I115" s="8">
        <f>E115+март!I115</f>
        <v>485.33199999999999</v>
      </c>
      <c r="J115" s="10">
        <f t="shared" ref="J115" si="60">J116+J117+J118</f>
        <v>0</v>
      </c>
      <c r="K115" s="10">
        <f t="shared" si="44"/>
        <v>-485.33199999999999</v>
      </c>
      <c r="L115" s="16">
        <f t="shared" si="49"/>
        <v>-100</v>
      </c>
      <c r="M115" s="220"/>
      <c r="N115" s="221"/>
      <c r="P115">
        <f t="shared" si="40"/>
        <v>485.37600000000003</v>
      </c>
      <c r="Q115" s="44">
        <f>E115+март!I115</f>
        <v>485.33199999999999</v>
      </c>
      <c r="R115" s="30">
        <f>F115+фев!J115</f>
        <v>0</v>
      </c>
    </row>
    <row r="116" spans="1:18" ht="36" customHeight="1">
      <c r="A116" s="8" t="s">
        <v>250</v>
      </c>
      <c r="B116" s="9" t="s">
        <v>240</v>
      </c>
      <c r="C116" s="8" t="s">
        <v>4</v>
      </c>
      <c r="D116" s="10">
        <v>86.322000000000003</v>
      </c>
      <c r="E116" s="8"/>
      <c r="F116" s="8"/>
      <c r="G116" s="10">
        <f t="shared" si="43"/>
        <v>0</v>
      </c>
      <c r="H116" s="10">
        <f>D116+март!H116</f>
        <v>345.28800000000001</v>
      </c>
      <c r="I116" s="8"/>
      <c r="J116" s="10">
        <f>F116+март!J116</f>
        <v>0</v>
      </c>
      <c r="K116" s="10">
        <f t="shared" si="44"/>
        <v>0</v>
      </c>
      <c r="L116" s="16"/>
      <c r="M116" s="220"/>
      <c r="N116" s="221"/>
      <c r="P116">
        <f t="shared" si="40"/>
        <v>345.28800000000001</v>
      </c>
      <c r="Q116" s="44">
        <f>E116+март!I116</f>
        <v>0</v>
      </c>
      <c r="R116" s="30">
        <f>F116+фев!J116</f>
        <v>0</v>
      </c>
    </row>
    <row r="117" spans="1:18" ht="42.75" customHeight="1">
      <c r="A117" s="8" t="s">
        <v>251</v>
      </c>
      <c r="B117" s="9" t="s">
        <v>241</v>
      </c>
      <c r="C117" s="8" t="s">
        <v>4</v>
      </c>
      <c r="D117" s="10">
        <v>31.76</v>
      </c>
      <c r="E117" s="8"/>
      <c r="F117" s="8"/>
      <c r="G117" s="10">
        <f t="shared" si="43"/>
        <v>0</v>
      </c>
      <c r="H117" s="10">
        <f>D117+март!H117</f>
        <v>127.04</v>
      </c>
      <c r="I117" s="8"/>
      <c r="J117" s="10">
        <f>F117+март!J117</f>
        <v>0</v>
      </c>
      <c r="K117" s="10">
        <f t="shared" si="44"/>
        <v>0</v>
      </c>
      <c r="L117" s="16"/>
      <c r="M117" s="220"/>
      <c r="N117" s="221"/>
      <c r="P117">
        <f t="shared" si="40"/>
        <v>127.04</v>
      </c>
      <c r="Q117" s="44">
        <f>E117+март!I117</f>
        <v>0</v>
      </c>
      <c r="R117" s="30">
        <f>F117+фев!J117</f>
        <v>0</v>
      </c>
    </row>
    <row r="118" spans="1:18" ht="17.25" customHeight="1">
      <c r="A118" s="8" t="s">
        <v>252</v>
      </c>
      <c r="B118" s="9" t="s">
        <v>110</v>
      </c>
      <c r="C118" s="8" t="s">
        <v>4</v>
      </c>
      <c r="D118" s="10">
        <v>3.262</v>
      </c>
      <c r="E118" s="8"/>
      <c r="F118" s="8"/>
      <c r="G118" s="10">
        <f t="shared" si="43"/>
        <v>0</v>
      </c>
      <c r="H118" s="10">
        <f>D118+март!H118</f>
        <v>13.048</v>
      </c>
      <c r="I118" s="8"/>
      <c r="J118" s="10">
        <f>F118+март!J118</f>
        <v>0</v>
      </c>
      <c r="K118" s="10">
        <f t="shared" si="44"/>
        <v>0</v>
      </c>
      <c r="L118" s="16"/>
      <c r="M118" s="220"/>
      <c r="N118" s="221"/>
      <c r="P118">
        <f t="shared" si="40"/>
        <v>13.048</v>
      </c>
      <c r="Q118" s="44">
        <f>E118+март!I118</f>
        <v>0</v>
      </c>
      <c r="R118" s="30">
        <f>F118+фев!J118</f>
        <v>0</v>
      </c>
    </row>
    <row r="119" spans="1:18" ht="34.5" customHeight="1">
      <c r="A119" s="18" t="s">
        <v>253</v>
      </c>
      <c r="B119" s="9" t="s">
        <v>111</v>
      </c>
      <c r="C119" s="8" t="s">
        <v>4</v>
      </c>
      <c r="D119" s="10">
        <f>D120</f>
        <v>380.84899999999999</v>
      </c>
      <c r="E119" s="10">
        <v>356.5</v>
      </c>
      <c r="F119" s="54">
        <f>F120</f>
        <v>310.05500000000001</v>
      </c>
      <c r="G119" s="10">
        <f t="shared" si="43"/>
        <v>-46.444999999999993</v>
      </c>
      <c r="H119" s="10">
        <f>H120</f>
        <v>1523.396</v>
      </c>
      <c r="I119" s="10">
        <f>E119+март!I119</f>
        <v>1426</v>
      </c>
      <c r="J119" s="10">
        <f>J120</f>
        <v>1326.8415</v>
      </c>
      <c r="K119" s="10">
        <f t="shared" si="44"/>
        <v>-99.158500000000004</v>
      </c>
      <c r="L119" s="16">
        <f t="shared" si="49"/>
        <v>-6.9536115007012622</v>
      </c>
      <c r="M119" s="220"/>
      <c r="N119" s="221"/>
      <c r="P119">
        <f t="shared" si="40"/>
        <v>1523.396</v>
      </c>
      <c r="Q119" s="44">
        <f>E119+март!I119</f>
        <v>1426</v>
      </c>
      <c r="R119" s="30">
        <f>F119+фев!J119</f>
        <v>1109.2270000000001</v>
      </c>
    </row>
    <row r="120" spans="1:18" ht="17.25" customHeight="1">
      <c r="A120" s="8"/>
      <c r="B120" s="25" t="s">
        <v>112</v>
      </c>
      <c r="C120" s="8" t="s">
        <v>113</v>
      </c>
      <c r="D120" s="10">
        <v>380.84899999999999</v>
      </c>
      <c r="E120" s="10">
        <f>E122*E121</f>
        <v>356.5</v>
      </c>
      <c r="F120" s="10">
        <f>F122*F121</f>
        <v>310.05500000000001</v>
      </c>
      <c r="G120" s="10">
        <f t="shared" si="43"/>
        <v>-46.444999999999993</v>
      </c>
      <c r="H120" s="10">
        <f>D120+март!H120</f>
        <v>1523.396</v>
      </c>
      <c r="I120" s="10">
        <f>E120+март!I120</f>
        <v>1426</v>
      </c>
      <c r="J120" s="10">
        <f>F120+март!J120</f>
        <v>1326.8415</v>
      </c>
      <c r="K120" s="10">
        <f t="shared" si="44"/>
        <v>-99.158500000000004</v>
      </c>
      <c r="L120" s="16">
        <f t="shared" si="49"/>
        <v>-6.9536115007012622</v>
      </c>
      <c r="M120" s="220"/>
      <c r="N120" s="221"/>
      <c r="P120">
        <f t="shared" si="40"/>
        <v>1523.396</v>
      </c>
      <c r="Q120" s="44">
        <f>E120+март!I120</f>
        <v>1426</v>
      </c>
      <c r="R120" s="30">
        <f>F120+фев!J120</f>
        <v>1109.2270000000001</v>
      </c>
    </row>
    <row r="121" spans="1:18" ht="17.25" customHeight="1">
      <c r="A121" s="8"/>
      <c r="B121" s="12" t="s">
        <v>13</v>
      </c>
      <c r="C121" s="13" t="s">
        <v>114</v>
      </c>
      <c r="D121" s="10">
        <v>761.69899999999996</v>
      </c>
      <c r="E121" s="16">
        <f>E119/E122</f>
        <v>713</v>
      </c>
      <c r="F121" s="8">
        <f>F210</f>
        <v>620.11</v>
      </c>
      <c r="G121" s="10">
        <f t="shared" si="43"/>
        <v>-92.889999999999986</v>
      </c>
      <c r="H121" s="10">
        <f>D121+март!H121</f>
        <v>3046.7959999999998</v>
      </c>
      <c r="I121" s="8">
        <f>E121+март!I121</f>
        <v>2852</v>
      </c>
      <c r="J121" s="10">
        <f>F121+март!J121</f>
        <v>2653.6820000000002</v>
      </c>
      <c r="K121" s="10">
        <f t="shared" si="44"/>
        <v>-198.31799999999976</v>
      </c>
      <c r="L121" s="16">
        <f t="shared" si="49"/>
        <v>-6.9536465638148579</v>
      </c>
      <c r="M121" s="220"/>
      <c r="N121" s="221"/>
      <c r="P121">
        <f t="shared" si="40"/>
        <v>3046.7959999999998</v>
      </c>
      <c r="Q121" s="44">
        <f>E121+март!I121</f>
        <v>2852</v>
      </c>
      <c r="R121" s="30">
        <f>F121+фев!J121</f>
        <v>2218.453</v>
      </c>
    </row>
    <row r="122" spans="1:18" ht="17.25" customHeight="1">
      <c r="A122" s="8"/>
      <c r="B122" s="12" t="s">
        <v>15</v>
      </c>
      <c r="C122" s="13" t="s">
        <v>16</v>
      </c>
      <c r="D122" s="11">
        <v>0.5</v>
      </c>
      <c r="E122" s="11">
        <v>0.5</v>
      </c>
      <c r="F122" s="11">
        <v>0.5</v>
      </c>
      <c r="G122" s="10">
        <f t="shared" si="43"/>
        <v>0</v>
      </c>
      <c r="H122" s="11">
        <v>0.5</v>
      </c>
      <c r="I122" s="11">
        <v>0.5</v>
      </c>
      <c r="J122" s="11">
        <v>0.5</v>
      </c>
      <c r="K122" s="10">
        <f t="shared" si="44"/>
        <v>0</v>
      </c>
      <c r="L122" s="16">
        <f t="shared" si="49"/>
        <v>0</v>
      </c>
      <c r="M122" s="220"/>
      <c r="N122" s="221"/>
      <c r="P122">
        <f t="shared" si="40"/>
        <v>2</v>
      </c>
      <c r="Q122" s="44">
        <f>E122+март!I122</f>
        <v>1</v>
      </c>
      <c r="R122" s="30">
        <f>F122+фев!J122</f>
        <v>1</v>
      </c>
    </row>
    <row r="123" spans="1:18" ht="17.25" customHeight="1">
      <c r="A123" s="18" t="s">
        <v>254</v>
      </c>
      <c r="B123" s="9" t="s">
        <v>115</v>
      </c>
      <c r="C123" s="8" t="s">
        <v>4</v>
      </c>
      <c r="D123" s="10">
        <v>1.1120000000000001</v>
      </c>
      <c r="E123" s="8">
        <v>1.083</v>
      </c>
      <c r="F123" s="8"/>
      <c r="G123" s="10">
        <f t="shared" si="43"/>
        <v>-1.083</v>
      </c>
      <c r="H123" s="10">
        <f>D123+март!H123</f>
        <v>4.4480000000000004</v>
      </c>
      <c r="I123" s="8">
        <f>E123+март!I123</f>
        <v>4.3319999999999999</v>
      </c>
      <c r="J123" s="10">
        <f>F123+март!J123</f>
        <v>0</v>
      </c>
      <c r="K123" s="10">
        <f t="shared" si="44"/>
        <v>-4.3319999999999999</v>
      </c>
      <c r="L123" s="16">
        <f t="shared" si="49"/>
        <v>-100</v>
      </c>
      <c r="M123" s="220"/>
      <c r="N123" s="221"/>
      <c r="P123">
        <f t="shared" si="40"/>
        <v>4.4480000000000004</v>
      </c>
      <c r="Q123" s="44">
        <f>E123+март!I123</f>
        <v>4.3319999999999999</v>
      </c>
      <c r="R123" s="30">
        <f>F123+фев!J123</f>
        <v>0</v>
      </c>
    </row>
    <row r="124" spans="1:18" ht="36" customHeight="1">
      <c r="A124" s="18" t="s">
        <v>255</v>
      </c>
      <c r="B124" s="9" t="s">
        <v>116</v>
      </c>
      <c r="C124" s="8" t="s">
        <v>4</v>
      </c>
      <c r="D124" s="10">
        <v>53.17</v>
      </c>
      <c r="E124" s="8">
        <v>52.167000000000002</v>
      </c>
      <c r="F124" s="54">
        <v>45</v>
      </c>
      <c r="G124" s="10">
        <f t="shared" si="43"/>
        <v>-7.1670000000000016</v>
      </c>
      <c r="H124" s="10">
        <f>D124+март!H124</f>
        <v>212.68</v>
      </c>
      <c r="I124" s="8">
        <f>E124+март!I124</f>
        <v>208.66800000000001</v>
      </c>
      <c r="J124" s="10">
        <f>F124+март!J124</f>
        <v>180</v>
      </c>
      <c r="K124" s="10">
        <f t="shared" si="44"/>
        <v>-28.668000000000006</v>
      </c>
      <c r="L124" s="16">
        <f t="shared" si="49"/>
        <v>-13.738570360572776</v>
      </c>
      <c r="M124" s="220"/>
      <c r="N124" s="221"/>
      <c r="P124">
        <f t="shared" si="40"/>
        <v>212.68</v>
      </c>
      <c r="Q124" s="44">
        <f>E124+март!I124</f>
        <v>208.66800000000001</v>
      </c>
      <c r="R124" s="30">
        <f>F124+фев!J124</f>
        <v>135</v>
      </c>
    </row>
    <row r="125" spans="1:18" ht="41.25" customHeight="1">
      <c r="A125" s="18" t="s">
        <v>256</v>
      </c>
      <c r="B125" s="9" t="s">
        <v>117</v>
      </c>
      <c r="C125" s="8" t="s">
        <v>4</v>
      </c>
      <c r="D125" s="10">
        <v>411.35</v>
      </c>
      <c r="E125" s="8">
        <v>411.33300000000003</v>
      </c>
      <c r="F125" s="55">
        <f>464.954+329.434</f>
        <v>794.38800000000003</v>
      </c>
      <c r="G125" s="10">
        <f t="shared" si="43"/>
        <v>383.05500000000001</v>
      </c>
      <c r="H125" s="10">
        <f>D125+март!H125</f>
        <v>1645.4</v>
      </c>
      <c r="I125" s="8">
        <f>E125+март!I125</f>
        <v>1645.3320000000001</v>
      </c>
      <c r="J125" s="10">
        <f>F125+март!J125</f>
        <v>2227.3760000000002</v>
      </c>
      <c r="K125" s="10">
        <f t="shared" si="44"/>
        <v>582.0440000000001</v>
      </c>
      <c r="L125" s="16">
        <f t="shared" si="49"/>
        <v>35.375474372345522</v>
      </c>
      <c r="M125" s="222" t="s">
        <v>294</v>
      </c>
      <c r="N125" s="223"/>
      <c r="P125">
        <f t="shared" si="40"/>
        <v>1645.4</v>
      </c>
      <c r="Q125" s="44">
        <f>E125+март!I125</f>
        <v>1645.3320000000001</v>
      </c>
      <c r="R125" s="30">
        <f>F125+фев!J125</f>
        <v>1704.6510000000001</v>
      </c>
    </row>
    <row r="126" spans="1:18" ht="55.5" customHeight="1">
      <c r="A126" s="18" t="s">
        <v>257</v>
      </c>
      <c r="B126" s="9" t="s">
        <v>118</v>
      </c>
      <c r="C126" s="8" t="s">
        <v>4</v>
      </c>
      <c r="D126" s="10">
        <v>48.704000000000001</v>
      </c>
      <c r="E126" s="8">
        <v>48.667000000000002</v>
      </c>
      <c r="F126" s="54">
        <v>53.1</v>
      </c>
      <c r="G126" s="10">
        <f t="shared" si="43"/>
        <v>4.4329999999999998</v>
      </c>
      <c r="H126" s="10">
        <f>D126+март!H126</f>
        <v>194.816</v>
      </c>
      <c r="I126" s="8">
        <f>E126+март!I126</f>
        <v>194.66800000000001</v>
      </c>
      <c r="J126" s="10">
        <f>F126+март!J126</f>
        <v>212.34</v>
      </c>
      <c r="K126" s="10">
        <f t="shared" si="44"/>
        <v>17.671999999999997</v>
      </c>
      <c r="L126" s="16">
        <f t="shared" si="49"/>
        <v>9.0780200135615488</v>
      </c>
      <c r="M126" s="220"/>
      <c r="N126" s="221"/>
      <c r="P126">
        <f t="shared" si="40"/>
        <v>194.816</v>
      </c>
      <c r="Q126" s="44">
        <f>E126+март!I126</f>
        <v>194.66800000000001</v>
      </c>
      <c r="R126" s="30">
        <f>F126+фев!J126</f>
        <v>106.2</v>
      </c>
    </row>
    <row r="127" spans="1:18" ht="17.25" customHeight="1">
      <c r="A127" s="18" t="s">
        <v>258</v>
      </c>
      <c r="B127" s="9" t="s">
        <v>119</v>
      </c>
      <c r="C127" s="8" t="s">
        <v>4</v>
      </c>
      <c r="D127" s="10">
        <v>38.012999999999998</v>
      </c>
      <c r="E127" s="8">
        <v>38</v>
      </c>
      <c r="F127" s="54">
        <v>105</v>
      </c>
      <c r="G127" s="10">
        <f t="shared" si="43"/>
        <v>67</v>
      </c>
      <c r="H127" s="10">
        <f>D127+март!H127</f>
        <v>152.05199999999999</v>
      </c>
      <c r="I127" s="8">
        <f>E127+март!I127</f>
        <v>152</v>
      </c>
      <c r="J127" s="10">
        <f>F127+март!J127</f>
        <v>105</v>
      </c>
      <c r="K127" s="10">
        <f t="shared" si="44"/>
        <v>-47</v>
      </c>
      <c r="L127" s="16">
        <f t="shared" si="49"/>
        <v>-30.921052631578949</v>
      </c>
      <c r="M127" s="220"/>
      <c r="N127" s="221"/>
      <c r="P127">
        <f t="shared" si="40"/>
        <v>152.05199999999999</v>
      </c>
      <c r="Q127" s="44">
        <f>E127+март!I127</f>
        <v>152</v>
      </c>
      <c r="R127" s="30">
        <f>F127+фев!J127</f>
        <v>105</v>
      </c>
    </row>
    <row r="128" spans="1:18" ht="54" customHeight="1">
      <c r="A128" s="18" t="s">
        <v>259</v>
      </c>
      <c r="B128" s="9" t="s">
        <v>120</v>
      </c>
      <c r="C128" s="8" t="s">
        <v>4</v>
      </c>
      <c r="D128" s="10"/>
      <c r="E128" s="8"/>
      <c r="F128" s="8">
        <v>368.68400000000003</v>
      </c>
      <c r="G128" s="10">
        <f t="shared" si="43"/>
        <v>368.68400000000003</v>
      </c>
      <c r="H128" s="10">
        <f>D128+март!H128</f>
        <v>0</v>
      </c>
      <c r="I128" s="8">
        <f>E128+март!I128</f>
        <v>0</v>
      </c>
      <c r="J128" s="87">
        <f>F128+март!J128</f>
        <v>640.45500000000004</v>
      </c>
      <c r="K128" s="10">
        <f t="shared" si="44"/>
        <v>640.45500000000004</v>
      </c>
      <c r="L128" s="16" t="e">
        <f t="shared" si="49"/>
        <v>#DIV/0!</v>
      </c>
      <c r="M128" s="220"/>
      <c r="N128" s="221"/>
      <c r="P128">
        <f t="shared" si="40"/>
        <v>0</v>
      </c>
      <c r="Q128" s="44">
        <f>E128+март!I128</f>
        <v>0</v>
      </c>
      <c r="R128" s="30">
        <f>F128+фев!J128</f>
        <v>404.57600000000002</v>
      </c>
    </row>
    <row r="129" spans="1:18" ht="34.5" hidden="1" customHeight="1">
      <c r="A129" s="18" t="s">
        <v>121</v>
      </c>
      <c r="B129" s="9" t="s">
        <v>218</v>
      </c>
      <c r="C129" s="8" t="s">
        <v>4</v>
      </c>
      <c r="D129" s="10">
        <v>0</v>
      </c>
      <c r="E129" s="8"/>
      <c r="F129" s="8"/>
      <c r="G129" s="10">
        <f t="shared" si="43"/>
        <v>0</v>
      </c>
      <c r="H129" s="10">
        <f>D129+март!H129</f>
        <v>0</v>
      </c>
      <c r="I129" s="8">
        <f>E129+март!I129</f>
        <v>0</v>
      </c>
      <c r="J129" s="10">
        <f>F129+март!J129</f>
        <v>0</v>
      </c>
      <c r="K129" s="10">
        <f t="shared" si="44"/>
        <v>0</v>
      </c>
      <c r="L129" s="16" t="e">
        <f t="shared" si="49"/>
        <v>#DIV/0!</v>
      </c>
      <c r="M129" s="220"/>
      <c r="N129" s="221"/>
      <c r="P129">
        <f t="shared" si="40"/>
        <v>0</v>
      </c>
      <c r="Q129" s="44">
        <f>E129+март!I129</f>
        <v>0</v>
      </c>
      <c r="R129" s="30">
        <f>F129+фев!J129</f>
        <v>0</v>
      </c>
    </row>
    <row r="130" spans="1:18" ht="33" customHeight="1">
      <c r="A130" s="18" t="s">
        <v>260</v>
      </c>
      <c r="B130" s="9" t="s">
        <v>263</v>
      </c>
      <c r="C130" s="8" t="s">
        <v>4</v>
      </c>
      <c r="D130" s="10"/>
      <c r="E130" s="8"/>
      <c r="F130" s="8"/>
      <c r="G130" s="10">
        <f t="shared" si="43"/>
        <v>0</v>
      </c>
      <c r="H130" s="10">
        <f>D130+март!H130</f>
        <v>0</v>
      </c>
      <c r="I130" s="8">
        <f>E130+март!I130</f>
        <v>0</v>
      </c>
      <c r="J130" s="10">
        <f>F130+март!J130</f>
        <v>0</v>
      </c>
      <c r="K130" s="10">
        <f t="shared" si="44"/>
        <v>0</v>
      </c>
      <c r="L130" s="16" t="e">
        <f t="shared" si="49"/>
        <v>#DIV/0!</v>
      </c>
      <c r="M130" s="222" t="s">
        <v>288</v>
      </c>
      <c r="N130" s="223"/>
      <c r="P130">
        <f t="shared" si="40"/>
        <v>0</v>
      </c>
      <c r="Q130" s="44">
        <f>E130+март!I130</f>
        <v>0</v>
      </c>
      <c r="R130" s="30">
        <f>F130+фев!J130</f>
        <v>0</v>
      </c>
    </row>
    <row r="131" spans="1:18" ht="17.25" customHeight="1">
      <c r="A131" s="18" t="s">
        <v>261</v>
      </c>
      <c r="B131" s="9" t="s">
        <v>122</v>
      </c>
      <c r="C131" s="8" t="s">
        <v>4</v>
      </c>
      <c r="D131" s="10">
        <v>69.783000000000001</v>
      </c>
      <c r="E131" s="8">
        <v>69.75</v>
      </c>
      <c r="F131" s="54">
        <v>208.75</v>
      </c>
      <c r="G131" s="10">
        <f t="shared" si="43"/>
        <v>139</v>
      </c>
      <c r="H131" s="10">
        <f>D131+март!H131</f>
        <v>279.13200000000001</v>
      </c>
      <c r="I131" s="8">
        <f>E131+март!I131</f>
        <v>279</v>
      </c>
      <c r="J131" s="10">
        <f>F131+март!J131</f>
        <v>208.75</v>
      </c>
      <c r="K131" s="10">
        <f t="shared" si="44"/>
        <v>-70.25</v>
      </c>
      <c r="L131" s="16">
        <f t="shared" si="49"/>
        <v>-25.179211469534053</v>
      </c>
      <c r="M131" s="220"/>
      <c r="N131" s="221"/>
      <c r="P131">
        <f t="shared" si="40"/>
        <v>279.13200000000001</v>
      </c>
      <c r="Q131" s="44">
        <f>E131+март!I131</f>
        <v>279</v>
      </c>
      <c r="R131" s="30">
        <f>F131+фев!J131</f>
        <v>208.75</v>
      </c>
    </row>
    <row r="132" spans="1:18" ht="54.75" customHeight="1">
      <c r="A132" s="18" t="s">
        <v>262</v>
      </c>
      <c r="B132" s="9" t="s">
        <v>123</v>
      </c>
      <c r="C132" s="8" t="s">
        <v>4</v>
      </c>
      <c r="D132" s="10"/>
      <c r="E132" s="8"/>
      <c r="F132" s="8"/>
      <c r="G132" s="10">
        <f t="shared" si="43"/>
        <v>0</v>
      </c>
      <c r="H132" s="10">
        <f>D132+март!H132</f>
        <v>0</v>
      </c>
      <c r="I132" s="8">
        <f>E132+март!I132</f>
        <v>0</v>
      </c>
      <c r="J132" s="10">
        <f>F132+март!J132</f>
        <v>0</v>
      </c>
      <c r="K132" s="10">
        <f t="shared" si="44"/>
        <v>0</v>
      </c>
      <c r="L132" s="16"/>
      <c r="M132" s="220"/>
      <c r="N132" s="221"/>
      <c r="P132">
        <f t="shared" si="40"/>
        <v>0</v>
      </c>
      <c r="Q132" s="44">
        <f>E132+март!I132</f>
        <v>0</v>
      </c>
      <c r="R132" s="30">
        <f>F132+фев!J132</f>
        <v>0</v>
      </c>
    </row>
    <row r="133" spans="1:18" ht="54" customHeight="1">
      <c r="A133" s="18" t="s">
        <v>264</v>
      </c>
      <c r="B133" s="9" t="s">
        <v>124</v>
      </c>
      <c r="C133" s="8" t="s">
        <v>4</v>
      </c>
      <c r="D133" s="10"/>
      <c r="E133" s="8"/>
      <c r="F133" s="8"/>
      <c r="G133" s="10">
        <f t="shared" si="43"/>
        <v>0</v>
      </c>
      <c r="H133" s="10">
        <f>D133+март!H133</f>
        <v>0</v>
      </c>
      <c r="I133" s="10">
        <f>E133+март!I133</f>
        <v>0</v>
      </c>
      <c r="J133" s="10">
        <f>F133+март!J133</f>
        <v>0</v>
      </c>
      <c r="K133" s="10">
        <f t="shared" si="44"/>
        <v>0</v>
      </c>
      <c r="L133" s="16"/>
      <c r="M133" s="220"/>
      <c r="N133" s="221"/>
      <c r="P133">
        <f t="shared" si="40"/>
        <v>0</v>
      </c>
      <c r="Q133" s="44">
        <f>E133+март!I133</f>
        <v>0</v>
      </c>
      <c r="R133" s="30">
        <f>F133+фев!J133</f>
        <v>0</v>
      </c>
    </row>
    <row r="134" spans="1:18" ht="17.25" customHeight="1">
      <c r="A134" s="18" t="s">
        <v>265</v>
      </c>
      <c r="B134" s="26" t="s">
        <v>125</v>
      </c>
      <c r="C134" s="8" t="s">
        <v>4</v>
      </c>
      <c r="D134" s="10">
        <v>6.4749999999999996</v>
      </c>
      <c r="E134" s="8">
        <v>6.5</v>
      </c>
      <c r="F134" s="8"/>
      <c r="G134" s="10">
        <f t="shared" si="43"/>
        <v>-6.5</v>
      </c>
      <c r="H134" s="10">
        <f>D134+март!H134</f>
        <v>25.9</v>
      </c>
      <c r="I134" s="10">
        <f>E134+март!I134</f>
        <v>26</v>
      </c>
      <c r="J134" s="10">
        <f>F134+март!J134</f>
        <v>0</v>
      </c>
      <c r="K134" s="10">
        <f t="shared" si="44"/>
        <v>-26</v>
      </c>
      <c r="L134" s="16">
        <f t="shared" si="49"/>
        <v>-100</v>
      </c>
      <c r="M134" s="220"/>
      <c r="N134" s="221"/>
      <c r="P134">
        <f t="shared" si="40"/>
        <v>25.9</v>
      </c>
      <c r="Q134" s="44">
        <f>E134+март!I134</f>
        <v>26</v>
      </c>
      <c r="R134" s="30">
        <f>F134+фев!J134</f>
        <v>0</v>
      </c>
    </row>
    <row r="135" spans="1:18" ht="17.25" customHeight="1">
      <c r="A135" s="18" t="s">
        <v>266</v>
      </c>
      <c r="B135" s="26" t="s">
        <v>232</v>
      </c>
      <c r="C135" s="8" t="s">
        <v>4</v>
      </c>
      <c r="D135" s="10"/>
      <c r="E135" s="8"/>
      <c r="F135" s="8"/>
      <c r="G135" s="10">
        <f t="shared" si="43"/>
        <v>0</v>
      </c>
      <c r="H135" s="10">
        <f>D135+март!H135</f>
        <v>0</v>
      </c>
      <c r="I135" s="10">
        <f>E135+март!I135</f>
        <v>0</v>
      </c>
      <c r="J135" s="10">
        <f>F135+март!J135</f>
        <v>0</v>
      </c>
      <c r="K135" s="10">
        <f t="shared" si="44"/>
        <v>0</v>
      </c>
      <c r="L135" s="16"/>
      <c r="M135" s="220"/>
      <c r="N135" s="221"/>
      <c r="P135">
        <f t="shared" si="40"/>
        <v>0</v>
      </c>
      <c r="Q135" s="44">
        <f>E135+март!I135</f>
        <v>0</v>
      </c>
      <c r="R135" s="30">
        <f>F135+фев!J135</f>
        <v>0</v>
      </c>
    </row>
    <row r="136" spans="1:18" ht="55.5" customHeight="1">
      <c r="A136" s="18"/>
      <c r="B136" s="26" t="s">
        <v>311</v>
      </c>
      <c r="C136" s="8" t="s">
        <v>4</v>
      </c>
      <c r="D136" s="10"/>
      <c r="E136" s="8">
        <v>79.167000000000002</v>
      </c>
      <c r="F136" s="54">
        <v>79.167000000000002</v>
      </c>
      <c r="G136" s="10">
        <f t="shared" si="43"/>
        <v>0</v>
      </c>
      <c r="H136" s="10">
        <f>D136+март!H136</f>
        <v>0</v>
      </c>
      <c r="I136" s="8">
        <f>E136+март!I136</f>
        <v>316.66800000000001</v>
      </c>
      <c r="J136" s="10">
        <f>F136+март!J136</f>
        <v>316.67600000000004</v>
      </c>
      <c r="K136" s="10">
        <f t="shared" si="44"/>
        <v>8.0000000000381988E-3</v>
      </c>
      <c r="L136" s="16">
        <f t="shared" si="49"/>
        <v>2.5263051524114211E-3</v>
      </c>
      <c r="M136" s="72"/>
      <c r="N136" s="73"/>
      <c r="P136">
        <f t="shared" si="40"/>
        <v>0</v>
      </c>
      <c r="Q136" s="44">
        <f>E136+март!I136</f>
        <v>316.66800000000001</v>
      </c>
      <c r="R136" s="30">
        <f>F136+фев!J136</f>
        <v>237.50700000000001</v>
      </c>
    </row>
    <row r="137" spans="1:18" ht="55.5" customHeight="1">
      <c r="A137" s="18"/>
      <c r="B137" s="26" t="s">
        <v>312</v>
      </c>
      <c r="C137" s="8" t="s">
        <v>4</v>
      </c>
      <c r="D137" s="10"/>
      <c r="E137" s="8">
        <v>83.332999999999998</v>
      </c>
      <c r="F137" s="54">
        <v>250</v>
      </c>
      <c r="G137" s="10">
        <f t="shared" si="43"/>
        <v>166.667</v>
      </c>
      <c r="H137" s="10">
        <f>D137+март!H137</f>
        <v>0</v>
      </c>
      <c r="I137" s="8">
        <f>E137+март!I137</f>
        <v>333.33199999999999</v>
      </c>
      <c r="J137" s="10">
        <f>F137+март!J137</f>
        <v>250</v>
      </c>
      <c r="K137" s="10">
        <f t="shared" si="44"/>
        <v>-83.331999999999994</v>
      </c>
      <c r="L137" s="16">
        <f t="shared" si="49"/>
        <v>-24.999699998799993</v>
      </c>
      <c r="M137" s="72"/>
      <c r="N137" s="73"/>
      <c r="O137" s="30">
        <f>F138-O138</f>
        <v>0</v>
      </c>
      <c r="P137">
        <f t="shared" ref="P137:P200" si="61">D137*4</f>
        <v>0</v>
      </c>
      <c r="Q137" s="44">
        <f>E137+март!I137</f>
        <v>333.33199999999999</v>
      </c>
      <c r="R137" s="30">
        <f>F137+фев!J137</f>
        <v>250</v>
      </c>
    </row>
    <row r="138" spans="1:18" ht="17.25" customHeight="1">
      <c r="A138" s="74" t="s">
        <v>126</v>
      </c>
      <c r="B138" s="6" t="s">
        <v>127</v>
      </c>
      <c r="C138" s="8" t="s">
        <v>4</v>
      </c>
      <c r="D138" s="7">
        <f t="shared" ref="D138:J138" si="62">D139</f>
        <v>3385.116</v>
      </c>
      <c r="E138" s="7">
        <f t="shared" si="62"/>
        <v>2989.2490000000003</v>
      </c>
      <c r="F138" s="7">
        <f t="shared" si="62"/>
        <v>2424.3829999999998</v>
      </c>
      <c r="G138" s="10">
        <f t="shared" si="43"/>
        <v>-564.86600000000044</v>
      </c>
      <c r="H138" s="7">
        <f t="shared" si="62"/>
        <v>13540.464</v>
      </c>
      <c r="I138" s="7">
        <f t="shared" si="62"/>
        <v>11956.996000000001</v>
      </c>
      <c r="J138" s="7">
        <f t="shared" si="62"/>
        <v>9173.1960000000017</v>
      </c>
      <c r="K138" s="10">
        <f t="shared" si="44"/>
        <v>-2783.7999999999993</v>
      </c>
      <c r="L138" s="16">
        <f t="shared" si="49"/>
        <v>-23.281767427203278</v>
      </c>
      <c r="M138" s="220"/>
      <c r="N138" s="221"/>
      <c r="O138">
        <v>2424.3829999999998</v>
      </c>
      <c r="P138">
        <f t="shared" si="61"/>
        <v>13540.464</v>
      </c>
      <c r="Q138" s="44">
        <f>E138+март!I138</f>
        <v>11956.995999999999</v>
      </c>
      <c r="R138" s="30">
        <f>F138+фев!J138</f>
        <v>6770.5389999999998</v>
      </c>
    </row>
    <row r="139" spans="1:18" ht="17.25" customHeight="1">
      <c r="A139" s="74">
        <v>6</v>
      </c>
      <c r="B139" s="6" t="s">
        <v>128</v>
      </c>
      <c r="C139" s="74" t="s">
        <v>4</v>
      </c>
      <c r="D139" s="7">
        <f>D140+D145+D146+D147+D148+D149+D150+D151+D154+D156+D172+D176+D177+D179+D184+D183+D188</f>
        <v>3385.116</v>
      </c>
      <c r="E139" s="7">
        <f t="shared" ref="E139:F139" si="63">E140+E145+E146+E147+E148+E149+E150+E151+E154+E156+E172+E176+E177+E179+E184+E183+E188</f>
        <v>2989.2490000000003</v>
      </c>
      <c r="F139" s="7">
        <f t="shared" si="63"/>
        <v>2424.3829999999998</v>
      </c>
      <c r="G139" s="10">
        <f>F139-E139</f>
        <v>-564.86600000000044</v>
      </c>
      <c r="H139" s="7">
        <f t="shared" ref="H139:J139" si="64">H140+H145+H146+H147+H148+H149+H150+H151+H154+H156+H172+H176+H177+H179+H184+H183+H188</f>
        <v>13540.464</v>
      </c>
      <c r="I139" s="7">
        <f t="shared" si="64"/>
        <v>11956.996000000001</v>
      </c>
      <c r="J139" s="89">
        <f t="shared" si="64"/>
        <v>9173.1960000000017</v>
      </c>
      <c r="K139" s="10">
        <f t="shared" si="44"/>
        <v>-2783.7999999999993</v>
      </c>
      <c r="L139" s="16">
        <f t="shared" si="49"/>
        <v>-23.281767427203278</v>
      </c>
      <c r="M139" s="220"/>
      <c r="N139" s="221"/>
      <c r="P139">
        <f t="shared" si="61"/>
        <v>13540.464</v>
      </c>
      <c r="Q139" s="44">
        <f>E139+март!I139</f>
        <v>11956.995999999999</v>
      </c>
      <c r="R139" s="30">
        <f>F139+фев!J139</f>
        <v>6770.5389999999998</v>
      </c>
    </row>
    <row r="140" spans="1:18" ht="17.25" customHeight="1">
      <c r="A140" s="74" t="s">
        <v>129</v>
      </c>
      <c r="B140" s="6" t="s">
        <v>130</v>
      </c>
      <c r="C140" s="74" t="s">
        <v>4</v>
      </c>
      <c r="D140" s="7">
        <f t="shared" ref="D140:F140" si="65">D141+D142</f>
        <v>97.608999999999995</v>
      </c>
      <c r="E140" s="7">
        <f t="shared" si="65"/>
        <v>97.582999999999998</v>
      </c>
      <c r="F140" s="7">
        <f t="shared" si="65"/>
        <v>40.42</v>
      </c>
      <c r="G140" s="10">
        <f t="shared" ref="G140:G204" si="66">F140-E140</f>
        <v>-57.162999999999997</v>
      </c>
      <c r="H140" s="7">
        <f t="shared" ref="H140:J140" si="67">H141+H142</f>
        <v>390.43599999999998</v>
      </c>
      <c r="I140" s="7">
        <f t="shared" si="67"/>
        <v>390.33199999999999</v>
      </c>
      <c r="J140" s="7">
        <f t="shared" si="67"/>
        <v>292.99800000000005</v>
      </c>
      <c r="K140" s="10">
        <f t="shared" ref="K140:K204" si="68">J140-I140</f>
        <v>-97.333999999999946</v>
      </c>
      <c r="L140" s="16">
        <f t="shared" si="49"/>
        <v>-24.936208151009893</v>
      </c>
      <c r="M140" s="220"/>
      <c r="N140" s="221"/>
      <c r="P140">
        <f t="shared" si="61"/>
        <v>390.43599999999998</v>
      </c>
      <c r="Q140" s="44">
        <f>E140+март!I140</f>
        <v>390.33199999999999</v>
      </c>
      <c r="R140" s="30">
        <f>F140+фев!J140</f>
        <v>250.488</v>
      </c>
    </row>
    <row r="141" spans="1:18" ht="37.5">
      <c r="A141" s="8" t="s">
        <v>131</v>
      </c>
      <c r="B141" s="9" t="s">
        <v>132</v>
      </c>
      <c r="C141" s="8" t="s">
        <v>4</v>
      </c>
      <c r="D141" s="10">
        <v>42.552999999999997</v>
      </c>
      <c r="E141" s="10">
        <v>42.5</v>
      </c>
      <c r="F141" s="87">
        <f>14.765+14.75</f>
        <v>29.515000000000001</v>
      </c>
      <c r="G141" s="10">
        <f t="shared" si="66"/>
        <v>-12.984999999999999</v>
      </c>
      <c r="H141" s="10">
        <f>D141+март!H141</f>
        <v>170.21199999999999</v>
      </c>
      <c r="I141" s="10">
        <f>E141+март!I141</f>
        <v>170</v>
      </c>
      <c r="J141" s="10">
        <f>F141+март!J141</f>
        <v>157.04500000000002</v>
      </c>
      <c r="K141" s="10">
        <f t="shared" si="68"/>
        <v>-12.954999999999984</v>
      </c>
      <c r="L141" s="16">
        <f t="shared" si="49"/>
        <v>-7.6205882352941083</v>
      </c>
      <c r="M141" s="220"/>
      <c r="N141" s="221"/>
      <c r="P141">
        <f t="shared" si="61"/>
        <v>170.21199999999999</v>
      </c>
      <c r="Q141" s="44">
        <f>E141+март!I141</f>
        <v>170</v>
      </c>
      <c r="R141" s="30">
        <f>F141+фев!J141</f>
        <v>114.535</v>
      </c>
    </row>
    <row r="142" spans="1:18" ht="17.25" customHeight="1">
      <c r="A142" s="8" t="s">
        <v>133</v>
      </c>
      <c r="B142" s="9" t="s">
        <v>63</v>
      </c>
      <c r="C142" s="8" t="s">
        <v>4</v>
      </c>
      <c r="D142" s="10">
        <v>55.055999999999997</v>
      </c>
      <c r="E142" s="8">
        <v>55.082999999999998</v>
      </c>
      <c r="F142" s="8">
        <v>10.904999999999999</v>
      </c>
      <c r="G142" s="10">
        <f t="shared" si="66"/>
        <v>-44.177999999999997</v>
      </c>
      <c r="H142" s="10">
        <f>D142+март!H142</f>
        <v>220.22399999999999</v>
      </c>
      <c r="I142" s="8">
        <f>E142+март!I142</f>
        <v>220.33199999999999</v>
      </c>
      <c r="J142" s="10">
        <f>F142+март!J142</f>
        <v>135.953</v>
      </c>
      <c r="K142" s="10">
        <f t="shared" si="68"/>
        <v>-84.378999999999991</v>
      </c>
      <c r="L142" s="16">
        <f t="shared" si="49"/>
        <v>-38.296298313454244</v>
      </c>
      <c r="M142" s="220"/>
      <c r="N142" s="221"/>
      <c r="P142">
        <f t="shared" si="61"/>
        <v>220.22399999999999</v>
      </c>
      <c r="Q142" s="44">
        <f>E142+март!I142</f>
        <v>220.33199999999999</v>
      </c>
      <c r="R142" s="30">
        <f>F142+фев!J142</f>
        <v>135.953</v>
      </c>
    </row>
    <row r="143" spans="1:18" ht="17.25" customHeight="1">
      <c r="A143" s="8"/>
      <c r="B143" s="12" t="s">
        <v>68</v>
      </c>
      <c r="C143" s="22" t="s">
        <v>66</v>
      </c>
      <c r="D143" s="14">
        <v>2816.6669999999999</v>
      </c>
      <c r="E143" s="59">
        <v>2817</v>
      </c>
      <c r="F143" s="59">
        <v>552</v>
      </c>
      <c r="G143" s="10">
        <f t="shared" si="66"/>
        <v>-2265</v>
      </c>
      <c r="H143" s="10">
        <f>D143+март!H143</f>
        <v>11266.668</v>
      </c>
      <c r="I143" s="59"/>
      <c r="J143" s="10">
        <f>F143+март!J143</f>
        <v>552</v>
      </c>
      <c r="K143" s="10">
        <f t="shared" si="68"/>
        <v>552</v>
      </c>
      <c r="L143" s="16"/>
      <c r="M143" s="220"/>
      <c r="N143" s="221"/>
      <c r="P143">
        <f t="shared" si="61"/>
        <v>11266.668</v>
      </c>
      <c r="Q143" s="44">
        <f>E143+март!I143</f>
        <v>2817</v>
      </c>
      <c r="R143" s="30">
        <f>F143+фев!J143</f>
        <v>552</v>
      </c>
    </row>
    <row r="144" spans="1:18" ht="17.25" customHeight="1">
      <c r="A144" s="8"/>
      <c r="B144" s="12" t="s">
        <v>15</v>
      </c>
      <c r="C144" s="13" t="s">
        <v>16</v>
      </c>
      <c r="D144" s="16">
        <f t="shared" ref="D144:F144" si="69">D142/D143*1000</f>
        <v>19.546506562543602</v>
      </c>
      <c r="E144" s="16">
        <f t="shared" si="69"/>
        <v>19.553780617678381</v>
      </c>
      <c r="F144" s="16">
        <f t="shared" si="69"/>
        <v>19.755434782608695</v>
      </c>
      <c r="G144" s="10">
        <f t="shared" si="66"/>
        <v>0.20165416493031429</v>
      </c>
      <c r="H144" s="16">
        <f t="shared" ref="H144:J144" si="70">H142/H143*1000</f>
        <v>19.546506562543602</v>
      </c>
      <c r="I144" s="16"/>
      <c r="J144" s="16">
        <f t="shared" si="70"/>
        <v>246.29166666666666</v>
      </c>
      <c r="K144" s="10">
        <f t="shared" si="68"/>
        <v>246.29166666666666</v>
      </c>
      <c r="L144" s="16"/>
      <c r="M144" s="220"/>
      <c r="N144" s="221"/>
      <c r="P144">
        <f t="shared" si="61"/>
        <v>78.186026250174407</v>
      </c>
      <c r="Q144" s="44">
        <f>E144+март!I144</f>
        <v>19.553780617678381</v>
      </c>
      <c r="R144" s="30">
        <f>F144+фев!J144</f>
        <v>19.755434782608695</v>
      </c>
    </row>
    <row r="145" spans="1:18" ht="32.25" customHeight="1">
      <c r="A145" s="8" t="s">
        <v>134</v>
      </c>
      <c r="B145" s="9" t="s">
        <v>135</v>
      </c>
      <c r="C145" s="8" t="s">
        <v>4</v>
      </c>
      <c r="D145" s="10">
        <v>1914.3579999999999</v>
      </c>
      <c r="E145" s="8">
        <v>1416.4169999999999</v>
      </c>
      <c r="F145" s="87">
        <f>1557.948-F149</f>
        <v>1557.9480000000001</v>
      </c>
      <c r="G145" s="10">
        <f t="shared" si="66"/>
        <v>141.53100000000018</v>
      </c>
      <c r="H145" s="10">
        <f>D145+март!H145</f>
        <v>7657.4319999999998</v>
      </c>
      <c r="I145" s="10">
        <f>E145+март!I145</f>
        <v>5665.6679999999997</v>
      </c>
      <c r="J145" s="10">
        <f>F145+март!J145</f>
        <v>5418.049</v>
      </c>
      <c r="K145" s="10">
        <f t="shared" si="68"/>
        <v>-247.61899999999969</v>
      </c>
      <c r="L145" s="16">
        <f t="shared" si="49"/>
        <v>-4.3705172982250229</v>
      </c>
      <c r="M145" s="227"/>
      <c r="N145" s="228"/>
      <c r="P145">
        <f t="shared" si="61"/>
        <v>7657.4319999999998</v>
      </c>
      <c r="Q145" s="44">
        <f>E145+март!I145</f>
        <v>5665.6679999999997</v>
      </c>
      <c r="R145" s="30">
        <f>F145+фев!J145</f>
        <v>3812.12</v>
      </c>
    </row>
    <row r="146" spans="1:18" ht="17.25" customHeight="1">
      <c r="A146" s="8" t="s">
        <v>136</v>
      </c>
      <c r="B146" s="9" t="s">
        <v>77</v>
      </c>
      <c r="C146" s="8" t="s">
        <v>4</v>
      </c>
      <c r="D146" s="10">
        <v>105.29</v>
      </c>
      <c r="E146" s="10">
        <v>76.5</v>
      </c>
      <c r="F146" s="86">
        <v>81.475999999999999</v>
      </c>
      <c r="G146" s="10">
        <f t="shared" si="66"/>
        <v>4.9759999999999991</v>
      </c>
      <c r="H146" s="10">
        <f>D146+март!H146</f>
        <v>421.16</v>
      </c>
      <c r="I146" s="10">
        <f>E146+март!I146</f>
        <v>306</v>
      </c>
      <c r="J146" s="10">
        <f>F146+март!J146</f>
        <v>322.41899999999998</v>
      </c>
      <c r="K146" s="10">
        <f t="shared" si="68"/>
        <v>16.418999999999983</v>
      </c>
      <c r="L146" s="16">
        <f t="shared" si="49"/>
        <v>5.3656862745097982</v>
      </c>
      <c r="M146" s="227"/>
      <c r="N146" s="228"/>
      <c r="P146">
        <f t="shared" si="61"/>
        <v>421.16</v>
      </c>
      <c r="Q146" s="44">
        <f>E146+март!I146</f>
        <v>306</v>
      </c>
      <c r="R146" s="30">
        <f>F146+фев!J146</f>
        <v>224.72</v>
      </c>
    </row>
    <row r="147" spans="1:18" ht="17.25" customHeight="1">
      <c r="A147" s="8"/>
      <c r="B147" s="9" t="s">
        <v>307</v>
      </c>
      <c r="C147" s="8" t="s">
        <v>4</v>
      </c>
      <c r="D147" s="10">
        <v>84.231999999999999</v>
      </c>
      <c r="E147" s="10">
        <v>63.75</v>
      </c>
      <c r="F147" s="86">
        <v>38.473999999999997</v>
      </c>
      <c r="G147" s="10">
        <f t="shared" si="66"/>
        <v>-25.276000000000003</v>
      </c>
      <c r="H147" s="10">
        <f>D147+март!H147</f>
        <v>336.928</v>
      </c>
      <c r="I147" s="10">
        <f>E147+март!I147</f>
        <v>255</v>
      </c>
      <c r="J147" s="10">
        <f>F147+март!J147</f>
        <v>151.49399999999997</v>
      </c>
      <c r="K147" s="10">
        <f t="shared" si="68"/>
        <v>-103.50600000000003</v>
      </c>
      <c r="L147" s="16">
        <f t="shared" si="49"/>
        <v>-40.590588235294128</v>
      </c>
      <c r="M147" s="76"/>
      <c r="N147" s="77"/>
      <c r="P147">
        <f t="shared" si="61"/>
        <v>336.928</v>
      </c>
      <c r="Q147" s="44">
        <f>E147+март!I147</f>
        <v>255</v>
      </c>
      <c r="R147" s="30">
        <f>F147+фев!J147</f>
        <v>106.37099999999998</v>
      </c>
    </row>
    <row r="148" spans="1:18" ht="17.25" customHeight="1">
      <c r="A148" s="8"/>
      <c r="B148" s="9" t="s">
        <v>310</v>
      </c>
      <c r="C148" s="8" t="s">
        <v>4</v>
      </c>
      <c r="D148" s="10"/>
      <c r="E148" s="10">
        <v>21.25</v>
      </c>
      <c r="F148" s="86">
        <v>18.213000000000001</v>
      </c>
      <c r="G148" s="10">
        <f t="shared" si="66"/>
        <v>-3.036999999999999</v>
      </c>
      <c r="H148" s="10">
        <f>D148+март!H148</f>
        <v>0</v>
      </c>
      <c r="I148" s="10">
        <f>E148+март!I148</f>
        <v>85</v>
      </c>
      <c r="J148" s="10">
        <f>F148+март!J148</f>
        <v>69.332999999999998</v>
      </c>
      <c r="K148" s="10">
        <f t="shared" si="68"/>
        <v>-15.667000000000002</v>
      </c>
      <c r="L148" s="16">
        <f t="shared" si="49"/>
        <v>-18.431764705882355</v>
      </c>
      <c r="M148" s="76"/>
      <c r="N148" s="77"/>
      <c r="P148">
        <f t="shared" si="61"/>
        <v>0</v>
      </c>
      <c r="Q148" s="44">
        <f>E148+март!I148</f>
        <v>85</v>
      </c>
      <c r="R148" s="30">
        <f>F148+фев!J148</f>
        <v>48.001000000000005</v>
      </c>
    </row>
    <row r="149" spans="1:18" ht="17.25" customHeight="1">
      <c r="A149" s="8"/>
      <c r="B149" s="9" t="s">
        <v>315</v>
      </c>
      <c r="C149" s="8" t="s">
        <v>4</v>
      </c>
      <c r="D149" s="10"/>
      <c r="E149" s="10"/>
      <c r="F149" s="10"/>
      <c r="G149" s="10">
        <f t="shared" si="66"/>
        <v>0</v>
      </c>
      <c r="H149" s="10">
        <f>D149+март!H149</f>
        <v>0</v>
      </c>
      <c r="I149" s="10">
        <f>E149+март!I149</f>
        <v>0</v>
      </c>
      <c r="J149" s="10">
        <f>F149+март!J149</f>
        <v>211.14000000000004</v>
      </c>
      <c r="K149" s="10"/>
      <c r="L149" s="16"/>
      <c r="M149" s="76"/>
      <c r="N149" s="77"/>
      <c r="P149">
        <f t="shared" si="61"/>
        <v>0</v>
      </c>
      <c r="Q149" s="44">
        <f>E149+март!I149</f>
        <v>0</v>
      </c>
      <c r="R149" s="30">
        <f>F149+фев!J149</f>
        <v>173.54700000000003</v>
      </c>
    </row>
    <row r="150" spans="1:18" ht="17.25" customHeight="1">
      <c r="A150" s="8" t="s">
        <v>137</v>
      </c>
      <c r="B150" s="9" t="s">
        <v>138</v>
      </c>
      <c r="C150" s="8" t="s">
        <v>4</v>
      </c>
      <c r="D150" s="10">
        <v>77.58</v>
      </c>
      <c r="E150" s="8">
        <v>77.582999999999998</v>
      </c>
      <c r="F150" s="86">
        <v>123.57599999999999</v>
      </c>
      <c r="G150" s="10">
        <f t="shared" si="66"/>
        <v>45.992999999999995</v>
      </c>
      <c r="H150" s="10">
        <f>D150+март!H150</f>
        <v>310.32</v>
      </c>
      <c r="I150" s="10">
        <f>E150+март!I150</f>
        <v>310.33199999999999</v>
      </c>
      <c r="J150" s="10">
        <f>F150+март!J150</f>
        <v>562.10500000000002</v>
      </c>
      <c r="K150" s="10">
        <f t="shared" si="68"/>
        <v>251.77300000000002</v>
      </c>
      <c r="L150" s="16">
        <f t="shared" si="49"/>
        <v>81.130208937524984</v>
      </c>
      <c r="M150" s="227" t="s">
        <v>301</v>
      </c>
      <c r="N150" s="228"/>
      <c r="P150">
        <f t="shared" si="61"/>
        <v>310.32</v>
      </c>
      <c r="Q150" s="44">
        <f>E150+март!I150</f>
        <v>310.33199999999999</v>
      </c>
      <c r="R150" s="30">
        <f>F150+фев!J150</f>
        <v>464.16800000000001</v>
      </c>
    </row>
    <row r="151" spans="1:18" ht="17.25" customHeight="1">
      <c r="A151" s="74" t="s">
        <v>139</v>
      </c>
      <c r="B151" s="6" t="s">
        <v>140</v>
      </c>
      <c r="C151" s="74" t="s">
        <v>4</v>
      </c>
      <c r="D151" s="7">
        <f t="shared" ref="D151:F151" si="71">D152+D153</f>
        <v>239.149</v>
      </c>
      <c r="E151" s="74">
        <v>47.832999999999998</v>
      </c>
      <c r="F151" s="7">
        <f t="shared" si="71"/>
        <v>44.481999999999999</v>
      </c>
      <c r="G151" s="10">
        <f t="shared" si="66"/>
        <v>-3.3509999999999991</v>
      </c>
      <c r="H151" s="7">
        <f t="shared" ref="H151" si="72">H152+H153</f>
        <v>956.596</v>
      </c>
      <c r="I151" s="10">
        <f>E151+март!I151</f>
        <v>191.33199999999999</v>
      </c>
      <c r="J151" s="7">
        <f t="shared" ref="J151" si="73">J152+J153</f>
        <v>177.93100000000001</v>
      </c>
      <c r="K151" s="10">
        <f t="shared" si="68"/>
        <v>-13.400999999999982</v>
      </c>
      <c r="L151" s="16">
        <f t="shared" si="49"/>
        <v>-7.0040557773921677</v>
      </c>
      <c r="M151" s="220"/>
      <c r="N151" s="221"/>
      <c r="P151">
        <f t="shared" si="61"/>
        <v>956.596</v>
      </c>
      <c r="Q151" s="44">
        <f>E151+март!I151</f>
        <v>191.33199999999999</v>
      </c>
      <c r="R151" s="30">
        <f>F151+фев!J151</f>
        <v>133.447</v>
      </c>
    </row>
    <row r="152" spans="1:18" ht="17.25" customHeight="1">
      <c r="A152" s="8" t="s">
        <v>141</v>
      </c>
      <c r="B152" s="9" t="s">
        <v>81</v>
      </c>
      <c r="C152" s="8" t="s">
        <v>4</v>
      </c>
      <c r="D152" s="10">
        <v>8.7579999999999991</v>
      </c>
      <c r="E152" s="8"/>
      <c r="F152" s="86">
        <v>32.506999999999998</v>
      </c>
      <c r="G152" s="10">
        <f t="shared" si="66"/>
        <v>32.506999999999998</v>
      </c>
      <c r="H152" s="10">
        <f>D152+март!H152</f>
        <v>35.031999999999996</v>
      </c>
      <c r="I152" s="8"/>
      <c r="J152" s="10">
        <f>F152+март!J152</f>
        <v>130.03</v>
      </c>
      <c r="K152" s="10">
        <f t="shared" si="68"/>
        <v>130.03</v>
      </c>
      <c r="L152" s="16"/>
      <c r="M152" s="220"/>
      <c r="N152" s="221"/>
      <c r="P152">
        <f t="shared" si="61"/>
        <v>35.031999999999996</v>
      </c>
      <c r="Q152" s="44">
        <f>E152+март!I152</f>
        <v>0</v>
      </c>
      <c r="R152" s="30">
        <f>F152+фев!J152</f>
        <v>97.521999999999991</v>
      </c>
    </row>
    <row r="153" spans="1:18" ht="17.25" customHeight="1">
      <c r="A153" s="8" t="s">
        <v>142</v>
      </c>
      <c r="B153" s="9" t="s">
        <v>143</v>
      </c>
      <c r="C153" s="8"/>
      <c r="D153" s="10">
        <v>230.39099999999999</v>
      </c>
      <c r="E153" s="8"/>
      <c r="F153" s="86">
        <v>11.975</v>
      </c>
      <c r="G153" s="10">
        <f t="shared" si="66"/>
        <v>11.975</v>
      </c>
      <c r="H153" s="10">
        <f>D153+март!H153</f>
        <v>921.56399999999996</v>
      </c>
      <c r="I153" s="8"/>
      <c r="J153" s="10">
        <f>F153+март!J153</f>
        <v>47.901000000000003</v>
      </c>
      <c r="K153" s="10">
        <f t="shared" si="68"/>
        <v>47.901000000000003</v>
      </c>
      <c r="L153" s="16"/>
      <c r="M153" s="220"/>
      <c r="N153" s="221"/>
      <c r="P153">
        <f t="shared" si="61"/>
        <v>921.56399999999996</v>
      </c>
      <c r="Q153" s="44">
        <f>E153+март!I153</f>
        <v>0</v>
      </c>
      <c r="R153" s="30">
        <f>F153+фев!J153</f>
        <v>35.924999999999997</v>
      </c>
    </row>
    <row r="154" spans="1:18" ht="75.75" customHeight="1">
      <c r="A154" s="74" t="s">
        <v>144</v>
      </c>
      <c r="B154" s="6" t="s">
        <v>145</v>
      </c>
      <c r="C154" s="74" t="s">
        <v>4</v>
      </c>
      <c r="D154" s="7">
        <f t="shared" ref="D154:J154" si="74">D155</f>
        <v>13.856</v>
      </c>
      <c r="E154" s="7">
        <f t="shared" si="74"/>
        <v>13.833</v>
      </c>
      <c r="F154" s="7">
        <f t="shared" si="74"/>
        <v>75.061000000000007</v>
      </c>
      <c r="G154" s="10">
        <f t="shared" si="66"/>
        <v>61.228000000000009</v>
      </c>
      <c r="H154" s="7">
        <f t="shared" si="74"/>
        <v>55.423999999999999</v>
      </c>
      <c r="I154" s="7">
        <f t="shared" si="74"/>
        <v>55.332000000000001</v>
      </c>
      <c r="J154" s="7">
        <f t="shared" si="74"/>
        <v>135.75200000000001</v>
      </c>
      <c r="K154" s="10">
        <f t="shared" si="68"/>
        <v>80.420000000000016</v>
      </c>
      <c r="L154" s="16">
        <f t="shared" ref="L154:L203" si="75">K154/I154*100</f>
        <v>145.34085158678525</v>
      </c>
      <c r="M154" s="220"/>
      <c r="N154" s="221"/>
      <c r="P154">
        <f t="shared" si="61"/>
        <v>55.423999999999999</v>
      </c>
      <c r="Q154" s="44">
        <f>E154+март!I154</f>
        <v>55.332000000000001</v>
      </c>
      <c r="R154" s="30">
        <f>F154+фев!J154</f>
        <v>128.364</v>
      </c>
    </row>
    <row r="155" spans="1:18" ht="17.25" customHeight="1">
      <c r="A155" s="8" t="s">
        <v>146</v>
      </c>
      <c r="B155" s="9" t="s">
        <v>147</v>
      </c>
      <c r="C155" s="8" t="s">
        <v>4</v>
      </c>
      <c r="D155" s="10">
        <v>13.856</v>
      </c>
      <c r="E155" s="8">
        <v>13.833</v>
      </c>
      <c r="F155" s="86">
        <f>68.718+6.343</f>
        <v>75.061000000000007</v>
      </c>
      <c r="G155" s="10">
        <f t="shared" si="66"/>
        <v>61.228000000000009</v>
      </c>
      <c r="H155" s="10">
        <f>D155+март!H155</f>
        <v>55.423999999999999</v>
      </c>
      <c r="I155" s="10">
        <f>E155+март!I155</f>
        <v>55.332000000000001</v>
      </c>
      <c r="J155" s="10">
        <f>F155+март!J155</f>
        <v>135.75200000000001</v>
      </c>
      <c r="K155" s="10">
        <f t="shared" si="68"/>
        <v>80.420000000000016</v>
      </c>
      <c r="L155" s="16">
        <f t="shared" si="75"/>
        <v>145.34085158678525</v>
      </c>
      <c r="M155" s="220"/>
      <c r="N155" s="221"/>
      <c r="P155">
        <f t="shared" si="61"/>
        <v>55.423999999999999</v>
      </c>
      <c r="Q155" s="44">
        <f>E155+март!I155</f>
        <v>55.332000000000001</v>
      </c>
      <c r="R155" s="30">
        <f>F155+фев!J155</f>
        <v>128.364</v>
      </c>
    </row>
    <row r="156" spans="1:18" ht="18" customHeight="1">
      <c r="A156" s="74" t="s">
        <v>148</v>
      </c>
      <c r="B156" s="6" t="s">
        <v>149</v>
      </c>
      <c r="C156" s="74" t="s">
        <v>4</v>
      </c>
      <c r="D156" s="27">
        <f t="shared" ref="D156" si="76">D157+D160+D163+D166+D169</f>
        <v>71.188999999999993</v>
      </c>
      <c r="E156" s="74">
        <v>72.417000000000002</v>
      </c>
      <c r="F156" s="27">
        <f>F157+F160+F163+F166+F169</f>
        <v>120.07299999999999</v>
      </c>
      <c r="G156" s="10">
        <f t="shared" si="66"/>
        <v>47.655999999999992</v>
      </c>
      <c r="H156" s="27">
        <f t="shared" ref="H156" si="77">H157+H160+H163+H166+H169</f>
        <v>284.75599999999997</v>
      </c>
      <c r="I156" s="10">
        <f>E156+март!I156</f>
        <v>289.66800000000001</v>
      </c>
      <c r="J156" s="27">
        <f>J157+J160+J163+J166+J169</f>
        <v>525.91800000000001</v>
      </c>
      <c r="K156" s="10">
        <f t="shared" si="68"/>
        <v>236.25</v>
      </c>
      <c r="L156" s="16">
        <f t="shared" si="75"/>
        <v>81.558888106383847</v>
      </c>
      <c r="M156" s="220"/>
      <c r="N156" s="221"/>
      <c r="P156">
        <f t="shared" si="61"/>
        <v>284.75599999999997</v>
      </c>
      <c r="Q156" s="44">
        <f>E156+март!I156</f>
        <v>289.66800000000001</v>
      </c>
      <c r="R156" s="30">
        <f>F156+фев!J156</f>
        <v>418.04699999999997</v>
      </c>
    </row>
    <row r="157" spans="1:18" ht="17.25" customHeight="1">
      <c r="A157" s="8" t="s">
        <v>150</v>
      </c>
      <c r="B157" s="9" t="s">
        <v>151</v>
      </c>
      <c r="C157" s="8" t="s">
        <v>4</v>
      </c>
      <c r="D157" s="10">
        <v>49.027999999999999</v>
      </c>
      <c r="E157" s="8"/>
      <c r="F157" s="86">
        <v>100.58799999999999</v>
      </c>
      <c r="G157" s="10">
        <f t="shared" si="66"/>
        <v>100.58799999999999</v>
      </c>
      <c r="H157" s="10">
        <f>D157+март!H157</f>
        <v>196.11199999999999</v>
      </c>
      <c r="I157" s="8"/>
      <c r="J157" s="10">
        <f>F157+март!J157</f>
        <v>483.976</v>
      </c>
      <c r="K157" s="10">
        <f t="shared" si="68"/>
        <v>483.976</v>
      </c>
      <c r="L157" s="16"/>
      <c r="M157" s="220"/>
      <c r="N157" s="221"/>
      <c r="P157">
        <f t="shared" si="61"/>
        <v>196.11199999999999</v>
      </c>
      <c r="Q157" s="44">
        <f>E157+март!I157</f>
        <v>0</v>
      </c>
      <c r="R157" s="30">
        <f>F157+фев!J157</f>
        <v>381.65499999999997</v>
      </c>
    </row>
    <row r="158" spans="1:18" ht="17.25" customHeight="1">
      <c r="A158" s="8"/>
      <c r="B158" s="28" t="s">
        <v>13</v>
      </c>
      <c r="C158" s="8" t="s">
        <v>152</v>
      </c>
      <c r="D158" s="10">
        <v>13.144</v>
      </c>
      <c r="E158" s="8"/>
      <c r="F158" s="8"/>
      <c r="G158" s="10">
        <f t="shared" si="66"/>
        <v>0</v>
      </c>
      <c r="H158" s="10">
        <f>D158+март!H158</f>
        <v>52.576000000000001</v>
      </c>
      <c r="I158" s="8"/>
      <c r="J158" s="10">
        <f>F158+март!J158</f>
        <v>81.87</v>
      </c>
      <c r="K158" s="10">
        <f t="shared" si="68"/>
        <v>81.87</v>
      </c>
      <c r="L158" s="16"/>
      <c r="M158" s="227" t="s">
        <v>302</v>
      </c>
      <c r="N158" s="228"/>
      <c r="P158">
        <f t="shared" si="61"/>
        <v>52.576000000000001</v>
      </c>
      <c r="Q158" s="44">
        <f>E158+март!I158</f>
        <v>0</v>
      </c>
      <c r="R158" s="30">
        <f>F158+фев!J158</f>
        <v>60.019999999999996</v>
      </c>
    </row>
    <row r="159" spans="1:18" ht="17.25" customHeight="1">
      <c r="A159" s="8"/>
      <c r="B159" s="28" t="s">
        <v>15</v>
      </c>
      <c r="C159" s="8" t="s">
        <v>16</v>
      </c>
      <c r="D159" s="16">
        <f>D157/D158*1000</f>
        <v>3730.0669506999393</v>
      </c>
      <c r="E159" s="16"/>
      <c r="F159" s="16" t="e">
        <f>F157/F158*1000</f>
        <v>#DIV/0!</v>
      </c>
      <c r="G159" s="10" t="e">
        <f t="shared" si="66"/>
        <v>#DIV/0!</v>
      </c>
      <c r="H159" s="16">
        <f>H157/H158*1000</f>
        <v>3730.0669506999393</v>
      </c>
      <c r="I159" s="8"/>
      <c r="J159" s="16">
        <f>J157/J158*1000</f>
        <v>5911.5182606571389</v>
      </c>
      <c r="K159" s="10">
        <f t="shared" si="68"/>
        <v>5911.5182606571389</v>
      </c>
      <c r="L159" s="16"/>
      <c r="M159" s="220"/>
      <c r="N159" s="221"/>
      <c r="P159">
        <f t="shared" si="61"/>
        <v>14920.267802799757</v>
      </c>
      <c r="Q159" s="44">
        <f>E159+март!I159</f>
        <v>0</v>
      </c>
      <c r="R159" s="30" t="e">
        <f>F159+фев!J159</f>
        <v>#DIV/0!</v>
      </c>
    </row>
    <row r="160" spans="1:18" ht="17.25" customHeight="1">
      <c r="A160" s="8" t="s">
        <v>153</v>
      </c>
      <c r="B160" s="9" t="s">
        <v>154</v>
      </c>
      <c r="C160" s="8" t="s">
        <v>4</v>
      </c>
      <c r="D160" s="10">
        <v>0.92300000000000004</v>
      </c>
      <c r="E160" s="8"/>
      <c r="F160" s="8"/>
      <c r="G160" s="10">
        <f t="shared" si="66"/>
        <v>0</v>
      </c>
      <c r="H160" s="10">
        <f>D160+март!H160</f>
        <v>3.6920000000000002</v>
      </c>
      <c r="I160" s="8"/>
      <c r="J160" s="10">
        <f>F160+март!J160</f>
        <v>0</v>
      </c>
      <c r="K160" s="10">
        <f t="shared" si="68"/>
        <v>0</v>
      </c>
      <c r="L160" s="16"/>
      <c r="M160" s="220"/>
      <c r="N160" s="221"/>
      <c r="P160">
        <f t="shared" si="61"/>
        <v>3.6920000000000002</v>
      </c>
      <c r="Q160" s="44">
        <f>E160+март!I160</f>
        <v>0</v>
      </c>
      <c r="R160" s="30">
        <f>F160+фев!J160</f>
        <v>0</v>
      </c>
    </row>
    <row r="161" spans="1:18" ht="17.25" customHeight="1">
      <c r="A161" s="8"/>
      <c r="B161" s="28" t="s">
        <v>13</v>
      </c>
      <c r="C161" s="8" t="s">
        <v>155</v>
      </c>
      <c r="D161" s="10">
        <v>0.75</v>
      </c>
      <c r="E161" s="8"/>
      <c r="F161" s="8"/>
      <c r="G161" s="10">
        <f t="shared" si="66"/>
        <v>0</v>
      </c>
      <c r="H161" s="10">
        <f>D161+март!H161</f>
        <v>3</v>
      </c>
      <c r="I161" s="8"/>
      <c r="J161" s="10">
        <f>F161+март!J161</f>
        <v>0</v>
      </c>
      <c r="K161" s="10">
        <f t="shared" si="68"/>
        <v>0</v>
      </c>
      <c r="L161" s="16"/>
      <c r="M161" s="220"/>
      <c r="N161" s="221"/>
      <c r="P161">
        <f t="shared" si="61"/>
        <v>3</v>
      </c>
      <c r="Q161" s="44">
        <f>E161+март!I161</f>
        <v>0</v>
      </c>
      <c r="R161" s="30">
        <f>F161+фев!J161</f>
        <v>0</v>
      </c>
    </row>
    <row r="162" spans="1:18" ht="17.25" customHeight="1">
      <c r="A162" s="8"/>
      <c r="B162" s="28" t="s">
        <v>15</v>
      </c>
      <c r="C162" s="8" t="s">
        <v>16</v>
      </c>
      <c r="D162" s="16">
        <f>D160/D161*1000</f>
        <v>1230.6666666666667</v>
      </c>
      <c r="E162" s="8"/>
      <c r="F162" s="8"/>
      <c r="G162" s="10">
        <f t="shared" si="66"/>
        <v>0</v>
      </c>
      <c r="H162" s="16">
        <f>H160/H161*1000</f>
        <v>1230.6666666666667</v>
      </c>
      <c r="I162" s="8"/>
      <c r="J162" s="8"/>
      <c r="K162" s="10">
        <f t="shared" si="68"/>
        <v>0</v>
      </c>
      <c r="L162" s="16"/>
      <c r="M162" s="220"/>
      <c r="N162" s="221"/>
      <c r="P162">
        <f t="shared" si="61"/>
        <v>4922.666666666667</v>
      </c>
      <c r="Q162" s="44">
        <f>E162+март!I162</f>
        <v>0</v>
      </c>
      <c r="R162" s="30">
        <f>F162+фев!J162</f>
        <v>0</v>
      </c>
    </row>
    <row r="163" spans="1:18" ht="17.25" customHeight="1">
      <c r="A163" s="8" t="s">
        <v>156</v>
      </c>
      <c r="B163" s="9" t="s">
        <v>157</v>
      </c>
      <c r="C163" s="8" t="s">
        <v>4</v>
      </c>
      <c r="D163" s="10">
        <v>2.1800000000000002</v>
      </c>
      <c r="E163" s="8"/>
      <c r="F163" s="86">
        <v>1.837</v>
      </c>
      <c r="G163" s="10">
        <f t="shared" si="66"/>
        <v>1.837</v>
      </c>
      <c r="H163" s="10">
        <f>D163+март!H163</f>
        <v>8.7200000000000006</v>
      </c>
      <c r="I163" s="8"/>
      <c r="J163" s="10">
        <f>F163+март!J163</f>
        <v>12.802999999999999</v>
      </c>
      <c r="K163" s="10">
        <f t="shared" si="68"/>
        <v>12.802999999999999</v>
      </c>
      <c r="L163" s="16"/>
      <c r="M163" s="220"/>
      <c r="N163" s="221"/>
      <c r="P163">
        <f t="shared" si="61"/>
        <v>8.7200000000000006</v>
      </c>
      <c r="Q163" s="44">
        <f>E163+март!I163</f>
        <v>0</v>
      </c>
      <c r="R163" s="30">
        <f>F163+фев!J163</f>
        <v>12.802999999999999</v>
      </c>
    </row>
    <row r="164" spans="1:18" ht="17.25" customHeight="1">
      <c r="A164" s="8"/>
      <c r="B164" s="28" t="s">
        <v>13</v>
      </c>
      <c r="C164" s="8" t="s">
        <v>155</v>
      </c>
      <c r="D164" s="14">
        <v>20</v>
      </c>
      <c r="E164" s="8"/>
      <c r="F164" s="8"/>
      <c r="G164" s="10">
        <f t="shared" si="66"/>
        <v>0</v>
      </c>
      <c r="H164" s="10">
        <f>D164+март!H164</f>
        <v>80</v>
      </c>
      <c r="I164" s="8"/>
      <c r="J164" s="10">
        <f>F164+март!J164</f>
        <v>99</v>
      </c>
      <c r="K164" s="10">
        <f t="shared" si="68"/>
        <v>99</v>
      </c>
      <c r="L164" s="16"/>
      <c r="M164" s="220"/>
      <c r="N164" s="221"/>
      <c r="P164">
        <f t="shared" si="61"/>
        <v>80</v>
      </c>
      <c r="Q164" s="44">
        <f>E164+март!I164</f>
        <v>0</v>
      </c>
      <c r="R164" s="30">
        <f>F164+фев!J164</f>
        <v>85</v>
      </c>
    </row>
    <row r="165" spans="1:18" ht="17.25" customHeight="1">
      <c r="A165" s="8"/>
      <c r="B165" s="28" t="s">
        <v>15</v>
      </c>
      <c r="C165" s="8" t="s">
        <v>16</v>
      </c>
      <c r="D165" s="16">
        <f>D163/D164*1000</f>
        <v>109.00000000000001</v>
      </c>
      <c r="E165" s="16"/>
      <c r="F165" s="16" t="e">
        <f t="shared" ref="F165" si="78">F163/F164*1000</f>
        <v>#DIV/0!</v>
      </c>
      <c r="G165" s="10" t="e">
        <f t="shared" si="66"/>
        <v>#DIV/0!</v>
      </c>
      <c r="H165" s="16">
        <f>H163/H164*1000</f>
        <v>109.00000000000001</v>
      </c>
      <c r="I165" s="8"/>
      <c r="J165" s="16">
        <f t="shared" ref="J165" si="79">J163/J164*1000</f>
        <v>129.3232323232323</v>
      </c>
      <c r="K165" s="10">
        <f t="shared" si="68"/>
        <v>129.3232323232323</v>
      </c>
      <c r="L165" s="16"/>
      <c r="M165" s="220"/>
      <c r="N165" s="221"/>
      <c r="P165">
        <f t="shared" si="61"/>
        <v>436.00000000000006</v>
      </c>
      <c r="Q165" s="44">
        <f>E165+март!I165</f>
        <v>0</v>
      </c>
      <c r="R165" s="30" t="e">
        <f>F165+фев!J165</f>
        <v>#DIV/0!</v>
      </c>
    </row>
    <row r="166" spans="1:18" ht="17.25" customHeight="1">
      <c r="A166" s="8" t="s">
        <v>158</v>
      </c>
      <c r="B166" s="9" t="s">
        <v>159</v>
      </c>
      <c r="C166" s="8" t="s">
        <v>4</v>
      </c>
      <c r="D166" s="10">
        <v>19.058</v>
      </c>
      <c r="E166" s="8"/>
      <c r="F166" s="87">
        <v>16.649999999999999</v>
      </c>
      <c r="G166" s="10">
        <f t="shared" si="66"/>
        <v>16.649999999999999</v>
      </c>
      <c r="H166" s="10">
        <f>D166+март!H166</f>
        <v>76.231999999999999</v>
      </c>
      <c r="I166" s="8"/>
      <c r="J166" s="10">
        <f>F166+март!J166</f>
        <v>22.2</v>
      </c>
      <c r="K166" s="10">
        <f t="shared" si="68"/>
        <v>22.2</v>
      </c>
      <c r="L166" s="16"/>
      <c r="M166" s="220"/>
      <c r="N166" s="221"/>
      <c r="P166">
        <f t="shared" si="61"/>
        <v>76.231999999999999</v>
      </c>
      <c r="Q166" s="44">
        <f>E166+март!I166</f>
        <v>0</v>
      </c>
      <c r="R166" s="30">
        <f>F166+фев!J166</f>
        <v>16.649999999999999</v>
      </c>
    </row>
    <row r="167" spans="1:18" ht="17.25" customHeight="1">
      <c r="A167" s="8"/>
      <c r="B167" s="28" t="s">
        <v>13</v>
      </c>
      <c r="C167" s="8" t="s">
        <v>155</v>
      </c>
      <c r="D167" s="14">
        <v>16</v>
      </c>
      <c r="E167" s="8"/>
      <c r="F167" s="8"/>
      <c r="G167" s="10">
        <f t="shared" si="66"/>
        <v>0</v>
      </c>
      <c r="H167" s="14">
        <f>D167+март!H167</f>
        <v>64</v>
      </c>
      <c r="I167" s="8"/>
      <c r="J167" s="10">
        <f>F167+март!J167</f>
        <v>6</v>
      </c>
      <c r="K167" s="10">
        <f t="shared" si="68"/>
        <v>6</v>
      </c>
      <c r="L167" s="16"/>
      <c r="M167" s="220"/>
      <c r="N167" s="221"/>
      <c r="P167">
        <f t="shared" si="61"/>
        <v>64</v>
      </c>
      <c r="Q167" s="44">
        <f>E167+март!I167</f>
        <v>0</v>
      </c>
      <c r="R167" s="30">
        <f>F167+фев!J167</f>
        <v>0</v>
      </c>
    </row>
    <row r="168" spans="1:18" ht="17.25" customHeight="1">
      <c r="A168" s="8"/>
      <c r="B168" s="28" t="s">
        <v>15</v>
      </c>
      <c r="C168" s="8" t="s">
        <v>16</v>
      </c>
      <c r="D168" s="16">
        <f>D166/D167*1000</f>
        <v>1191.125</v>
      </c>
      <c r="E168" s="8"/>
      <c r="F168" s="16" t="e">
        <f>F166/F167*1000</f>
        <v>#DIV/0!</v>
      </c>
      <c r="G168" s="10" t="e">
        <f t="shared" si="66"/>
        <v>#DIV/0!</v>
      </c>
      <c r="H168" s="16">
        <f>H166/H167*1000</f>
        <v>1191.125</v>
      </c>
      <c r="I168" s="8"/>
      <c r="J168" s="16">
        <f>J166/J167*1000</f>
        <v>3699.9999999999995</v>
      </c>
      <c r="K168" s="10">
        <f t="shared" si="68"/>
        <v>3699.9999999999995</v>
      </c>
      <c r="L168" s="16"/>
      <c r="M168" s="220"/>
      <c r="N168" s="221"/>
      <c r="P168">
        <f t="shared" si="61"/>
        <v>4764.5</v>
      </c>
      <c r="Q168" s="44">
        <f>E168+март!I168</f>
        <v>0</v>
      </c>
      <c r="R168" s="30" t="e">
        <f>F168+фев!J168</f>
        <v>#DIV/0!</v>
      </c>
    </row>
    <row r="169" spans="1:18" ht="17.25" customHeight="1">
      <c r="A169" s="8" t="s">
        <v>158</v>
      </c>
      <c r="B169" s="9" t="s">
        <v>224</v>
      </c>
      <c r="C169" s="8" t="s">
        <v>4</v>
      </c>
      <c r="D169" s="10">
        <v>0</v>
      </c>
      <c r="E169" s="8"/>
      <c r="F169" s="86">
        <v>0.998</v>
      </c>
      <c r="G169" s="10">
        <f t="shared" si="66"/>
        <v>0.998</v>
      </c>
      <c r="H169" s="10">
        <f>D169+март!H169</f>
        <v>0</v>
      </c>
      <c r="I169" s="8"/>
      <c r="J169" s="10">
        <f>F169+март!J169</f>
        <v>6.9390000000000001</v>
      </c>
      <c r="K169" s="10">
        <f t="shared" si="68"/>
        <v>6.9390000000000001</v>
      </c>
      <c r="L169" s="16"/>
      <c r="M169" s="220"/>
      <c r="N169" s="221"/>
      <c r="P169">
        <f t="shared" si="61"/>
        <v>0</v>
      </c>
      <c r="Q169" s="44">
        <f>E169+март!I169</f>
        <v>0</v>
      </c>
      <c r="R169" s="30">
        <f>F169+фев!J169</f>
        <v>6.9390000000000001</v>
      </c>
    </row>
    <row r="170" spans="1:18" ht="17.25" customHeight="1">
      <c r="A170" s="8"/>
      <c r="B170" s="28" t="s">
        <v>13</v>
      </c>
      <c r="C170" s="8" t="s">
        <v>155</v>
      </c>
      <c r="D170" s="14">
        <v>0</v>
      </c>
      <c r="E170" s="8"/>
      <c r="F170" s="8"/>
      <c r="G170" s="10">
        <f t="shared" si="66"/>
        <v>0</v>
      </c>
      <c r="H170" s="10">
        <f>D170+март!H170</f>
        <v>0</v>
      </c>
      <c r="I170" s="8"/>
      <c r="J170" s="10">
        <f>F170+март!J170</f>
        <v>99</v>
      </c>
      <c r="K170" s="10">
        <f t="shared" si="68"/>
        <v>99</v>
      </c>
      <c r="L170" s="16"/>
      <c r="M170" s="220"/>
      <c r="N170" s="221"/>
      <c r="P170">
        <f t="shared" si="61"/>
        <v>0</v>
      </c>
      <c r="Q170" s="44">
        <f>E170+март!I170</f>
        <v>0</v>
      </c>
      <c r="R170" s="30">
        <f>F170+фев!J170</f>
        <v>85</v>
      </c>
    </row>
    <row r="171" spans="1:18" ht="17.25" customHeight="1">
      <c r="A171" s="8"/>
      <c r="B171" s="28" t="s">
        <v>15</v>
      </c>
      <c r="C171" s="8" t="s">
        <v>16</v>
      </c>
      <c r="D171" s="16" t="e">
        <f>D169/D170*1000</f>
        <v>#DIV/0!</v>
      </c>
      <c r="E171" s="8"/>
      <c r="F171" s="16" t="e">
        <f>F169/F170*1000</f>
        <v>#DIV/0!</v>
      </c>
      <c r="G171" s="10" t="e">
        <f t="shared" si="66"/>
        <v>#DIV/0!</v>
      </c>
      <c r="H171" s="16" t="e">
        <f>H169/H170*1000</f>
        <v>#DIV/0!</v>
      </c>
      <c r="I171" s="8"/>
      <c r="J171" s="16">
        <f>J169/J170*1000</f>
        <v>70.090909090909093</v>
      </c>
      <c r="K171" s="10">
        <f t="shared" si="68"/>
        <v>70.090909090909093</v>
      </c>
      <c r="L171" s="16"/>
      <c r="M171" s="220"/>
      <c r="N171" s="221"/>
      <c r="P171" t="e">
        <f t="shared" si="61"/>
        <v>#DIV/0!</v>
      </c>
      <c r="Q171" s="44">
        <f>E171+март!I171</f>
        <v>0</v>
      </c>
      <c r="R171" s="30" t="e">
        <f>F171+фев!J171</f>
        <v>#DIV/0!</v>
      </c>
    </row>
    <row r="172" spans="1:18" ht="17.25" customHeight="1">
      <c r="A172" s="16" t="s">
        <v>160</v>
      </c>
      <c r="B172" s="9" t="s">
        <v>108</v>
      </c>
      <c r="C172" s="8" t="s">
        <v>4</v>
      </c>
      <c r="D172" s="10">
        <v>62.704999999999998</v>
      </c>
      <c r="E172" s="8">
        <v>62.667000000000002</v>
      </c>
      <c r="F172" s="10">
        <f>F173+F174+F175</f>
        <v>81.67</v>
      </c>
      <c r="G172" s="10">
        <f t="shared" si="66"/>
        <v>19.003</v>
      </c>
      <c r="H172" s="10">
        <f>D172+март!H172</f>
        <v>250.82</v>
      </c>
      <c r="I172" s="10">
        <f>E172+март!I172</f>
        <v>250.66800000000001</v>
      </c>
      <c r="J172" s="8">
        <f>J173+J174+J175</f>
        <v>260.55100000000004</v>
      </c>
      <c r="K172" s="10">
        <f t="shared" si="68"/>
        <v>9.8830000000000382</v>
      </c>
      <c r="L172" s="16">
        <f t="shared" si="75"/>
        <v>3.9426651985893848</v>
      </c>
      <c r="M172" s="220"/>
      <c r="N172" s="221"/>
      <c r="P172">
        <f t="shared" si="61"/>
        <v>250.82</v>
      </c>
      <c r="Q172" s="44">
        <f>E172+март!I172</f>
        <v>250.66800000000001</v>
      </c>
      <c r="R172" s="30">
        <f>F172+фев!J172</f>
        <v>200.45100000000002</v>
      </c>
    </row>
    <row r="173" spans="1:18" ht="17.25" customHeight="1">
      <c r="A173" s="16"/>
      <c r="B173" s="9" t="s">
        <v>221</v>
      </c>
      <c r="C173" s="8" t="s">
        <v>4</v>
      </c>
      <c r="D173" s="10"/>
      <c r="E173" s="8"/>
      <c r="F173" s="87">
        <v>33.67</v>
      </c>
      <c r="G173" s="10">
        <f t="shared" si="66"/>
        <v>33.67</v>
      </c>
      <c r="H173" s="10"/>
      <c r="I173" s="8"/>
      <c r="J173" s="10">
        <f>F173+март!J173</f>
        <v>158.73000000000002</v>
      </c>
      <c r="K173" s="10">
        <f t="shared" si="68"/>
        <v>158.73000000000002</v>
      </c>
      <c r="L173" s="16"/>
      <c r="M173" s="220"/>
      <c r="N173" s="221"/>
      <c r="P173">
        <f t="shared" si="61"/>
        <v>0</v>
      </c>
      <c r="Q173" s="44">
        <f>E173+март!I173</f>
        <v>0</v>
      </c>
      <c r="R173" s="30">
        <f>F173+фев!J173</f>
        <v>110.63000000000001</v>
      </c>
    </row>
    <row r="174" spans="1:18" ht="37.5" customHeight="1">
      <c r="A174" s="16"/>
      <c r="B174" s="9" t="s">
        <v>222</v>
      </c>
      <c r="C174" s="8" t="s">
        <v>4</v>
      </c>
      <c r="D174" s="10"/>
      <c r="E174" s="8"/>
      <c r="F174" s="10">
        <v>48</v>
      </c>
      <c r="G174" s="10">
        <f t="shared" si="66"/>
        <v>48</v>
      </c>
      <c r="H174" s="10"/>
      <c r="I174" s="8"/>
      <c r="J174" s="10">
        <f>F174+март!J174</f>
        <v>101.821</v>
      </c>
      <c r="K174" s="10">
        <f t="shared" si="68"/>
        <v>101.821</v>
      </c>
      <c r="L174" s="16"/>
      <c r="M174" s="220"/>
      <c r="N174" s="221"/>
      <c r="P174">
        <f t="shared" si="61"/>
        <v>0</v>
      </c>
      <c r="Q174" s="44">
        <f>E174+март!I174</f>
        <v>0</v>
      </c>
      <c r="R174" s="30">
        <f>F174+фев!J174</f>
        <v>89.820999999999998</v>
      </c>
    </row>
    <row r="175" spans="1:18" ht="18.75" customHeight="1">
      <c r="A175" s="16"/>
      <c r="B175" s="9" t="s">
        <v>223</v>
      </c>
      <c r="C175" s="8" t="s">
        <v>4</v>
      </c>
      <c r="D175" s="10"/>
      <c r="E175" s="8"/>
      <c r="F175" s="8"/>
      <c r="G175" s="10">
        <f t="shared" si="66"/>
        <v>0</v>
      </c>
      <c r="H175" s="10"/>
      <c r="I175" s="8"/>
      <c r="J175" s="10">
        <f>F175+март!J175</f>
        <v>0</v>
      </c>
      <c r="K175" s="10">
        <f t="shared" si="68"/>
        <v>0</v>
      </c>
      <c r="L175" s="16"/>
      <c r="M175" s="220"/>
      <c r="N175" s="221"/>
      <c r="P175">
        <f t="shared" si="61"/>
        <v>0</v>
      </c>
      <c r="Q175" s="44">
        <f>E175+март!I175</f>
        <v>0</v>
      </c>
      <c r="R175" s="30">
        <f>F175+фев!J175</f>
        <v>0</v>
      </c>
    </row>
    <row r="176" spans="1:18" ht="18.75">
      <c r="A176" s="16" t="s">
        <v>161</v>
      </c>
      <c r="B176" s="9" t="s">
        <v>162</v>
      </c>
      <c r="C176" s="8" t="s">
        <v>4</v>
      </c>
      <c r="D176" s="10">
        <v>64.906000000000006</v>
      </c>
      <c r="E176" s="8">
        <v>64.917000000000002</v>
      </c>
      <c r="F176" s="86">
        <f>8.554+24.75+5.563+28.026+13.125</f>
        <v>80.018000000000001</v>
      </c>
      <c r="G176" s="10">
        <f t="shared" si="66"/>
        <v>15.100999999999999</v>
      </c>
      <c r="H176" s="10">
        <f>D176+март!H176</f>
        <v>259.62400000000002</v>
      </c>
      <c r="I176" s="10">
        <f>E176+март!I176</f>
        <v>259.66800000000001</v>
      </c>
      <c r="J176" s="10">
        <f>F176+март!J176</f>
        <v>305.517</v>
      </c>
      <c r="K176" s="10">
        <f t="shared" si="68"/>
        <v>45.84899999999999</v>
      </c>
      <c r="L176" s="16">
        <f t="shared" si="75"/>
        <v>17.656777115393499</v>
      </c>
      <c r="M176" s="220"/>
      <c r="N176" s="221"/>
      <c r="P176">
        <f t="shared" si="61"/>
        <v>259.62400000000002</v>
      </c>
      <c r="Q176" s="44">
        <f>E176+март!I176</f>
        <v>259.66800000000001</v>
      </c>
      <c r="R176" s="30">
        <f>F176+фев!J176</f>
        <v>228.441</v>
      </c>
    </row>
    <row r="177" spans="1:18" ht="35.25" customHeight="1">
      <c r="A177" s="16" t="s">
        <v>163</v>
      </c>
      <c r="B177" s="9" t="s">
        <v>165</v>
      </c>
      <c r="C177" s="8" t="s">
        <v>4</v>
      </c>
      <c r="D177" s="10">
        <f>D178</f>
        <v>2.2330000000000001</v>
      </c>
      <c r="E177" s="8"/>
      <c r="F177" s="8"/>
      <c r="G177" s="10">
        <f t="shared" si="66"/>
        <v>0</v>
      </c>
      <c r="H177" s="10">
        <f>H178</f>
        <v>8.9320000000000004</v>
      </c>
      <c r="I177" s="8"/>
      <c r="J177" s="8"/>
      <c r="K177" s="10">
        <f t="shared" si="68"/>
        <v>0</v>
      </c>
      <c r="L177" s="16"/>
      <c r="M177" s="220"/>
      <c r="N177" s="221"/>
      <c r="P177">
        <f t="shared" si="61"/>
        <v>8.9320000000000004</v>
      </c>
      <c r="Q177" s="44">
        <f>E177+март!I177</f>
        <v>0</v>
      </c>
      <c r="R177" s="30">
        <f>F177+фев!J177</f>
        <v>0</v>
      </c>
    </row>
    <row r="178" spans="1:18" ht="18.75" customHeight="1">
      <c r="A178" s="16"/>
      <c r="B178" s="9" t="s">
        <v>100</v>
      </c>
      <c r="C178" s="8" t="s">
        <v>4</v>
      </c>
      <c r="D178" s="10">
        <v>2.2330000000000001</v>
      </c>
      <c r="E178" s="8"/>
      <c r="F178" s="8"/>
      <c r="G178" s="10">
        <f t="shared" si="66"/>
        <v>0</v>
      </c>
      <c r="H178" s="10">
        <f>D178+март!H178</f>
        <v>8.9320000000000004</v>
      </c>
      <c r="I178" s="8"/>
      <c r="J178" s="10">
        <f>F178+март!J178</f>
        <v>0</v>
      </c>
      <c r="K178" s="10">
        <f t="shared" si="68"/>
        <v>0</v>
      </c>
      <c r="L178" s="16"/>
      <c r="M178" s="72"/>
      <c r="N178" s="73"/>
      <c r="P178">
        <f t="shared" si="61"/>
        <v>8.9320000000000004</v>
      </c>
      <c r="Q178" s="44">
        <f>E178+март!I178</f>
        <v>0</v>
      </c>
      <c r="R178" s="30">
        <f>F178+фев!J178</f>
        <v>0</v>
      </c>
    </row>
    <row r="179" spans="1:18" ht="17.25" customHeight="1">
      <c r="A179" s="16" t="s">
        <v>164</v>
      </c>
      <c r="B179" s="6" t="s">
        <v>169</v>
      </c>
      <c r="C179" s="74" t="s">
        <v>4</v>
      </c>
      <c r="D179" s="7">
        <f t="shared" ref="D179:F179" si="80">D180+D181+D182</f>
        <v>318.99799999999999</v>
      </c>
      <c r="E179" s="7">
        <f t="shared" si="80"/>
        <v>637.41600000000005</v>
      </c>
      <c r="F179" s="7">
        <f t="shared" si="80"/>
        <v>0</v>
      </c>
      <c r="G179" s="10">
        <f t="shared" si="66"/>
        <v>-637.41600000000005</v>
      </c>
      <c r="H179" s="7">
        <f t="shared" ref="H179:J179" si="81">H180+H181+H182</f>
        <v>1275.992</v>
      </c>
      <c r="I179" s="7">
        <f t="shared" si="81"/>
        <v>2549.6640000000002</v>
      </c>
      <c r="J179" s="7">
        <f t="shared" si="81"/>
        <v>0</v>
      </c>
      <c r="K179" s="10">
        <f t="shared" si="68"/>
        <v>-2549.6640000000002</v>
      </c>
      <c r="L179" s="16">
        <f t="shared" si="75"/>
        <v>-100</v>
      </c>
      <c r="M179" s="220"/>
      <c r="N179" s="221"/>
      <c r="P179">
        <f t="shared" si="61"/>
        <v>1275.992</v>
      </c>
      <c r="Q179" s="44">
        <f>E179+март!I179</f>
        <v>2549.6640000000002</v>
      </c>
      <c r="R179" s="30">
        <f>F179+фев!J179</f>
        <v>0</v>
      </c>
    </row>
    <row r="180" spans="1:18" ht="17.25" customHeight="1">
      <c r="A180" s="8" t="s">
        <v>166</v>
      </c>
      <c r="B180" s="9" t="s">
        <v>170</v>
      </c>
      <c r="C180" s="8" t="s">
        <v>4</v>
      </c>
      <c r="D180" s="10">
        <v>61.292999999999999</v>
      </c>
      <c r="E180" s="8">
        <v>61.332999999999998</v>
      </c>
      <c r="F180" s="8"/>
      <c r="G180" s="10">
        <f t="shared" si="66"/>
        <v>-61.332999999999998</v>
      </c>
      <c r="H180" s="10">
        <f>D180+март!H180</f>
        <v>245.172</v>
      </c>
      <c r="I180" s="10">
        <f>E180+март!I180</f>
        <v>245.33199999999999</v>
      </c>
      <c r="J180" s="10">
        <f>F180+март!J180</f>
        <v>0</v>
      </c>
      <c r="K180" s="10">
        <f t="shared" si="68"/>
        <v>-245.33199999999999</v>
      </c>
      <c r="L180" s="16">
        <f t="shared" si="75"/>
        <v>-100</v>
      </c>
      <c r="M180" s="220"/>
      <c r="N180" s="221"/>
      <c r="P180">
        <f t="shared" si="61"/>
        <v>245.172</v>
      </c>
      <c r="Q180" s="44">
        <f>E180+март!I180</f>
        <v>245.33199999999999</v>
      </c>
      <c r="R180" s="30">
        <f>F180+фев!J180</f>
        <v>0</v>
      </c>
    </row>
    <row r="181" spans="1:18" ht="17.25" customHeight="1">
      <c r="A181" s="8" t="s">
        <v>167</v>
      </c>
      <c r="B181" s="9" t="s">
        <v>171</v>
      </c>
      <c r="C181" s="8" t="s">
        <v>4</v>
      </c>
      <c r="D181" s="10">
        <v>168.477</v>
      </c>
      <c r="E181" s="8">
        <v>486.83300000000003</v>
      </c>
      <c r="F181" s="8"/>
      <c r="G181" s="10">
        <f t="shared" si="66"/>
        <v>-486.83300000000003</v>
      </c>
      <c r="H181" s="10">
        <f>D181+март!H181</f>
        <v>673.90800000000002</v>
      </c>
      <c r="I181" s="10">
        <f>E181+март!I181</f>
        <v>1947.3320000000001</v>
      </c>
      <c r="J181" s="10">
        <f>F181+март!J181</f>
        <v>0</v>
      </c>
      <c r="K181" s="10">
        <f t="shared" si="68"/>
        <v>-1947.3320000000001</v>
      </c>
      <c r="L181" s="16">
        <f t="shared" si="75"/>
        <v>-100</v>
      </c>
      <c r="M181" s="227" t="s">
        <v>300</v>
      </c>
      <c r="N181" s="228"/>
      <c r="P181">
        <f t="shared" si="61"/>
        <v>673.90800000000002</v>
      </c>
      <c r="Q181" s="44">
        <f>E181+март!I181</f>
        <v>1947.3320000000001</v>
      </c>
      <c r="R181" s="30">
        <f>F181+фев!J181</f>
        <v>0</v>
      </c>
    </row>
    <row r="182" spans="1:18" ht="17.25" customHeight="1">
      <c r="A182" s="8" t="s">
        <v>267</v>
      </c>
      <c r="B182" s="9" t="s">
        <v>172</v>
      </c>
      <c r="C182" s="8" t="s">
        <v>4</v>
      </c>
      <c r="D182" s="10">
        <v>89.227999999999994</v>
      </c>
      <c r="E182" s="10">
        <v>89.25</v>
      </c>
      <c r="F182" s="8"/>
      <c r="G182" s="10">
        <f t="shared" si="66"/>
        <v>-89.25</v>
      </c>
      <c r="H182" s="10">
        <f>D182+март!H182</f>
        <v>356.91199999999998</v>
      </c>
      <c r="I182" s="10">
        <f>E182+март!I182</f>
        <v>357</v>
      </c>
      <c r="J182" s="10">
        <f>F182+март!J182</f>
        <v>0</v>
      </c>
      <c r="K182" s="10">
        <f t="shared" si="68"/>
        <v>-357</v>
      </c>
      <c r="L182" s="16">
        <f t="shared" si="75"/>
        <v>-100</v>
      </c>
      <c r="M182" s="227" t="s">
        <v>300</v>
      </c>
      <c r="N182" s="228"/>
      <c r="P182">
        <f t="shared" si="61"/>
        <v>356.91199999999998</v>
      </c>
      <c r="Q182" s="44">
        <f>E182+март!I182</f>
        <v>357</v>
      </c>
      <c r="R182" s="30">
        <f>F182+фев!J182</f>
        <v>0</v>
      </c>
    </row>
    <row r="183" spans="1:18" ht="53.25" customHeight="1">
      <c r="A183" s="8" t="s">
        <v>168</v>
      </c>
      <c r="B183" s="9" t="s">
        <v>174</v>
      </c>
      <c r="C183" s="8" t="s">
        <v>4</v>
      </c>
      <c r="D183" s="10">
        <v>95.709000000000003</v>
      </c>
      <c r="E183" s="8">
        <v>93.167000000000002</v>
      </c>
      <c r="F183" s="86">
        <v>73.533000000000001</v>
      </c>
      <c r="G183" s="10">
        <f t="shared" si="66"/>
        <v>-19.634</v>
      </c>
      <c r="H183" s="10">
        <f>D183+март!H183</f>
        <v>382.83600000000001</v>
      </c>
      <c r="I183" s="10">
        <f>E183+март!I183</f>
        <v>372.66800000000001</v>
      </c>
      <c r="J183" s="10">
        <f>F183+март!J183</f>
        <v>314.67400000000004</v>
      </c>
      <c r="K183" s="10">
        <f t="shared" si="68"/>
        <v>-57.993999999999971</v>
      </c>
      <c r="L183" s="16">
        <f t="shared" si="75"/>
        <v>-15.561840565865589</v>
      </c>
      <c r="M183" s="222" t="s">
        <v>303</v>
      </c>
      <c r="N183" s="223"/>
      <c r="P183">
        <f t="shared" si="61"/>
        <v>382.83600000000001</v>
      </c>
      <c r="Q183" s="44">
        <f>E183+март!I183</f>
        <v>372.66800000000001</v>
      </c>
      <c r="R183" s="30">
        <f>F183+фев!J183</f>
        <v>263.065</v>
      </c>
    </row>
    <row r="184" spans="1:18" ht="33" customHeight="1">
      <c r="A184" s="74" t="s">
        <v>173</v>
      </c>
      <c r="B184" s="6" t="s">
        <v>176</v>
      </c>
      <c r="C184" s="74" t="s">
        <v>4</v>
      </c>
      <c r="D184" s="7">
        <f t="shared" ref="D184:F184" si="82">D185+D186+D187</f>
        <v>50.518000000000001</v>
      </c>
      <c r="E184" s="7">
        <v>50.5</v>
      </c>
      <c r="F184" s="7">
        <f t="shared" si="82"/>
        <v>0</v>
      </c>
      <c r="G184" s="10">
        <f t="shared" si="66"/>
        <v>-50.5</v>
      </c>
      <c r="H184" s="7">
        <f t="shared" ref="H184" si="83">H185+H186+H187</f>
        <v>202.072</v>
      </c>
      <c r="I184" s="10">
        <f>E184+март!I184</f>
        <v>202</v>
      </c>
      <c r="J184" s="7">
        <f t="shared" ref="J184" si="84">J185+J186+J187</f>
        <v>0</v>
      </c>
      <c r="K184" s="10">
        <f t="shared" si="68"/>
        <v>-202</v>
      </c>
      <c r="L184" s="16">
        <f t="shared" si="75"/>
        <v>-100</v>
      </c>
      <c r="M184" s="229" t="s">
        <v>293</v>
      </c>
      <c r="N184" s="230"/>
      <c r="O184" s="7">
        <f t="shared" ref="O184" si="85">O185+O186+O187</f>
        <v>343.50800000000004</v>
      </c>
      <c r="P184">
        <f t="shared" si="61"/>
        <v>202.072</v>
      </c>
      <c r="Q184" s="44">
        <f>E184+март!I184</f>
        <v>202</v>
      </c>
      <c r="R184" s="30">
        <f>F184+фев!J184</f>
        <v>0</v>
      </c>
    </row>
    <row r="185" spans="1:18" ht="17.25" customHeight="1">
      <c r="A185" s="8" t="s">
        <v>268</v>
      </c>
      <c r="B185" s="9" t="s">
        <v>177</v>
      </c>
      <c r="C185" s="8" t="s">
        <v>4</v>
      </c>
      <c r="D185" s="10">
        <v>19.254000000000001</v>
      </c>
      <c r="E185" s="8"/>
      <c r="F185" s="10"/>
      <c r="G185" s="10">
        <f t="shared" si="66"/>
        <v>0</v>
      </c>
      <c r="H185" s="10">
        <f>D185+март!H185</f>
        <v>77.016000000000005</v>
      </c>
      <c r="I185" s="10">
        <f>E185+март!I185</f>
        <v>0</v>
      </c>
      <c r="J185" s="10">
        <f>F185+март!J185</f>
        <v>0</v>
      </c>
      <c r="K185" s="10">
        <f t="shared" si="68"/>
        <v>0</v>
      </c>
      <c r="L185" s="16"/>
      <c r="M185" s="220"/>
      <c r="N185" s="221"/>
      <c r="O185" s="10">
        <v>130.12</v>
      </c>
      <c r="P185">
        <f t="shared" si="61"/>
        <v>77.016000000000005</v>
      </c>
      <c r="Q185" s="44">
        <f>E185+март!I185</f>
        <v>0</v>
      </c>
      <c r="R185" s="30">
        <f>F185+фев!J185</f>
        <v>0</v>
      </c>
    </row>
    <row r="186" spans="1:18" ht="17.25" customHeight="1">
      <c r="A186" s="8" t="s">
        <v>269</v>
      </c>
      <c r="B186" s="9" t="s">
        <v>178</v>
      </c>
      <c r="C186" s="8" t="s">
        <v>4</v>
      </c>
      <c r="D186" s="10">
        <v>8.7639999999999993</v>
      </c>
      <c r="E186" s="8"/>
      <c r="F186" s="8"/>
      <c r="G186" s="10">
        <f t="shared" si="66"/>
        <v>0</v>
      </c>
      <c r="H186" s="10">
        <f>D186+март!H186</f>
        <v>35.055999999999997</v>
      </c>
      <c r="I186" s="10">
        <f>E186+март!I186</f>
        <v>0</v>
      </c>
      <c r="J186" s="10">
        <f>F186+март!J186</f>
        <v>0</v>
      </c>
      <c r="K186" s="10">
        <f t="shared" si="68"/>
        <v>0</v>
      </c>
      <c r="L186" s="16"/>
      <c r="M186" s="220"/>
      <c r="N186" s="221"/>
      <c r="O186" s="8">
        <v>15.369</v>
      </c>
      <c r="P186">
        <f t="shared" si="61"/>
        <v>35.055999999999997</v>
      </c>
      <c r="Q186" s="44">
        <f>E186+март!I186</f>
        <v>0</v>
      </c>
      <c r="R186" s="30">
        <f>F186+фев!J186</f>
        <v>0</v>
      </c>
    </row>
    <row r="187" spans="1:18" ht="17.25" customHeight="1">
      <c r="A187" s="8" t="s">
        <v>270</v>
      </c>
      <c r="B187" s="9" t="s">
        <v>179</v>
      </c>
      <c r="C187" s="8" t="s">
        <v>4</v>
      </c>
      <c r="D187" s="10">
        <v>22.5</v>
      </c>
      <c r="E187" s="8"/>
      <c r="F187" s="8"/>
      <c r="G187" s="10">
        <f t="shared" si="66"/>
        <v>0</v>
      </c>
      <c r="H187" s="10">
        <f>D187+март!H187</f>
        <v>90</v>
      </c>
      <c r="I187" s="10">
        <f>E187+март!I187</f>
        <v>0</v>
      </c>
      <c r="J187" s="10">
        <f>F187+март!J187</f>
        <v>0</v>
      </c>
      <c r="K187" s="10">
        <f t="shared" si="68"/>
        <v>0</v>
      </c>
      <c r="L187" s="16"/>
      <c r="M187" s="220"/>
      <c r="N187" s="221"/>
      <c r="O187" s="8">
        <v>198.01900000000001</v>
      </c>
      <c r="P187">
        <f t="shared" si="61"/>
        <v>90</v>
      </c>
      <c r="Q187" s="44">
        <f>E187+март!I187</f>
        <v>0</v>
      </c>
      <c r="R187" s="30">
        <f>F187+фев!J187</f>
        <v>0</v>
      </c>
    </row>
    <row r="188" spans="1:18" ht="17.25" customHeight="1">
      <c r="A188" s="74" t="s">
        <v>175</v>
      </c>
      <c r="B188" s="6" t="s">
        <v>180</v>
      </c>
      <c r="C188" s="74" t="s">
        <v>4</v>
      </c>
      <c r="D188" s="7">
        <f>D189+D190+D191+D192+D197+D198+D199+D200+D204</f>
        <v>186.78400000000005</v>
      </c>
      <c r="E188" s="7">
        <f>E189+E190+E191+E192+E197+E198+E199+E200+E204</f>
        <v>193.416</v>
      </c>
      <c r="F188" s="7">
        <f>F189+F190+F191+F192+F197+F198+F199+F200+F204</f>
        <v>89.438999999999993</v>
      </c>
      <c r="G188" s="10">
        <f t="shared" si="66"/>
        <v>-103.977</v>
      </c>
      <c r="H188" s="7">
        <f>H189+H190+H191+H192+H197+H198+H199+H200+H204</f>
        <v>747.13600000000019</v>
      </c>
      <c r="I188" s="7">
        <f>I189+I190+I191+I192+I197+I198+I199+I200+I204</f>
        <v>773.66399999999999</v>
      </c>
      <c r="J188" s="7">
        <f>J189+J190+J191+J192+J197+J198+J199+J200+J204</f>
        <v>425.315</v>
      </c>
      <c r="K188" s="10">
        <f t="shared" si="68"/>
        <v>-348.34899999999999</v>
      </c>
      <c r="L188" s="16">
        <f t="shared" si="75"/>
        <v>-45.025876866443312</v>
      </c>
      <c r="M188" s="226"/>
      <c r="N188" s="221"/>
      <c r="P188">
        <f t="shared" si="61"/>
        <v>747.13600000000019</v>
      </c>
      <c r="Q188" s="44">
        <f>E188+март!I188</f>
        <v>773.66399999999999</v>
      </c>
      <c r="R188" s="30">
        <f>F188+фев!J188</f>
        <v>319.30899999999997</v>
      </c>
    </row>
    <row r="189" spans="1:18" ht="17.25" customHeight="1">
      <c r="A189" s="18" t="s">
        <v>271</v>
      </c>
      <c r="B189" s="9" t="s">
        <v>181</v>
      </c>
      <c r="C189" s="8" t="s">
        <v>4</v>
      </c>
      <c r="D189" s="10">
        <v>0</v>
      </c>
      <c r="E189" s="8"/>
      <c r="F189" s="8"/>
      <c r="G189" s="10">
        <f t="shared" si="66"/>
        <v>0</v>
      </c>
      <c r="H189" s="10">
        <f>D189+март!H189</f>
        <v>0</v>
      </c>
      <c r="I189" s="10">
        <f>E189+март!I189</f>
        <v>0</v>
      </c>
      <c r="J189" s="10">
        <f>F189+март!J189</f>
        <v>0</v>
      </c>
      <c r="K189" s="10">
        <f t="shared" si="68"/>
        <v>0</v>
      </c>
      <c r="L189" s="16"/>
      <c r="M189" s="220"/>
      <c r="N189" s="221"/>
      <c r="P189">
        <f t="shared" si="61"/>
        <v>0</v>
      </c>
      <c r="Q189" s="44">
        <f>E189+март!I189</f>
        <v>0</v>
      </c>
      <c r="R189" s="30">
        <f>F189+фев!J189</f>
        <v>0</v>
      </c>
    </row>
    <row r="190" spans="1:18" ht="17.25" customHeight="1">
      <c r="A190" s="18" t="s">
        <v>272</v>
      </c>
      <c r="B190" s="9" t="s">
        <v>182</v>
      </c>
      <c r="C190" s="8" t="s">
        <v>4</v>
      </c>
      <c r="D190" s="10">
        <v>15.651</v>
      </c>
      <c r="E190" s="10">
        <v>22.25</v>
      </c>
      <c r="F190" s="86">
        <v>29.395</v>
      </c>
      <c r="G190" s="10">
        <f t="shared" si="66"/>
        <v>7.1449999999999996</v>
      </c>
      <c r="H190" s="10">
        <f>D190+март!H190</f>
        <v>62.603999999999999</v>
      </c>
      <c r="I190" s="10">
        <f>E190+март!I190</f>
        <v>89</v>
      </c>
      <c r="J190" s="10">
        <f>F190+март!J190</f>
        <v>131.35500000000002</v>
      </c>
      <c r="K190" s="10">
        <f t="shared" si="68"/>
        <v>42.355000000000018</v>
      </c>
      <c r="L190" s="16">
        <f t="shared" si="75"/>
        <v>47.589887640449454</v>
      </c>
      <c r="M190" s="220"/>
      <c r="N190" s="221"/>
      <c r="P190">
        <f t="shared" si="61"/>
        <v>62.603999999999999</v>
      </c>
      <c r="Q190" s="44">
        <f>E190+март!I190</f>
        <v>89</v>
      </c>
      <c r="R190" s="30">
        <f>F190+фев!J190</f>
        <v>109.241</v>
      </c>
    </row>
    <row r="191" spans="1:18" ht="33.75" customHeight="1">
      <c r="A191" s="18" t="s">
        <v>273</v>
      </c>
      <c r="B191" s="9" t="s">
        <v>237</v>
      </c>
      <c r="C191" s="8" t="s">
        <v>4</v>
      </c>
      <c r="D191" s="10">
        <v>1.4910000000000001</v>
      </c>
      <c r="E191" s="10">
        <v>1.5</v>
      </c>
      <c r="F191" s="87">
        <v>4</v>
      </c>
      <c r="G191" s="10">
        <f t="shared" si="66"/>
        <v>2.5</v>
      </c>
      <c r="H191" s="10">
        <f>D191+март!H191</f>
        <v>5.9640000000000004</v>
      </c>
      <c r="I191" s="10">
        <f>E191+март!I191</f>
        <v>6</v>
      </c>
      <c r="J191" s="10">
        <f>F191+март!J191</f>
        <v>9.09</v>
      </c>
      <c r="K191" s="10">
        <f t="shared" si="68"/>
        <v>3.09</v>
      </c>
      <c r="L191" s="16">
        <f t="shared" si="75"/>
        <v>51.5</v>
      </c>
      <c r="M191" s="220"/>
      <c r="N191" s="221"/>
      <c r="P191">
        <f t="shared" si="61"/>
        <v>5.9640000000000004</v>
      </c>
      <c r="Q191" s="44">
        <f>E191+март!I191</f>
        <v>6</v>
      </c>
      <c r="R191" s="30">
        <f>F191+фев!J191</f>
        <v>6.99</v>
      </c>
    </row>
    <row r="192" spans="1:18" ht="36.75" customHeight="1">
      <c r="A192" s="18" t="s">
        <v>274</v>
      </c>
      <c r="B192" s="9" t="s">
        <v>183</v>
      </c>
      <c r="C192" s="8" t="s">
        <v>4</v>
      </c>
      <c r="D192" s="10">
        <f t="shared" ref="D192:F192" si="86">D193+D194+D195+D196</f>
        <v>149.55900000000003</v>
      </c>
      <c r="E192" s="10">
        <f t="shared" si="86"/>
        <v>149.583</v>
      </c>
      <c r="F192" s="87">
        <f t="shared" si="86"/>
        <v>51.534999999999997</v>
      </c>
      <c r="G192" s="10">
        <f t="shared" si="66"/>
        <v>-98.048000000000002</v>
      </c>
      <c r="H192" s="10">
        <f t="shared" ref="H192:J192" si="87">H193+H194+H195+H196</f>
        <v>598.2360000000001</v>
      </c>
      <c r="I192" s="10">
        <f t="shared" si="87"/>
        <v>598.33199999999999</v>
      </c>
      <c r="J192" s="10">
        <f t="shared" si="87"/>
        <v>274.28100000000001</v>
      </c>
      <c r="K192" s="10">
        <f t="shared" si="68"/>
        <v>-324.05099999999999</v>
      </c>
      <c r="L192" s="16">
        <f t="shared" si="75"/>
        <v>-54.159062192896243</v>
      </c>
      <c r="M192" s="220"/>
      <c r="N192" s="221"/>
      <c r="P192">
        <f t="shared" si="61"/>
        <v>598.2360000000001</v>
      </c>
      <c r="Q192" s="44">
        <f>E192+март!I192</f>
        <v>598.33199999999999</v>
      </c>
      <c r="R192" s="30">
        <f>F192+фев!J192</f>
        <v>194.72099999999998</v>
      </c>
    </row>
    <row r="193" spans="1:18" ht="74.25" customHeight="1">
      <c r="A193" s="8" t="s">
        <v>275</v>
      </c>
      <c r="B193" s="9" t="s">
        <v>184</v>
      </c>
      <c r="C193" s="8" t="s">
        <v>4</v>
      </c>
      <c r="D193" s="10">
        <v>33.363999999999997</v>
      </c>
      <c r="E193" s="8">
        <v>33.332999999999998</v>
      </c>
      <c r="F193" s="8">
        <f>2.249+31.9</f>
        <v>34.149000000000001</v>
      </c>
      <c r="G193" s="10">
        <f t="shared" si="66"/>
        <v>0.8160000000000025</v>
      </c>
      <c r="H193" s="10">
        <f>D193+март!H193</f>
        <v>133.45599999999999</v>
      </c>
      <c r="I193" s="10">
        <f>E193+март!I193</f>
        <v>133.33199999999999</v>
      </c>
      <c r="J193" s="10">
        <f>F193+март!J193</f>
        <v>189.47499999999999</v>
      </c>
      <c r="K193" s="10">
        <f t="shared" si="68"/>
        <v>56.143000000000001</v>
      </c>
      <c r="L193" s="16">
        <f t="shared" si="75"/>
        <v>42.107671076710766</v>
      </c>
      <c r="M193" s="220"/>
      <c r="N193" s="221"/>
      <c r="P193">
        <f t="shared" si="61"/>
        <v>133.45599999999999</v>
      </c>
      <c r="Q193" s="44">
        <f>E193+март!I193</f>
        <v>133.33199999999999</v>
      </c>
      <c r="R193" s="30">
        <f>F193+фев!J193</f>
        <v>127.30199999999999</v>
      </c>
    </row>
    <row r="194" spans="1:18" ht="93" customHeight="1">
      <c r="A194" s="8" t="s">
        <v>276</v>
      </c>
      <c r="B194" s="9" t="s">
        <v>238</v>
      </c>
      <c r="C194" s="8" t="s">
        <v>4</v>
      </c>
      <c r="D194" s="10">
        <v>89.792000000000002</v>
      </c>
      <c r="E194" s="8">
        <v>89.832999999999998</v>
      </c>
      <c r="F194" s="8"/>
      <c r="G194" s="10">
        <f t="shared" si="66"/>
        <v>-89.832999999999998</v>
      </c>
      <c r="H194" s="10">
        <f>D194+март!H194</f>
        <v>359.16800000000001</v>
      </c>
      <c r="I194" s="10">
        <f>E194+март!I194</f>
        <v>359.33199999999999</v>
      </c>
      <c r="J194" s="10">
        <f>F194+март!J194</f>
        <v>0</v>
      </c>
      <c r="K194" s="10">
        <f t="shared" si="68"/>
        <v>-359.33199999999999</v>
      </c>
      <c r="L194" s="16">
        <f t="shared" si="75"/>
        <v>-100</v>
      </c>
      <c r="M194" s="220"/>
      <c r="N194" s="221"/>
      <c r="P194">
        <f t="shared" si="61"/>
        <v>359.16800000000001</v>
      </c>
      <c r="Q194" s="44">
        <f>E194+март!I194</f>
        <v>359.33199999999999</v>
      </c>
      <c r="R194" s="30">
        <f>F194+фев!J194</f>
        <v>0</v>
      </c>
    </row>
    <row r="195" spans="1:18" ht="90.75" customHeight="1">
      <c r="A195" s="8" t="s">
        <v>277</v>
      </c>
      <c r="B195" s="9" t="s">
        <v>185</v>
      </c>
      <c r="C195" s="8" t="s">
        <v>4</v>
      </c>
      <c r="D195" s="10">
        <v>7.9660000000000002</v>
      </c>
      <c r="E195" s="8">
        <v>8</v>
      </c>
      <c r="F195" s="8"/>
      <c r="G195" s="10">
        <f t="shared" si="66"/>
        <v>-8</v>
      </c>
      <c r="H195" s="10">
        <f>D195+март!H195</f>
        <v>31.864000000000001</v>
      </c>
      <c r="I195" s="10">
        <f>E195+март!I195</f>
        <v>32</v>
      </c>
      <c r="J195" s="10">
        <f>F195+март!J195</f>
        <v>15.260999999999999</v>
      </c>
      <c r="K195" s="10">
        <f t="shared" si="68"/>
        <v>-16.739000000000001</v>
      </c>
      <c r="L195" s="16">
        <f t="shared" si="75"/>
        <v>-52.309375000000003</v>
      </c>
      <c r="M195" s="220"/>
      <c r="N195" s="221"/>
      <c r="P195">
        <f t="shared" si="61"/>
        <v>31.864000000000001</v>
      </c>
      <c r="Q195" s="44">
        <f>E195+март!I195</f>
        <v>32</v>
      </c>
      <c r="R195" s="30">
        <f>F195+фев!J195</f>
        <v>15.260999999999999</v>
      </c>
    </row>
    <row r="196" spans="1:18" ht="37.5" customHeight="1">
      <c r="A196" s="8" t="s">
        <v>278</v>
      </c>
      <c r="B196" s="9" t="s">
        <v>186</v>
      </c>
      <c r="C196" s="8" t="s">
        <v>4</v>
      </c>
      <c r="D196" s="10">
        <v>18.437000000000001</v>
      </c>
      <c r="E196" s="8">
        <v>18.417000000000002</v>
      </c>
      <c r="F196" s="86">
        <v>17.385999999999999</v>
      </c>
      <c r="G196" s="10">
        <f t="shared" si="66"/>
        <v>-1.0310000000000024</v>
      </c>
      <c r="H196" s="10">
        <f>D196+март!H196</f>
        <v>73.748000000000005</v>
      </c>
      <c r="I196" s="10">
        <f>E196+март!I196</f>
        <v>73.668000000000006</v>
      </c>
      <c r="J196" s="10">
        <f>F196+март!J196</f>
        <v>69.545000000000002</v>
      </c>
      <c r="K196" s="10">
        <f t="shared" si="68"/>
        <v>-4.1230000000000047</v>
      </c>
      <c r="L196" s="16">
        <f t="shared" si="75"/>
        <v>-5.5967312808817997</v>
      </c>
      <c r="M196" s="220"/>
      <c r="N196" s="221"/>
      <c r="P196">
        <f t="shared" si="61"/>
        <v>73.748000000000005</v>
      </c>
      <c r="Q196" s="44">
        <f>E196+март!I196</f>
        <v>73.668000000000006</v>
      </c>
      <c r="R196" s="30">
        <f>F196+фев!J196</f>
        <v>52.158000000000001</v>
      </c>
    </row>
    <row r="197" spans="1:18" ht="17.25" customHeight="1">
      <c r="A197" s="18" t="s">
        <v>279</v>
      </c>
      <c r="B197" s="26" t="s">
        <v>187</v>
      </c>
      <c r="C197" s="8" t="s">
        <v>4</v>
      </c>
      <c r="D197" s="10">
        <v>15.818</v>
      </c>
      <c r="E197" s="8">
        <v>15.833</v>
      </c>
      <c r="F197" s="8"/>
      <c r="G197" s="10">
        <f t="shared" si="66"/>
        <v>-15.833</v>
      </c>
      <c r="H197" s="10">
        <f>D197+март!H197</f>
        <v>63.271999999999998</v>
      </c>
      <c r="I197" s="10">
        <f>E197+март!I197</f>
        <v>63.332000000000001</v>
      </c>
      <c r="J197" s="10">
        <f>F197+март!J197</f>
        <v>0</v>
      </c>
      <c r="K197" s="10">
        <f t="shared" si="68"/>
        <v>-63.332000000000001</v>
      </c>
      <c r="L197" s="16">
        <f t="shared" si="75"/>
        <v>-100</v>
      </c>
      <c r="M197" s="220"/>
      <c r="N197" s="221"/>
      <c r="P197">
        <f t="shared" si="61"/>
        <v>63.271999999999998</v>
      </c>
      <c r="Q197" s="44">
        <f>E197+март!I197</f>
        <v>63.332000000000001</v>
      </c>
      <c r="R197" s="30">
        <f>F197+фев!J197</f>
        <v>0</v>
      </c>
    </row>
    <row r="198" spans="1:18" ht="17.25" customHeight="1">
      <c r="A198" s="18"/>
      <c r="B198" s="26" t="s">
        <v>125</v>
      </c>
      <c r="C198" s="8" t="s">
        <v>4</v>
      </c>
      <c r="D198" s="10">
        <v>0.34200000000000003</v>
      </c>
      <c r="E198" s="8">
        <v>0.33300000000000002</v>
      </c>
      <c r="F198" s="8"/>
      <c r="G198" s="10">
        <f t="shared" si="66"/>
        <v>-0.33300000000000002</v>
      </c>
      <c r="H198" s="10">
        <f>D198+март!H198</f>
        <v>1.3680000000000001</v>
      </c>
      <c r="I198" s="10">
        <f>E198+март!I198</f>
        <v>1.3320000000000001</v>
      </c>
      <c r="J198" s="10">
        <f>F198+март!J198</f>
        <v>0</v>
      </c>
      <c r="K198" s="10">
        <f t="shared" si="68"/>
        <v>-1.3320000000000001</v>
      </c>
      <c r="L198" s="16">
        <f t="shared" si="75"/>
        <v>-100</v>
      </c>
      <c r="M198" s="220"/>
      <c r="N198" s="221"/>
      <c r="P198">
        <f t="shared" si="61"/>
        <v>1.3680000000000001</v>
      </c>
      <c r="Q198" s="44">
        <f>E198+март!I198</f>
        <v>1.3320000000000001</v>
      </c>
      <c r="R198" s="30">
        <f>F198+фев!J198</f>
        <v>0</v>
      </c>
    </row>
    <row r="199" spans="1:18" ht="17.25" customHeight="1">
      <c r="A199" s="18" t="s">
        <v>280</v>
      </c>
      <c r="B199" s="26" t="s">
        <v>188</v>
      </c>
      <c r="C199" s="8" t="s">
        <v>4</v>
      </c>
      <c r="D199" s="10">
        <v>0</v>
      </c>
      <c r="E199" s="8"/>
      <c r="F199" s="8"/>
      <c r="G199" s="10">
        <f t="shared" si="66"/>
        <v>0</v>
      </c>
      <c r="H199" s="10">
        <f>D199+март!H199</f>
        <v>0</v>
      </c>
      <c r="I199" s="10">
        <f>E199+март!I199</f>
        <v>0</v>
      </c>
      <c r="J199" s="10">
        <f>F199+март!J199</f>
        <v>0</v>
      </c>
      <c r="K199" s="10">
        <f t="shared" si="68"/>
        <v>0</v>
      </c>
      <c r="L199" s="16"/>
      <c r="M199" s="220"/>
      <c r="N199" s="221"/>
      <c r="P199">
        <f t="shared" si="61"/>
        <v>0</v>
      </c>
      <c r="Q199" s="44">
        <f>E199+март!I199</f>
        <v>0</v>
      </c>
      <c r="R199" s="30">
        <f>F199+фев!J199</f>
        <v>0</v>
      </c>
    </row>
    <row r="200" spans="1:18" ht="27" customHeight="1">
      <c r="A200" s="18" t="s">
        <v>281</v>
      </c>
      <c r="B200" s="26" t="s">
        <v>189</v>
      </c>
      <c r="C200" s="8" t="s">
        <v>4</v>
      </c>
      <c r="D200" s="10">
        <v>3.923</v>
      </c>
      <c r="E200" s="8">
        <v>3.9169999999999998</v>
      </c>
      <c r="F200" s="87">
        <v>4.5090000000000003</v>
      </c>
      <c r="G200" s="10">
        <f t="shared" si="66"/>
        <v>0.59200000000000053</v>
      </c>
      <c r="H200" s="10">
        <f>D200+март!H200</f>
        <v>15.692</v>
      </c>
      <c r="I200" s="10">
        <f>E200+март!I200</f>
        <v>15.667999999999999</v>
      </c>
      <c r="J200" s="10">
        <f>F200+март!J200</f>
        <v>10.589</v>
      </c>
      <c r="K200" s="10">
        <f t="shared" si="68"/>
        <v>-5.0789999999999988</v>
      </c>
      <c r="L200" s="16">
        <f t="shared" si="75"/>
        <v>-32.416390094460041</v>
      </c>
      <c r="M200" s="222" t="s">
        <v>289</v>
      </c>
      <c r="N200" s="223"/>
      <c r="P200">
        <f t="shared" si="61"/>
        <v>15.692</v>
      </c>
      <c r="Q200" s="44">
        <f>E200+март!I200</f>
        <v>15.667999999999999</v>
      </c>
      <c r="R200" s="30">
        <f>F200+фев!J200</f>
        <v>8.3569999999999993</v>
      </c>
    </row>
    <row r="201" spans="1:18" ht="17.25" hidden="1" customHeight="1">
      <c r="A201" s="18" t="s">
        <v>282</v>
      </c>
      <c r="B201" s="26" t="s">
        <v>225</v>
      </c>
      <c r="C201" s="8" t="s">
        <v>4</v>
      </c>
      <c r="D201" s="10">
        <v>0</v>
      </c>
      <c r="E201" s="8"/>
      <c r="F201" s="8"/>
      <c r="G201" s="10">
        <f t="shared" si="66"/>
        <v>0</v>
      </c>
      <c r="H201" s="10">
        <f>D201+март!H201</f>
        <v>0</v>
      </c>
      <c r="I201" s="10">
        <f>E201+март!I201</f>
        <v>0</v>
      </c>
      <c r="J201" s="10">
        <f>F201+март!J201</f>
        <v>0</v>
      </c>
      <c r="K201" s="10">
        <f t="shared" si="68"/>
        <v>0</v>
      </c>
      <c r="L201" s="16" t="e">
        <f t="shared" si="75"/>
        <v>#DIV/0!</v>
      </c>
      <c r="M201" s="222" t="s">
        <v>290</v>
      </c>
      <c r="N201" s="223"/>
      <c r="P201">
        <f t="shared" ref="P201:P218" si="88">D201*4</f>
        <v>0</v>
      </c>
      <c r="Q201" s="44">
        <f>E201+март!I201</f>
        <v>0</v>
      </c>
      <c r="R201" s="30">
        <f>F201+фев!J201</f>
        <v>0</v>
      </c>
    </row>
    <row r="202" spans="1:18" ht="17.25" hidden="1" customHeight="1">
      <c r="A202" s="18" t="s">
        <v>283</v>
      </c>
      <c r="B202" s="26" t="s">
        <v>228</v>
      </c>
      <c r="C202" s="8" t="s">
        <v>4</v>
      </c>
      <c r="D202" s="10">
        <v>0</v>
      </c>
      <c r="E202" s="8"/>
      <c r="F202" s="8"/>
      <c r="G202" s="10">
        <f t="shared" si="66"/>
        <v>0</v>
      </c>
      <c r="H202" s="10">
        <f>D202+март!H202</f>
        <v>0</v>
      </c>
      <c r="I202" s="10">
        <f>E202+март!I202</f>
        <v>0</v>
      </c>
      <c r="J202" s="10">
        <f>F202+март!J202</f>
        <v>0</v>
      </c>
      <c r="K202" s="10">
        <f t="shared" si="68"/>
        <v>0</v>
      </c>
      <c r="L202" s="16" t="e">
        <f t="shared" si="75"/>
        <v>#DIV/0!</v>
      </c>
      <c r="M202" s="222" t="s">
        <v>290</v>
      </c>
      <c r="N202" s="223"/>
      <c r="P202">
        <f t="shared" si="88"/>
        <v>0</v>
      </c>
      <c r="Q202" s="44">
        <f>E202+март!I202</f>
        <v>0</v>
      </c>
      <c r="R202" s="30">
        <f>F202+фев!J202</f>
        <v>0</v>
      </c>
    </row>
    <row r="203" spans="1:18" ht="34.5" hidden="1" customHeight="1">
      <c r="A203" s="18" t="s">
        <v>284</v>
      </c>
      <c r="B203" s="26" t="s">
        <v>231</v>
      </c>
      <c r="C203" s="8" t="s">
        <v>4</v>
      </c>
      <c r="D203" s="10">
        <v>0</v>
      </c>
      <c r="E203" s="8"/>
      <c r="F203" s="8"/>
      <c r="G203" s="10">
        <f t="shared" si="66"/>
        <v>0</v>
      </c>
      <c r="H203" s="10">
        <f>D203+март!H203</f>
        <v>0</v>
      </c>
      <c r="I203" s="10">
        <f>E203+март!I203</f>
        <v>0</v>
      </c>
      <c r="J203" s="10">
        <f>F203+март!J203</f>
        <v>0</v>
      </c>
      <c r="K203" s="10">
        <f t="shared" si="68"/>
        <v>0</v>
      </c>
      <c r="L203" s="16" t="e">
        <f t="shared" si="75"/>
        <v>#DIV/0!</v>
      </c>
      <c r="M203" s="222" t="s">
        <v>290</v>
      </c>
      <c r="N203" s="223"/>
      <c r="P203">
        <f t="shared" si="88"/>
        <v>0</v>
      </c>
      <c r="Q203" s="44">
        <f>E203+март!I203</f>
        <v>0</v>
      </c>
      <c r="R203" s="30">
        <f>F203+фев!J203</f>
        <v>0</v>
      </c>
    </row>
    <row r="204" spans="1:18" ht="17.25" customHeight="1">
      <c r="A204" s="18" t="s">
        <v>282</v>
      </c>
      <c r="B204" s="26" t="s">
        <v>230</v>
      </c>
      <c r="C204" s="8" t="s">
        <v>4</v>
      </c>
      <c r="D204" s="10">
        <v>0</v>
      </c>
      <c r="E204" s="8"/>
      <c r="F204" s="8"/>
      <c r="G204" s="10">
        <f t="shared" si="66"/>
        <v>0</v>
      </c>
      <c r="H204" s="10">
        <f>D204+март!H204</f>
        <v>0</v>
      </c>
      <c r="I204" s="10">
        <f>E204+март!I204</f>
        <v>0</v>
      </c>
      <c r="J204" s="10">
        <f>F204+март!J204</f>
        <v>0</v>
      </c>
      <c r="K204" s="10">
        <f t="shared" si="68"/>
        <v>0</v>
      </c>
      <c r="L204" s="16"/>
      <c r="M204" s="220"/>
      <c r="N204" s="221"/>
      <c r="P204">
        <f t="shared" si="88"/>
        <v>0</v>
      </c>
      <c r="Q204" s="44">
        <f>E204+март!I204</f>
        <v>0</v>
      </c>
      <c r="R204" s="30">
        <f>F204+фев!J204</f>
        <v>0</v>
      </c>
    </row>
    <row r="205" spans="1:18" ht="21" customHeight="1">
      <c r="A205" s="74" t="s">
        <v>190</v>
      </c>
      <c r="B205" s="6" t="s">
        <v>191</v>
      </c>
      <c r="C205" s="74" t="s">
        <v>4</v>
      </c>
      <c r="D205" s="7">
        <f>D8+D138</f>
        <v>76555.231</v>
      </c>
      <c r="E205" s="21">
        <f>E8+E138</f>
        <v>71086.831999999995</v>
      </c>
      <c r="F205" s="7">
        <f>F8+F138</f>
        <v>69128.384999999995</v>
      </c>
      <c r="G205" s="10">
        <f t="shared" ref="G205:G213" si="89">F205-E205</f>
        <v>-1958.4470000000001</v>
      </c>
      <c r="H205" s="7">
        <f>H8+H138</f>
        <v>306220.924</v>
      </c>
      <c r="I205" s="21">
        <f>I8+I138</f>
        <v>284347.32799999998</v>
      </c>
      <c r="J205" s="7">
        <f>J8+J138</f>
        <v>282984.64849999989</v>
      </c>
      <c r="K205" s="10">
        <f t="shared" ref="K205:K213" si="90">J205-I205</f>
        <v>-1362.6795000000857</v>
      </c>
      <c r="L205" s="16">
        <f t="shared" ref="L205:L213" si="91">K205/I205*100</f>
        <v>-0.479230633037665</v>
      </c>
      <c r="M205" s="220"/>
      <c r="N205" s="221"/>
      <c r="P205">
        <f t="shared" si="88"/>
        <v>306220.924</v>
      </c>
      <c r="Q205" s="44">
        <f>E205+март!I205</f>
        <v>284347.32799999998</v>
      </c>
      <c r="R205" s="30">
        <f>F205+фев!J205</f>
        <v>211139.50099999999</v>
      </c>
    </row>
    <row r="206" spans="1:18" ht="17.25" customHeight="1">
      <c r="A206" s="74" t="s">
        <v>192</v>
      </c>
      <c r="B206" s="6" t="s">
        <v>193</v>
      </c>
      <c r="C206" s="74" t="s">
        <v>4</v>
      </c>
      <c r="D206" s="7">
        <v>1469.992</v>
      </c>
      <c r="E206" s="74">
        <v>1470.0830000000001</v>
      </c>
      <c r="F206" s="21">
        <f>F209-F205</f>
        <v>2743.3820399999968</v>
      </c>
      <c r="G206" s="16">
        <f t="shared" si="89"/>
        <v>1273.2990399999967</v>
      </c>
      <c r="H206" s="10">
        <f>D206+март!H206</f>
        <v>5879.9679999999998</v>
      </c>
      <c r="I206" s="10">
        <f>E206+март!I206</f>
        <v>5880.3320000000003</v>
      </c>
      <c r="J206" s="10">
        <f>F206+март!J206</f>
        <v>7662.7195399999764</v>
      </c>
      <c r="K206" s="10">
        <f t="shared" si="90"/>
        <v>1782.3875399999761</v>
      </c>
      <c r="L206" s="16">
        <f t="shared" si="91"/>
        <v>30.31100182778755</v>
      </c>
      <c r="M206" s="220"/>
      <c r="N206" s="221"/>
      <c r="P206">
        <f t="shared" si="88"/>
        <v>5879.9679999999998</v>
      </c>
      <c r="Q206" s="44">
        <f>E206+март!I206</f>
        <v>5880.3320000000003</v>
      </c>
      <c r="R206" s="30">
        <f>F206+фев!J206</f>
        <v>30886.238839999976</v>
      </c>
    </row>
    <row r="207" spans="1:18" ht="17.25" customHeight="1">
      <c r="A207" s="74" t="s">
        <v>194</v>
      </c>
      <c r="B207" s="6" t="s">
        <v>195</v>
      </c>
      <c r="C207" s="74" t="s">
        <v>4</v>
      </c>
      <c r="D207" s="7">
        <f>D205+D206</f>
        <v>78025.222999999998</v>
      </c>
      <c r="E207" s="21">
        <f>E205+E206</f>
        <v>72556.914999999994</v>
      </c>
      <c r="F207" s="7">
        <f>F205+F206</f>
        <v>71871.767039999992</v>
      </c>
      <c r="G207" s="16">
        <f t="shared" si="89"/>
        <v>-685.14796000000206</v>
      </c>
      <c r="H207" s="7">
        <f>H205+H206</f>
        <v>312100.89199999999</v>
      </c>
      <c r="I207" s="21">
        <f>I205+I206</f>
        <v>290227.65999999997</v>
      </c>
      <c r="J207" s="7">
        <f>J205+J206</f>
        <v>290647.36803999986</v>
      </c>
      <c r="K207" s="10">
        <f t="shared" si="90"/>
        <v>419.70803999988129</v>
      </c>
      <c r="L207" s="16">
        <f t="shared" si="91"/>
        <v>0.14461338385179459</v>
      </c>
      <c r="M207" s="220"/>
      <c r="N207" s="221"/>
      <c r="P207">
        <f t="shared" si="88"/>
        <v>312100.89199999999</v>
      </c>
      <c r="Q207" s="44">
        <f>E207+март!I207</f>
        <v>290227.66000000003</v>
      </c>
      <c r="R207" s="30">
        <f>F207+фев!J207</f>
        <v>242025.73983999994</v>
      </c>
    </row>
    <row r="208" spans="1:18" ht="17.25" customHeight="1">
      <c r="A208" s="224" t="s">
        <v>196</v>
      </c>
      <c r="B208" s="225" t="s">
        <v>197</v>
      </c>
      <c r="C208" s="74" t="s">
        <v>114</v>
      </c>
      <c r="D208" s="7">
        <v>559.39200000000005</v>
      </c>
      <c r="E208" s="74">
        <v>523.61</v>
      </c>
      <c r="F208" s="81">
        <v>521.11199999999997</v>
      </c>
      <c r="G208" s="10">
        <f t="shared" si="89"/>
        <v>-2.4980000000000473</v>
      </c>
      <c r="H208" s="10">
        <f>D208+март!H208</f>
        <v>2237.5680000000002</v>
      </c>
      <c r="I208" s="10">
        <f>E208+март!I208</f>
        <v>2094.44</v>
      </c>
      <c r="J208" s="10">
        <f>F208+март!J208</f>
        <v>2107.3620000000001</v>
      </c>
      <c r="K208" s="10">
        <f t="shared" si="90"/>
        <v>12.922000000000025</v>
      </c>
      <c r="L208" s="16">
        <f t="shared" si="91"/>
        <v>0.61696682645480538</v>
      </c>
      <c r="M208" s="220"/>
      <c r="N208" s="221"/>
      <c r="P208">
        <f t="shared" si="88"/>
        <v>2237.5680000000002</v>
      </c>
      <c r="Q208" s="44">
        <f>E208+март!I208</f>
        <v>2094.44</v>
      </c>
      <c r="R208" s="30">
        <f>F208+фев!J208</f>
        <v>1754.8269999999998</v>
      </c>
    </row>
    <row r="209" spans="1:19" ht="17.25" customHeight="1">
      <c r="A209" s="224"/>
      <c r="B209" s="225"/>
      <c r="C209" s="74" t="s">
        <v>4</v>
      </c>
      <c r="D209" s="7">
        <f>D207</f>
        <v>78025.222999999998</v>
      </c>
      <c r="E209" s="21">
        <f>E207</f>
        <v>72556.914999999994</v>
      </c>
      <c r="F209" s="81">
        <f>F213*F208</f>
        <v>71871.767039999992</v>
      </c>
      <c r="G209" s="16">
        <f t="shared" si="89"/>
        <v>-685.14796000000206</v>
      </c>
      <c r="H209" s="10">
        <f>D209+март!H209</f>
        <v>312100.89199999999</v>
      </c>
      <c r="I209" s="21">
        <f>I207</f>
        <v>290227.65999999997</v>
      </c>
      <c r="J209" s="74">
        <f>J213*J208</f>
        <v>290647.36803999986</v>
      </c>
      <c r="K209" s="10">
        <f t="shared" si="90"/>
        <v>419.70803999988129</v>
      </c>
      <c r="L209" s="16">
        <f t="shared" si="91"/>
        <v>0.14461338385179459</v>
      </c>
      <c r="M209" s="220"/>
      <c r="N209" s="221"/>
      <c r="P209">
        <f t="shared" si="88"/>
        <v>312100.89199999999</v>
      </c>
      <c r="Q209" s="44">
        <f>E209+март!I209</f>
        <v>290227.66000000003</v>
      </c>
      <c r="R209" s="30">
        <f>F209+фев!J209</f>
        <v>242025.73983999994</v>
      </c>
    </row>
    <row r="210" spans="1:19" ht="17.25" customHeight="1">
      <c r="A210" s="74" t="s">
        <v>198</v>
      </c>
      <c r="B210" s="75" t="s">
        <v>199</v>
      </c>
      <c r="C210" s="74" t="s">
        <v>114</v>
      </c>
      <c r="D210" s="7">
        <v>761.69899999999996</v>
      </c>
      <c r="E210" s="21">
        <v>713</v>
      </c>
      <c r="F210" s="7">
        <v>620.11</v>
      </c>
      <c r="G210" s="10">
        <f t="shared" si="89"/>
        <v>-92.889999999999986</v>
      </c>
      <c r="H210" s="10">
        <f>D210+март!H210</f>
        <v>3046.7959999999998</v>
      </c>
      <c r="I210" s="10">
        <f>E210+март!I210</f>
        <v>2852</v>
      </c>
      <c r="J210" s="10">
        <f>F210+март!J210</f>
        <v>2653.6820000000002</v>
      </c>
      <c r="K210" s="10">
        <f t="shared" si="90"/>
        <v>-198.31799999999976</v>
      </c>
      <c r="L210" s="16">
        <f t="shared" si="91"/>
        <v>-6.9536465638148579</v>
      </c>
      <c r="M210" s="220"/>
      <c r="N210" s="221"/>
      <c r="P210">
        <f t="shared" si="88"/>
        <v>3046.7959999999998</v>
      </c>
      <c r="Q210" s="44">
        <f>E210+март!I210</f>
        <v>2852</v>
      </c>
      <c r="R210" s="30">
        <f>F210+фев!J210</f>
        <v>2218.453</v>
      </c>
    </row>
    <row r="211" spans="1:19" ht="17.25" customHeight="1">
      <c r="A211" s="224" t="s">
        <v>200</v>
      </c>
      <c r="B211" s="225" t="s">
        <v>201</v>
      </c>
      <c r="C211" s="74" t="s">
        <v>202</v>
      </c>
      <c r="D211" s="21">
        <f>D212/D210*100</f>
        <v>26.559966600980168</v>
      </c>
      <c r="E211" s="21">
        <f>E212/E210*100</f>
        <v>26.562412342215985</v>
      </c>
      <c r="F211" s="21">
        <f>F212/F210*100</f>
        <v>15.964586928125662</v>
      </c>
      <c r="G211" s="10">
        <f t="shared" si="89"/>
        <v>-10.597825414090323</v>
      </c>
      <c r="H211" s="21">
        <f>H212/H210*100</f>
        <v>26.559966600980168</v>
      </c>
      <c r="I211" s="21">
        <f>I212/I210*100</f>
        <v>26.562412342215985</v>
      </c>
      <c r="J211" s="21">
        <f>J212/J210*100</f>
        <v>20.587244439989423</v>
      </c>
      <c r="K211" s="10">
        <f t="shared" si="90"/>
        <v>-5.9751679022265627</v>
      </c>
      <c r="L211" s="16">
        <f t="shared" si="91"/>
        <v>-22.494823983777074</v>
      </c>
      <c r="M211" s="220"/>
      <c r="N211" s="221"/>
      <c r="P211">
        <f t="shared" si="88"/>
        <v>106.23986640392067</v>
      </c>
      <c r="Q211" s="44">
        <f>E211+март!I211</f>
        <v>53.124824684431978</v>
      </c>
      <c r="R211" s="30">
        <f>F211+фев!J211</f>
        <v>38.777462512402636</v>
      </c>
    </row>
    <row r="212" spans="1:19" ht="17.25" customHeight="1">
      <c r="A212" s="224"/>
      <c r="B212" s="225"/>
      <c r="C212" s="74" t="s">
        <v>114</v>
      </c>
      <c r="D212" s="7">
        <f>D210-D208</f>
        <v>202.3069999999999</v>
      </c>
      <c r="E212" s="7">
        <f>E210-E208</f>
        <v>189.39</v>
      </c>
      <c r="F212" s="7">
        <f>F210-F208</f>
        <v>98.998000000000047</v>
      </c>
      <c r="G212" s="10">
        <f t="shared" si="89"/>
        <v>-90.391999999999939</v>
      </c>
      <c r="H212" s="7">
        <f>H210-H208</f>
        <v>809.22799999999961</v>
      </c>
      <c r="I212" s="7">
        <f>I210-I208</f>
        <v>757.56</v>
      </c>
      <c r="J212" s="7">
        <f>J210-J208</f>
        <v>546.32000000000016</v>
      </c>
      <c r="K212" s="10">
        <f t="shared" si="90"/>
        <v>-211.23999999999978</v>
      </c>
      <c r="L212" s="16">
        <f t="shared" si="91"/>
        <v>-27.884259992607817</v>
      </c>
      <c r="M212" s="220"/>
      <c r="N212" s="221"/>
      <c r="P212">
        <f t="shared" si="88"/>
        <v>809.22799999999961</v>
      </c>
      <c r="Q212" s="44">
        <f>E212+март!I212</f>
        <v>757.56000000000006</v>
      </c>
      <c r="R212" s="30">
        <f>F212+фев!J212</f>
        <v>463.6260000000002</v>
      </c>
    </row>
    <row r="213" spans="1:19" s="1" customFormat="1" ht="21" customHeight="1">
      <c r="A213" s="74" t="s">
        <v>203</v>
      </c>
      <c r="B213" s="6" t="s">
        <v>204</v>
      </c>
      <c r="C213" s="74" t="s">
        <v>205</v>
      </c>
      <c r="D213" s="21">
        <f>D207/D208</f>
        <v>139.48219316686686</v>
      </c>
      <c r="E213" s="21">
        <f>E209/E208</f>
        <v>138.57052959263572</v>
      </c>
      <c r="F213" s="81">
        <v>137.91999999999999</v>
      </c>
      <c r="G213" s="10">
        <f t="shared" si="89"/>
        <v>-0.65052959263573484</v>
      </c>
      <c r="H213" s="21">
        <f>H207/H208</f>
        <v>139.48219316686686</v>
      </c>
      <c r="I213" s="21">
        <f>I207/I208</f>
        <v>138.57052959263572</v>
      </c>
      <c r="J213" s="21">
        <f>J207/J208</f>
        <v>137.92000047452686</v>
      </c>
      <c r="K213" s="10">
        <f t="shared" si="90"/>
        <v>-0.65052911810886371</v>
      </c>
      <c r="L213" s="16">
        <f t="shared" si="91"/>
        <v>-0.46945704835022567</v>
      </c>
      <c r="M213" s="220"/>
      <c r="N213" s="221"/>
      <c r="O213"/>
      <c r="P213">
        <f t="shared" si="88"/>
        <v>557.92877266746746</v>
      </c>
      <c r="Q213" s="44">
        <f>E213+март!I213</f>
        <v>277.1410591852715</v>
      </c>
      <c r="R213" s="30">
        <f>F213+фев!J213</f>
        <v>275.83999999999997</v>
      </c>
      <c r="S213"/>
    </row>
    <row r="214" spans="1:19" ht="17.25" customHeight="1">
      <c r="A214" s="8"/>
      <c r="B214" s="9" t="s">
        <v>206</v>
      </c>
      <c r="C214" s="8"/>
      <c r="D214" s="21"/>
      <c r="E214" s="8"/>
      <c r="F214" s="8"/>
      <c r="G214" s="8"/>
      <c r="H214" s="21"/>
      <c r="I214" s="8"/>
      <c r="J214" s="8"/>
      <c r="K214" s="8"/>
      <c r="L214" s="16"/>
      <c r="M214" s="220"/>
      <c r="N214" s="221"/>
      <c r="P214">
        <f t="shared" si="88"/>
        <v>0</v>
      </c>
      <c r="Q214" s="44">
        <f>E214+март!I214</f>
        <v>0</v>
      </c>
      <c r="R214" s="30">
        <f>F214+фев!J214</f>
        <v>0</v>
      </c>
    </row>
    <row r="215" spans="1:19" ht="35.25" customHeight="1">
      <c r="A215" s="8">
        <v>7</v>
      </c>
      <c r="B215" s="9" t="s">
        <v>207</v>
      </c>
      <c r="C215" s="8" t="s">
        <v>208</v>
      </c>
      <c r="D215" s="14">
        <f>D216+D217</f>
        <v>253</v>
      </c>
      <c r="E215" s="14">
        <f t="shared" ref="E215:G215" si="92">E216+E217</f>
        <v>0</v>
      </c>
      <c r="F215" s="14">
        <f t="shared" si="92"/>
        <v>0</v>
      </c>
      <c r="G215" s="14">
        <f t="shared" si="92"/>
        <v>0</v>
      </c>
      <c r="H215" s="14">
        <f>H216+H217</f>
        <v>253</v>
      </c>
      <c r="I215" s="14">
        <f t="shared" ref="I215:K215" si="93">I216+I217</f>
        <v>0</v>
      </c>
      <c r="J215" s="14">
        <f t="shared" si="93"/>
        <v>172</v>
      </c>
      <c r="K215" s="14">
        <f t="shared" si="93"/>
        <v>0</v>
      </c>
      <c r="L215" s="16"/>
      <c r="M215" s="220"/>
      <c r="N215" s="221"/>
      <c r="P215">
        <f t="shared" si="88"/>
        <v>1012</v>
      </c>
      <c r="Q215" s="44">
        <f>E215+март!I215</f>
        <v>0</v>
      </c>
      <c r="R215" s="30">
        <f>F215+фев!J215</f>
        <v>0</v>
      </c>
    </row>
    <row r="216" spans="1:19" ht="17.25" customHeight="1">
      <c r="A216" s="18" t="s">
        <v>209</v>
      </c>
      <c r="B216" s="9" t="s">
        <v>210</v>
      </c>
      <c r="C216" s="8" t="s">
        <v>208</v>
      </c>
      <c r="D216" s="14">
        <v>236</v>
      </c>
      <c r="E216" s="8"/>
      <c r="F216" s="8"/>
      <c r="G216" s="8"/>
      <c r="H216" s="14">
        <v>236</v>
      </c>
      <c r="I216" s="8"/>
      <c r="J216" s="8">
        <v>164</v>
      </c>
      <c r="K216" s="8"/>
      <c r="L216" s="16"/>
      <c r="M216" s="220"/>
      <c r="N216" s="221"/>
      <c r="P216">
        <f t="shared" si="88"/>
        <v>944</v>
      </c>
      <c r="Q216" s="44">
        <f>E216+март!I216</f>
        <v>0</v>
      </c>
      <c r="R216" s="30">
        <f>F216+фев!J216</f>
        <v>0</v>
      </c>
    </row>
    <row r="217" spans="1:19" ht="17.25" customHeight="1">
      <c r="A217" s="18" t="s">
        <v>211</v>
      </c>
      <c r="B217" s="9" t="s">
        <v>212</v>
      </c>
      <c r="C217" s="8" t="s">
        <v>208</v>
      </c>
      <c r="D217" s="14">
        <v>17</v>
      </c>
      <c r="E217" s="8"/>
      <c r="F217" s="8"/>
      <c r="G217" s="8"/>
      <c r="H217" s="14">
        <v>17</v>
      </c>
      <c r="I217" s="8"/>
      <c r="J217" s="8">
        <v>8</v>
      </c>
      <c r="K217" s="8"/>
      <c r="L217" s="16"/>
      <c r="M217" s="220"/>
      <c r="N217" s="221"/>
      <c r="P217">
        <f t="shared" si="88"/>
        <v>68</v>
      </c>
      <c r="Q217" s="44">
        <f>E217+март!I217</f>
        <v>0</v>
      </c>
      <c r="R217" s="30">
        <f>F217+фев!J217</f>
        <v>0</v>
      </c>
    </row>
    <row r="218" spans="1:19" ht="36" customHeight="1">
      <c r="A218" s="18" t="s">
        <v>213</v>
      </c>
      <c r="B218" s="9" t="s">
        <v>214</v>
      </c>
      <c r="C218" s="8" t="s">
        <v>16</v>
      </c>
      <c r="D218" s="14">
        <f>(D88+D145)/D215*1000</f>
        <v>86746.573122529648</v>
      </c>
      <c r="E218" s="8"/>
      <c r="F218" s="8"/>
      <c r="G218" s="8"/>
      <c r="H218" s="14">
        <f>(H88+H145)/H215*1000/4</f>
        <v>86746.573122529648</v>
      </c>
      <c r="I218" s="8"/>
      <c r="J218" s="14">
        <f>(J88+J145)/J215*1000/4</f>
        <v>113361.80523255812</v>
      </c>
      <c r="K218" s="8"/>
      <c r="L218" s="16"/>
      <c r="M218" s="220"/>
      <c r="N218" s="221"/>
      <c r="P218">
        <f t="shared" si="88"/>
        <v>346986.29249011859</v>
      </c>
      <c r="Q218" s="44">
        <f>E218+март!I218</f>
        <v>0</v>
      </c>
      <c r="R218" s="30">
        <f>F218+фев!J218</f>
        <v>0</v>
      </c>
    </row>
    <row r="219" spans="1:19" ht="17.25" customHeight="1">
      <c r="A219" s="18" t="s">
        <v>215</v>
      </c>
      <c r="B219" s="9" t="s">
        <v>210</v>
      </c>
      <c r="C219" s="8" t="s">
        <v>16</v>
      </c>
      <c r="D219" s="14">
        <f>D88/D216*1000</f>
        <v>84883.580508474581</v>
      </c>
      <c r="E219" s="8"/>
      <c r="F219" s="8"/>
      <c r="G219" s="8"/>
      <c r="H219" s="14">
        <f>H88/H216*1000/4</f>
        <v>84883.580508474581</v>
      </c>
      <c r="I219" s="8"/>
      <c r="J219" s="14">
        <f>J88/J216*1000/4</f>
        <v>110632.42835365853</v>
      </c>
      <c r="K219" s="8"/>
      <c r="L219" s="16"/>
      <c r="M219" s="220"/>
      <c r="N219" s="221"/>
      <c r="Q219" s="44">
        <f>E219+март!I219</f>
        <v>0</v>
      </c>
      <c r="R219" s="30">
        <f>F219+фев!J219</f>
        <v>0</v>
      </c>
    </row>
    <row r="220" spans="1:19" ht="17.25" customHeight="1">
      <c r="A220" s="18" t="s">
        <v>216</v>
      </c>
      <c r="B220" s="9" t="s">
        <v>212</v>
      </c>
      <c r="C220" s="8" t="s">
        <v>16</v>
      </c>
      <c r="D220" s="14">
        <f>D145/D217*1000</f>
        <v>112609.29411764705</v>
      </c>
      <c r="E220" s="8"/>
      <c r="F220" s="8"/>
      <c r="G220" s="8"/>
      <c r="H220" s="14">
        <f>H145/H217*1000/4</f>
        <v>112609.29411764705</v>
      </c>
      <c r="I220" s="8"/>
      <c r="J220" s="14">
        <f>J145/J217*1000/4</f>
        <v>169314.03125</v>
      </c>
      <c r="K220" s="8"/>
      <c r="L220" s="16"/>
      <c r="M220" s="220"/>
      <c r="N220" s="221"/>
      <c r="Q220" s="44">
        <f>E220+март!I220</f>
        <v>0</v>
      </c>
      <c r="R220" s="30">
        <f>F220+фев!J220</f>
        <v>0</v>
      </c>
    </row>
    <row r="221" spans="1:19" ht="18.75">
      <c r="A221" s="29"/>
      <c r="B221" s="29"/>
      <c r="C221" s="29"/>
      <c r="D221" s="29"/>
      <c r="E221" s="29"/>
      <c r="F221" s="29"/>
      <c r="G221" s="29"/>
      <c r="H221" s="29">
        <f>H220*I217*12/1000</f>
        <v>0</v>
      </c>
      <c r="I221" s="29">
        <f>H218*I216*12/1000</f>
        <v>0</v>
      </c>
      <c r="J221" s="29"/>
      <c r="K221" s="29"/>
      <c r="L221" s="29"/>
      <c r="M221" s="29"/>
      <c r="N221" s="29">
        <f>H221+I221</f>
        <v>0</v>
      </c>
    </row>
    <row r="222" spans="1:19" ht="18.75">
      <c r="A222" s="29"/>
      <c r="B222" s="29"/>
      <c r="C222" s="29"/>
      <c r="D222" s="29"/>
      <c r="E222" s="29"/>
      <c r="F222" s="29"/>
      <c r="G222" s="29"/>
      <c r="H222" s="29">
        <v>607.40800000000002</v>
      </c>
      <c r="I222" s="29">
        <v>9999.5409999999993</v>
      </c>
      <c r="J222" s="29"/>
      <c r="K222" s="29"/>
      <c r="L222" s="29"/>
      <c r="M222" s="29"/>
      <c r="N222" s="29"/>
    </row>
    <row r="223" spans="1:19" ht="18.75">
      <c r="A223" s="29"/>
      <c r="B223" s="29"/>
      <c r="C223" s="29"/>
      <c r="D223" s="29"/>
      <c r="E223" s="29"/>
      <c r="F223" s="29"/>
      <c r="G223" s="29"/>
      <c r="H223" s="29">
        <v>953.40200000000004</v>
      </c>
      <c r="I223" s="29">
        <v>10043.467000000001</v>
      </c>
      <c r="J223" s="29"/>
      <c r="K223" s="29"/>
      <c r="L223" s="29"/>
      <c r="M223" s="29"/>
      <c r="N223" s="29"/>
    </row>
    <row r="224" spans="1:19" ht="18.75">
      <c r="A224" s="29"/>
      <c r="B224" s="29"/>
      <c r="C224" s="29"/>
      <c r="D224" s="29"/>
      <c r="E224" s="29"/>
      <c r="F224" s="29"/>
      <c r="G224" s="29"/>
      <c r="H224" s="29"/>
      <c r="I224" s="29">
        <f>888.772+371.175+148.47</f>
        <v>1408.4170000000001</v>
      </c>
      <c r="J224" s="29"/>
      <c r="K224" s="29"/>
      <c r="L224" s="29"/>
      <c r="M224" s="29"/>
      <c r="N224" s="29"/>
    </row>
    <row r="225" spans="1:14" ht="18.75">
      <c r="A225" s="29"/>
      <c r="B225" s="29"/>
      <c r="C225" s="29"/>
      <c r="D225" s="29"/>
      <c r="E225" s="29"/>
      <c r="F225" s="29"/>
      <c r="G225" s="29"/>
      <c r="H225" s="29">
        <f>SUM(H221:H223)</f>
        <v>1560.81</v>
      </c>
      <c r="I225" s="29">
        <f>SUM(I221:I224)</f>
        <v>21451.425000000003</v>
      </c>
      <c r="J225" s="29"/>
      <c r="K225" s="29"/>
      <c r="L225" s="29"/>
      <c r="M225" s="29"/>
      <c r="N225" s="29">
        <f>SUM(H225:M225)</f>
        <v>23012.235000000004</v>
      </c>
    </row>
    <row r="226" spans="1:14" ht="72.75" customHeight="1">
      <c r="A226" s="29"/>
      <c r="B226" s="29" t="s">
        <v>295</v>
      </c>
      <c r="C226" s="29"/>
      <c r="D226" s="29"/>
      <c r="E226" s="29"/>
      <c r="F226" s="29"/>
      <c r="G226" s="29"/>
      <c r="H226" s="29"/>
      <c r="I226" s="29" t="s">
        <v>296</v>
      </c>
      <c r="J226" s="29"/>
      <c r="K226" s="29"/>
      <c r="L226" s="29"/>
      <c r="M226" s="29"/>
      <c r="N226" s="29"/>
    </row>
    <row r="227" spans="1:14" ht="9" customHeigh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</row>
    <row r="228" spans="1:14" ht="52.5" hidden="1" customHeight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</row>
    <row r="229" spans="1:14" ht="15.75" hidden="1" customHeight="1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</row>
    <row r="230" spans="1:14" ht="27" hidden="1" customHeight="1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</row>
    <row r="231" spans="1:14" ht="30" customHeight="1">
      <c r="A231" s="29"/>
      <c r="B231" s="29" t="s">
        <v>233</v>
      </c>
      <c r="C231" s="29"/>
      <c r="D231" s="29"/>
      <c r="E231" s="29"/>
      <c r="F231" s="29"/>
      <c r="G231" s="29"/>
      <c r="H231" s="29"/>
      <c r="I231" s="29" t="s">
        <v>234</v>
      </c>
      <c r="J231" s="29"/>
      <c r="K231" s="29"/>
      <c r="L231" s="29"/>
      <c r="M231" s="29"/>
      <c r="N231" s="29"/>
    </row>
    <row r="232" spans="1:14" ht="28.5" customHeight="1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</row>
    <row r="233" spans="1:14" ht="4.5" hidden="1" customHeight="1">
      <c r="B233" s="3" t="s">
        <v>233</v>
      </c>
      <c r="C233" s="3"/>
      <c r="D233" s="3"/>
      <c r="E233" s="3"/>
      <c r="F233" s="3"/>
      <c r="G233" s="3"/>
      <c r="H233" t="s">
        <v>234</v>
      </c>
    </row>
    <row r="234" spans="1:14" ht="16.5" customHeight="1">
      <c r="B234" s="4"/>
      <c r="C234" s="2"/>
      <c r="D234" s="2"/>
      <c r="E234" s="2"/>
      <c r="F234" s="2"/>
      <c r="G234" s="2"/>
    </row>
    <row r="235" spans="1:14" ht="15.75">
      <c r="A235" s="2"/>
      <c r="B235" s="2"/>
      <c r="C235" s="2"/>
      <c r="D235" s="2"/>
      <c r="E235" s="2"/>
      <c r="F235" s="2"/>
      <c r="G235" s="2"/>
    </row>
    <row r="236" spans="1:14" ht="15.75">
      <c r="A236" s="2"/>
      <c r="B236" s="2"/>
      <c r="C236" s="2"/>
      <c r="D236" s="2"/>
      <c r="E236" s="2"/>
      <c r="F236" s="2"/>
      <c r="G236" s="2"/>
    </row>
    <row r="237" spans="1:14" ht="15.75">
      <c r="A237" s="2"/>
      <c r="B237" s="2"/>
      <c r="C237" s="2"/>
      <c r="D237" s="2"/>
      <c r="E237" s="2"/>
      <c r="F237" s="2"/>
      <c r="G237" s="2"/>
    </row>
    <row r="238" spans="1:14" ht="15.75">
      <c r="A238" s="4" t="s">
        <v>235</v>
      </c>
      <c r="B238" s="2"/>
      <c r="C238" s="2"/>
      <c r="D238" s="2"/>
      <c r="E238" s="2"/>
      <c r="F238" s="2"/>
      <c r="G238" s="2"/>
    </row>
    <row r="239" spans="1:14" ht="15.75">
      <c r="A239" s="2"/>
      <c r="B239" s="2"/>
      <c r="C239" s="2"/>
      <c r="D239" s="2"/>
      <c r="E239" s="2"/>
      <c r="F239" s="2"/>
      <c r="G239" s="2"/>
    </row>
  </sheetData>
  <mergeCells count="222">
    <mergeCell ref="E5:E6"/>
    <mergeCell ref="F5:F6"/>
    <mergeCell ref="G5:G6"/>
    <mergeCell ref="H5:H6"/>
    <mergeCell ref="I5:I6"/>
    <mergeCell ref="J5:J6"/>
    <mergeCell ref="A1:N1"/>
    <mergeCell ref="A2:N2"/>
    <mergeCell ref="A3:C3"/>
    <mergeCell ref="A4:A6"/>
    <mergeCell ref="B4:B6"/>
    <mergeCell ref="C4:C6"/>
    <mergeCell ref="D4:G4"/>
    <mergeCell ref="H4:L4"/>
    <mergeCell ref="M4:N6"/>
    <mergeCell ref="D5:D6"/>
    <mergeCell ref="M11:N11"/>
    <mergeCell ref="M12:N12"/>
    <mergeCell ref="M13:N13"/>
    <mergeCell ref="M14:N14"/>
    <mergeCell ref="M15:N15"/>
    <mergeCell ref="M16:N16"/>
    <mergeCell ref="K5:K6"/>
    <mergeCell ref="L5:L6"/>
    <mergeCell ref="M7:N7"/>
    <mergeCell ref="M8:N8"/>
    <mergeCell ref="M9:N9"/>
    <mergeCell ref="M10:N10"/>
    <mergeCell ref="M23:N23"/>
    <mergeCell ref="M24:N24"/>
    <mergeCell ref="M25:N25"/>
    <mergeCell ref="M26:N26"/>
    <mergeCell ref="M27:N27"/>
    <mergeCell ref="M28:N28"/>
    <mergeCell ref="M17:N17"/>
    <mergeCell ref="M18:N18"/>
    <mergeCell ref="M19:N19"/>
    <mergeCell ref="M20:N20"/>
    <mergeCell ref="M21:N21"/>
    <mergeCell ref="M22:N22"/>
    <mergeCell ref="M35:N35"/>
    <mergeCell ref="M36:N36"/>
    <mergeCell ref="M37:N37"/>
    <mergeCell ref="M38:N38"/>
    <mergeCell ref="M39:N39"/>
    <mergeCell ref="M40:N40"/>
    <mergeCell ref="M29:N29"/>
    <mergeCell ref="M30:N30"/>
    <mergeCell ref="M31:N31"/>
    <mergeCell ref="M32:N32"/>
    <mergeCell ref="M33:N33"/>
    <mergeCell ref="M34:N34"/>
    <mergeCell ref="M48:N48"/>
    <mergeCell ref="M49:N49"/>
    <mergeCell ref="M50:N50"/>
    <mergeCell ref="M51:N51"/>
    <mergeCell ref="M52:N52"/>
    <mergeCell ref="M53:N53"/>
    <mergeCell ref="M41:N41"/>
    <mergeCell ref="M42:N43"/>
    <mergeCell ref="M44:N44"/>
    <mergeCell ref="M45:N45"/>
    <mergeCell ref="M46:N46"/>
    <mergeCell ref="M47:N47"/>
    <mergeCell ref="M62:N62"/>
    <mergeCell ref="M63:N63"/>
    <mergeCell ref="M64:N64"/>
    <mergeCell ref="M65:N65"/>
    <mergeCell ref="M66:N66"/>
    <mergeCell ref="M67:N67"/>
    <mergeCell ref="M54:N54"/>
    <mergeCell ref="M55:N55"/>
    <mergeCell ref="M56:N56"/>
    <mergeCell ref="M57:N58"/>
    <mergeCell ref="M59:N59"/>
    <mergeCell ref="M60:N61"/>
    <mergeCell ref="M75:N75"/>
    <mergeCell ref="M76:N76"/>
    <mergeCell ref="M77:N77"/>
    <mergeCell ref="M78:N78"/>
    <mergeCell ref="M79:N79"/>
    <mergeCell ref="M80:N80"/>
    <mergeCell ref="M68:N68"/>
    <mergeCell ref="M69:N70"/>
    <mergeCell ref="M71:N71"/>
    <mergeCell ref="M72:N72"/>
    <mergeCell ref="M73:N73"/>
    <mergeCell ref="M74:N74"/>
    <mergeCell ref="M88:N88"/>
    <mergeCell ref="M89:N89"/>
    <mergeCell ref="M93:N93"/>
    <mergeCell ref="M94:N94"/>
    <mergeCell ref="M95:N95"/>
    <mergeCell ref="M96:N96"/>
    <mergeCell ref="M81:N81"/>
    <mergeCell ref="M82:N82"/>
    <mergeCell ref="M83:N83"/>
    <mergeCell ref="M84:N85"/>
    <mergeCell ref="M86:N86"/>
    <mergeCell ref="M87:N87"/>
    <mergeCell ref="M103:N103"/>
    <mergeCell ref="M104:N104"/>
    <mergeCell ref="M105:N105"/>
    <mergeCell ref="M106:N106"/>
    <mergeCell ref="M107:N107"/>
    <mergeCell ref="M108:N108"/>
    <mergeCell ref="M97:N97"/>
    <mergeCell ref="M98:N98"/>
    <mergeCell ref="M99:N99"/>
    <mergeCell ref="M100:N100"/>
    <mergeCell ref="M101:N101"/>
    <mergeCell ref="M102:N102"/>
    <mergeCell ref="M115:N115"/>
    <mergeCell ref="M116:N116"/>
    <mergeCell ref="M117:N117"/>
    <mergeCell ref="M118:N118"/>
    <mergeCell ref="M119:N119"/>
    <mergeCell ref="M120:N120"/>
    <mergeCell ref="M109:N109"/>
    <mergeCell ref="M110:N110"/>
    <mergeCell ref="M111:N111"/>
    <mergeCell ref="M112:N112"/>
    <mergeCell ref="M113:N113"/>
    <mergeCell ref="M114:N114"/>
    <mergeCell ref="M127:N127"/>
    <mergeCell ref="M128:N128"/>
    <mergeCell ref="M129:N129"/>
    <mergeCell ref="M130:N130"/>
    <mergeCell ref="M131:N131"/>
    <mergeCell ref="M132:N132"/>
    <mergeCell ref="M121:N121"/>
    <mergeCell ref="M122:N122"/>
    <mergeCell ref="M123:N123"/>
    <mergeCell ref="M124:N124"/>
    <mergeCell ref="M125:N125"/>
    <mergeCell ref="M126:N126"/>
    <mergeCell ref="M141:N141"/>
    <mergeCell ref="M142:N142"/>
    <mergeCell ref="M143:N143"/>
    <mergeCell ref="M144:N144"/>
    <mergeCell ref="M145:N145"/>
    <mergeCell ref="M146:N146"/>
    <mergeCell ref="M133:N133"/>
    <mergeCell ref="M134:N134"/>
    <mergeCell ref="M135:N135"/>
    <mergeCell ref="M138:N138"/>
    <mergeCell ref="M139:N139"/>
    <mergeCell ref="M140:N140"/>
    <mergeCell ref="M156:N156"/>
    <mergeCell ref="M157:N157"/>
    <mergeCell ref="M158:N158"/>
    <mergeCell ref="M159:N159"/>
    <mergeCell ref="M160:N160"/>
    <mergeCell ref="M161:N161"/>
    <mergeCell ref="M150:N150"/>
    <mergeCell ref="M151:N151"/>
    <mergeCell ref="M152:N152"/>
    <mergeCell ref="M153:N153"/>
    <mergeCell ref="M154:N154"/>
    <mergeCell ref="M155:N155"/>
    <mergeCell ref="M168:N168"/>
    <mergeCell ref="M169:N169"/>
    <mergeCell ref="M170:N170"/>
    <mergeCell ref="M171:N171"/>
    <mergeCell ref="M172:N172"/>
    <mergeCell ref="M173:N173"/>
    <mergeCell ref="M162:N162"/>
    <mergeCell ref="M163:N163"/>
    <mergeCell ref="M164:N164"/>
    <mergeCell ref="M165:N165"/>
    <mergeCell ref="M166:N166"/>
    <mergeCell ref="M167:N167"/>
    <mergeCell ref="M181:N181"/>
    <mergeCell ref="M182:N182"/>
    <mergeCell ref="M183:N183"/>
    <mergeCell ref="M184:N184"/>
    <mergeCell ref="M185:N185"/>
    <mergeCell ref="M186:N186"/>
    <mergeCell ref="M174:N174"/>
    <mergeCell ref="M175:N175"/>
    <mergeCell ref="M176:N176"/>
    <mergeCell ref="M177:N177"/>
    <mergeCell ref="M179:N179"/>
    <mergeCell ref="M180:N180"/>
    <mergeCell ref="M193:N193"/>
    <mergeCell ref="M194:N194"/>
    <mergeCell ref="M195:N195"/>
    <mergeCell ref="M196:N196"/>
    <mergeCell ref="M197:N197"/>
    <mergeCell ref="M198:N198"/>
    <mergeCell ref="M187:N187"/>
    <mergeCell ref="M188:N188"/>
    <mergeCell ref="M189:N189"/>
    <mergeCell ref="M190:N190"/>
    <mergeCell ref="M191:N191"/>
    <mergeCell ref="M192:N192"/>
    <mergeCell ref="M205:N205"/>
    <mergeCell ref="M206:N206"/>
    <mergeCell ref="M207:N207"/>
    <mergeCell ref="A208:A209"/>
    <mergeCell ref="B208:B209"/>
    <mergeCell ref="M208:N208"/>
    <mergeCell ref="M209:N209"/>
    <mergeCell ref="M199:N199"/>
    <mergeCell ref="M200:N200"/>
    <mergeCell ref="M201:N201"/>
    <mergeCell ref="M202:N202"/>
    <mergeCell ref="M203:N203"/>
    <mergeCell ref="M204:N204"/>
    <mergeCell ref="M220:N220"/>
    <mergeCell ref="M214:N214"/>
    <mergeCell ref="M215:N215"/>
    <mergeCell ref="M216:N216"/>
    <mergeCell ref="M217:N217"/>
    <mergeCell ref="M218:N218"/>
    <mergeCell ref="M219:N219"/>
    <mergeCell ref="M210:N210"/>
    <mergeCell ref="A211:A212"/>
    <mergeCell ref="B211:B212"/>
    <mergeCell ref="M211:N211"/>
    <mergeCell ref="M212:N212"/>
    <mergeCell ref="M213:N213"/>
  </mergeCells>
  <pageMargins left="0" right="0" top="0.94488188976377963" bottom="0.39370078740157483" header="0.31496062992125984" footer="0.31496062992125984"/>
  <pageSetup paperSize="9" scale="78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S239"/>
  <sheetViews>
    <sheetView workbookViewId="0">
      <pane xSplit="10" ySplit="15" topLeftCell="K197" activePane="bottomRight" state="frozen"/>
      <selection pane="topRight" activeCell="J1" sqref="J1"/>
      <selection pane="bottomLeft" activeCell="A16" sqref="A16"/>
      <selection pane="bottomRight" activeCell="H197" sqref="H197"/>
    </sheetView>
  </sheetViews>
  <sheetFormatPr defaultRowHeight="15"/>
  <cols>
    <col min="1" max="1" width="8.85546875" customWidth="1"/>
    <col min="2" max="2" width="38.42578125" customWidth="1"/>
    <col min="3" max="3" width="13.140625" customWidth="1"/>
    <col min="4" max="4" width="14.5703125" customWidth="1"/>
    <col min="5" max="5" width="13" customWidth="1"/>
    <col min="6" max="6" width="14.5703125" style="60" customWidth="1"/>
    <col min="7" max="8" width="15" customWidth="1"/>
    <col min="9" max="9" width="14.7109375" style="60" customWidth="1"/>
    <col min="10" max="10" width="15.85546875" customWidth="1"/>
    <col min="11" max="11" width="16.140625" customWidth="1"/>
    <col min="12" max="12" width="13.85546875" customWidth="1"/>
    <col min="13" max="13" width="14.85546875" hidden="1" customWidth="1"/>
    <col min="14" max="14" width="2" hidden="1" customWidth="1"/>
    <col min="15" max="15" width="13.42578125" customWidth="1"/>
    <col min="16" max="16" width="12.85546875" customWidth="1"/>
    <col min="17" max="17" width="13.28515625" customWidth="1"/>
    <col min="18" max="18" width="13.7109375" customWidth="1"/>
    <col min="19" max="19" width="11.85546875" customWidth="1"/>
  </cols>
  <sheetData>
    <row r="1" spans="1:19" ht="54" customHeight="1">
      <c r="A1" s="241" t="s">
        <v>226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</row>
    <row r="2" spans="1:19" ht="42.75" customHeight="1">
      <c r="A2" s="242" t="s">
        <v>325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Q2" s="30"/>
    </row>
    <row r="3" spans="1:19" ht="1.5" customHeight="1">
      <c r="A3" s="243"/>
      <c r="B3" s="243"/>
      <c r="C3" s="243"/>
      <c r="D3" s="96"/>
      <c r="E3" s="96"/>
      <c r="F3" s="96"/>
      <c r="G3" s="96"/>
      <c r="H3" s="29"/>
      <c r="I3" s="29"/>
      <c r="J3" s="29"/>
      <c r="K3" s="29"/>
      <c r="L3" s="29"/>
      <c r="M3" s="29"/>
      <c r="N3" s="29"/>
    </row>
    <row r="4" spans="1:19" ht="18.75">
      <c r="A4" s="244" t="s">
        <v>0</v>
      </c>
      <c r="B4" s="247" t="s">
        <v>1</v>
      </c>
      <c r="C4" s="244" t="s">
        <v>217</v>
      </c>
      <c r="D4" s="250" t="s">
        <v>304</v>
      </c>
      <c r="E4" s="251"/>
      <c r="F4" s="251"/>
      <c r="G4" s="252"/>
      <c r="H4" s="250" t="s">
        <v>227</v>
      </c>
      <c r="I4" s="251"/>
      <c r="J4" s="251"/>
      <c r="K4" s="251"/>
      <c r="L4" s="252"/>
      <c r="M4" s="253" t="s">
        <v>239</v>
      </c>
      <c r="N4" s="254"/>
    </row>
    <row r="5" spans="1:19" ht="15" customHeight="1">
      <c r="A5" s="245"/>
      <c r="B5" s="248"/>
      <c r="C5" s="245"/>
      <c r="D5" s="237" t="s">
        <v>305</v>
      </c>
      <c r="E5" s="237" t="s">
        <v>306</v>
      </c>
      <c r="F5" s="237" t="s">
        <v>229</v>
      </c>
      <c r="G5" s="237" t="s">
        <v>219</v>
      </c>
      <c r="H5" s="237" t="s">
        <v>305</v>
      </c>
      <c r="I5" s="237" t="s">
        <v>306</v>
      </c>
      <c r="J5" s="237" t="s">
        <v>229</v>
      </c>
      <c r="K5" s="237" t="s">
        <v>219</v>
      </c>
      <c r="L5" s="237" t="s">
        <v>236</v>
      </c>
      <c r="M5" s="255"/>
      <c r="N5" s="256"/>
      <c r="Q5" s="30">
        <f>F78+F81+F84</f>
        <v>31281.627</v>
      </c>
    </row>
    <row r="6" spans="1:19" ht="41.25" customHeight="1">
      <c r="A6" s="246"/>
      <c r="B6" s="249"/>
      <c r="C6" s="246"/>
      <c r="D6" s="238"/>
      <c r="E6" s="238"/>
      <c r="F6" s="238"/>
      <c r="G6" s="238"/>
      <c r="H6" s="238"/>
      <c r="I6" s="238"/>
      <c r="J6" s="238"/>
      <c r="K6" s="238"/>
      <c r="L6" s="238"/>
      <c r="M6" s="257"/>
      <c r="N6" s="258"/>
    </row>
    <row r="7" spans="1:19" ht="15.75" customHeight="1">
      <c r="A7" s="35">
        <v>1</v>
      </c>
      <c r="B7" s="35">
        <v>2</v>
      </c>
      <c r="C7" s="35">
        <v>3</v>
      </c>
      <c r="D7" s="35"/>
      <c r="E7" s="35"/>
      <c r="F7" s="35"/>
      <c r="G7" s="35"/>
      <c r="H7" s="35">
        <v>4</v>
      </c>
      <c r="I7" s="35">
        <v>5</v>
      </c>
      <c r="J7" s="35">
        <v>6</v>
      </c>
      <c r="K7" s="35"/>
      <c r="L7" s="35">
        <v>7</v>
      </c>
      <c r="M7" s="239">
        <v>8</v>
      </c>
      <c r="N7" s="240"/>
      <c r="O7" s="30">
        <f>J8-O8</f>
        <v>78361.888999999966</v>
      </c>
      <c r="P7">
        <v>272681.63099999999</v>
      </c>
      <c r="Q7" s="30">
        <f>J8-P7</f>
        <v>79002.343999999983</v>
      </c>
    </row>
    <row r="8" spans="1:19" ht="39" customHeight="1">
      <c r="A8" s="92" t="s">
        <v>2</v>
      </c>
      <c r="B8" s="6" t="s">
        <v>3</v>
      </c>
      <c r="C8" s="92" t="s">
        <v>4</v>
      </c>
      <c r="D8" s="7">
        <f>D9+D87+D93+D95+D97</f>
        <v>73170.115000000005</v>
      </c>
      <c r="E8" s="21">
        <f>E9+E87+E93+E95+E97</f>
        <v>68097.582999999999</v>
      </c>
      <c r="F8" s="7">
        <f>F9+F87+F93+F95+F97</f>
        <v>77872.522500000006</v>
      </c>
      <c r="G8" s="7">
        <f>F8-E8</f>
        <v>9774.9395000000077</v>
      </c>
      <c r="H8" s="7">
        <f>H9+H87+H93+H95+H97</f>
        <v>365850.57500000001</v>
      </c>
      <c r="I8" s="21">
        <f>I9+I87+I93+I95+I97</f>
        <v>340486.58199999999</v>
      </c>
      <c r="J8" s="7">
        <f>J9+J87+J93+J95+J97</f>
        <v>351683.97499999998</v>
      </c>
      <c r="K8" s="71">
        <f>J8-I8</f>
        <v>11197.392999999982</v>
      </c>
      <c r="L8" s="21">
        <f>K8/I8*100</f>
        <v>3.2886444259351109</v>
      </c>
      <c r="M8" s="220"/>
      <c r="N8" s="221"/>
      <c r="O8">
        <f>640.455+272681.631</f>
        <v>273322.08600000001</v>
      </c>
      <c r="P8">
        <f>D8*5</f>
        <v>365850.57500000001</v>
      </c>
      <c r="Q8" s="44">
        <f>E8+апр!I8</f>
        <v>340487.91499999998</v>
      </c>
      <c r="R8" s="30">
        <f>F8+апр!J8</f>
        <v>351683.97499999992</v>
      </c>
      <c r="S8" s="30">
        <f>J8-R8</f>
        <v>0</v>
      </c>
    </row>
    <row r="9" spans="1:19" ht="17.25" customHeight="1">
      <c r="A9" s="92" t="s">
        <v>5</v>
      </c>
      <c r="B9" s="6" t="s">
        <v>6</v>
      </c>
      <c r="C9" s="92" t="s">
        <v>4</v>
      </c>
      <c r="D9" s="7">
        <f>D10+D37+D72</f>
        <v>35732.106</v>
      </c>
      <c r="E9" s="21">
        <f>E10+E37+E72</f>
        <v>32135.084000000003</v>
      </c>
      <c r="F9" s="7">
        <f>F10+F37+F72</f>
        <v>41436.269999999997</v>
      </c>
      <c r="G9" s="7">
        <f>F9-E9</f>
        <v>9301.1859999999942</v>
      </c>
      <c r="H9" s="7">
        <f>H10+H37+H72</f>
        <v>178660.53000000003</v>
      </c>
      <c r="I9" s="21">
        <f>I10+I37+I72</f>
        <v>160675.42000000001</v>
      </c>
      <c r="J9" s="7">
        <f>J10+J37+J72</f>
        <v>180403.29199999999</v>
      </c>
      <c r="K9" s="21">
        <f>J9-I9</f>
        <v>19727.871999999974</v>
      </c>
      <c r="L9" s="21">
        <f>K9/I9*100</f>
        <v>12.278089579600895</v>
      </c>
      <c r="M9" s="220"/>
      <c r="N9" s="221"/>
      <c r="P9">
        <f t="shared" ref="P9:P72" si="0">D9*5</f>
        <v>178660.53</v>
      </c>
      <c r="Q9" s="44">
        <f>E9+апр!I9</f>
        <v>160675.42000000001</v>
      </c>
      <c r="R9" s="30">
        <f>F9+апр!J9</f>
        <v>180403.29199999999</v>
      </c>
    </row>
    <row r="10" spans="1:19" ht="17.25" customHeight="1">
      <c r="A10" s="8" t="s">
        <v>7</v>
      </c>
      <c r="B10" s="9" t="s">
        <v>8</v>
      </c>
      <c r="C10" s="8" t="s">
        <v>4</v>
      </c>
      <c r="D10" s="10">
        <f>D11+D30+D35</f>
        <v>7601.0440000000008</v>
      </c>
      <c r="E10" s="10">
        <f>E11+E30+E35</f>
        <v>5895.3339999999998</v>
      </c>
      <c r="F10" s="10">
        <f>F11+F30+F35</f>
        <v>6722.7729999999983</v>
      </c>
      <c r="G10" s="10">
        <f>F10-E10</f>
        <v>827.43899999999849</v>
      </c>
      <c r="H10" s="10">
        <f>H11+H30+H35</f>
        <v>38005.22</v>
      </c>
      <c r="I10" s="10">
        <f>I11+I30+I35</f>
        <v>29476.67</v>
      </c>
      <c r="J10" s="10">
        <f>J11+J30+J35</f>
        <v>29425.485000000001</v>
      </c>
      <c r="K10" s="10">
        <f>J10-I10</f>
        <v>-51.184999999997672</v>
      </c>
      <c r="L10" s="16">
        <f>K10/I10*100</f>
        <v>-0.17364580191723716</v>
      </c>
      <c r="M10" s="220"/>
      <c r="N10" s="221"/>
      <c r="P10">
        <f t="shared" si="0"/>
        <v>38005.22</v>
      </c>
      <c r="Q10" s="44">
        <f>E10+апр!I10</f>
        <v>29476.67</v>
      </c>
      <c r="R10" s="30">
        <f>F10+апр!J10</f>
        <v>29425.484999999997</v>
      </c>
    </row>
    <row r="11" spans="1:19" ht="17.25" customHeight="1">
      <c r="A11" s="8" t="s">
        <v>9</v>
      </c>
      <c r="B11" s="9" t="s">
        <v>10</v>
      </c>
      <c r="C11" s="8" t="s">
        <v>4</v>
      </c>
      <c r="D11" s="10">
        <f>D12+D15+D18+D21+D24+D27</f>
        <v>5032.2450000000008</v>
      </c>
      <c r="E11" s="8">
        <v>4970.0829999999996</v>
      </c>
      <c r="F11" s="10">
        <f>F12+F15+F18+F21+F24+F27</f>
        <v>6165.253999999999</v>
      </c>
      <c r="G11" s="10">
        <f t="shared" ref="G11:G74" si="1">F11-E11</f>
        <v>1195.1709999999994</v>
      </c>
      <c r="H11" s="10">
        <f>H12+H15+H18+H21+H24+H27</f>
        <v>25161.225000000002</v>
      </c>
      <c r="I11" s="8">
        <f>E11+апр!I11</f>
        <v>24850.414999999997</v>
      </c>
      <c r="J11" s="10">
        <f>J12+J15+J18+J21+J24+J27</f>
        <v>17911.669000000002</v>
      </c>
      <c r="K11" s="10">
        <f t="shared" ref="K11:K74" si="2">J11-I11</f>
        <v>-6938.7459999999955</v>
      </c>
      <c r="L11" s="16">
        <f t="shared" ref="L11:L72" si="3">K11/I11*100</f>
        <v>-27.922052810788056</v>
      </c>
      <c r="M11" s="220"/>
      <c r="N11" s="221"/>
      <c r="P11">
        <f t="shared" si="0"/>
        <v>25161.225000000006</v>
      </c>
      <c r="Q11" s="44">
        <f>E11+апр!I11</f>
        <v>24850.414999999997</v>
      </c>
      <c r="R11" s="30">
        <f>F11+апр!J11</f>
        <v>17911.669000000002</v>
      </c>
    </row>
    <row r="12" spans="1:19" ht="18.75" customHeight="1">
      <c r="A12" s="8" t="s">
        <v>11</v>
      </c>
      <c r="B12" s="9" t="s">
        <v>12</v>
      </c>
      <c r="C12" s="8" t="s">
        <v>4</v>
      </c>
      <c r="D12" s="10">
        <v>852.13199999999995</v>
      </c>
      <c r="E12" s="8"/>
      <c r="F12" s="10">
        <v>1256.386</v>
      </c>
      <c r="G12" s="10">
        <f t="shared" si="1"/>
        <v>1256.386</v>
      </c>
      <c r="H12" s="10">
        <f>D12+апр!H12</f>
        <v>4260.66</v>
      </c>
      <c r="I12" s="8"/>
      <c r="J12" s="10">
        <f>F12+апр!J12</f>
        <v>3575.9760000000001</v>
      </c>
      <c r="K12" s="10">
        <f t="shared" si="2"/>
        <v>3575.9760000000001</v>
      </c>
      <c r="L12" s="16"/>
      <c r="M12" s="222" t="s">
        <v>297</v>
      </c>
      <c r="N12" s="223"/>
      <c r="P12">
        <f t="shared" si="0"/>
        <v>4260.66</v>
      </c>
      <c r="Q12" s="44">
        <f>E12+апр!I12</f>
        <v>0</v>
      </c>
      <c r="R12" s="30">
        <f>F12+апр!J12</f>
        <v>3575.9760000000001</v>
      </c>
    </row>
    <row r="13" spans="1:19" ht="17.25" customHeight="1">
      <c r="A13" s="8"/>
      <c r="B13" s="12" t="s">
        <v>13</v>
      </c>
      <c r="C13" s="13" t="s">
        <v>14</v>
      </c>
      <c r="D13" s="14">
        <v>3667</v>
      </c>
      <c r="E13" s="13"/>
      <c r="F13" s="8">
        <v>4044</v>
      </c>
      <c r="G13" s="10">
        <f t="shared" si="1"/>
        <v>4044</v>
      </c>
      <c r="H13" s="14">
        <f>D13+апр!H13</f>
        <v>18335</v>
      </c>
      <c r="I13" s="8"/>
      <c r="J13" s="14">
        <f>F13+апр!J13</f>
        <v>11685</v>
      </c>
      <c r="K13" s="10">
        <f t="shared" si="2"/>
        <v>11685</v>
      </c>
      <c r="L13" s="16"/>
      <c r="M13" s="220"/>
      <c r="N13" s="221"/>
      <c r="P13">
        <f t="shared" si="0"/>
        <v>18335</v>
      </c>
      <c r="Q13" s="44">
        <f>E13+апр!I13</f>
        <v>0</v>
      </c>
      <c r="R13" s="30">
        <f>F13+апр!J13</f>
        <v>11685</v>
      </c>
    </row>
    <row r="14" spans="1:19" ht="17.25" customHeight="1">
      <c r="A14" s="15"/>
      <c r="B14" s="12" t="s">
        <v>15</v>
      </c>
      <c r="C14" s="13" t="s">
        <v>16</v>
      </c>
      <c r="D14" s="16">
        <f>D12/D13*1000</f>
        <v>232.37851104445048</v>
      </c>
      <c r="E14" s="16"/>
      <c r="F14" s="16">
        <f t="shared" ref="F14" si="4">F12/F13*1000</f>
        <v>310.6790306627102</v>
      </c>
      <c r="G14" s="10">
        <f t="shared" si="1"/>
        <v>310.6790306627102</v>
      </c>
      <c r="H14" s="16">
        <f>H12/H13*1000</f>
        <v>232.37851104445051</v>
      </c>
      <c r="I14" s="16"/>
      <c r="J14" s="16">
        <f t="shared" ref="J14" si="5">J12/J13*1000</f>
        <v>306.03132220795891</v>
      </c>
      <c r="K14" s="10">
        <f t="shared" si="2"/>
        <v>306.03132220795891</v>
      </c>
      <c r="L14" s="16"/>
      <c r="M14" s="220"/>
      <c r="N14" s="221"/>
      <c r="P14">
        <f t="shared" si="0"/>
        <v>1161.8925552222524</v>
      </c>
      <c r="Q14" s="44">
        <f>E14+апр!I14</f>
        <v>0</v>
      </c>
      <c r="R14" s="30">
        <f>F14+апр!J14</f>
        <v>614.25055271479755</v>
      </c>
    </row>
    <row r="15" spans="1:19" ht="17.25" customHeight="1">
      <c r="A15" s="8" t="s">
        <v>17</v>
      </c>
      <c r="B15" s="9" t="s">
        <v>18</v>
      </c>
      <c r="C15" s="8" t="s">
        <v>4</v>
      </c>
      <c r="D15" s="10">
        <v>2808.576</v>
      </c>
      <c r="E15" s="8"/>
      <c r="F15" s="10">
        <v>3206.8939999999998</v>
      </c>
      <c r="G15" s="10">
        <f t="shared" si="1"/>
        <v>3206.8939999999998</v>
      </c>
      <c r="H15" s="10">
        <f>D15+апр!H15</f>
        <v>14042.880000000001</v>
      </c>
      <c r="I15" s="8"/>
      <c r="J15" s="10">
        <f>F15+апр!J15</f>
        <v>8177.6990000000005</v>
      </c>
      <c r="K15" s="10">
        <f t="shared" si="2"/>
        <v>8177.6990000000005</v>
      </c>
      <c r="L15" s="16"/>
      <c r="M15" s="220"/>
      <c r="N15" s="221"/>
      <c r="P15">
        <f t="shared" si="0"/>
        <v>14042.880000000001</v>
      </c>
      <c r="Q15" s="44">
        <f>E15+апр!I15</f>
        <v>0</v>
      </c>
      <c r="R15" s="30">
        <f>F15+апр!J15</f>
        <v>8177.6990000000005</v>
      </c>
    </row>
    <row r="16" spans="1:19" ht="17.25" customHeight="1">
      <c r="A16" s="8"/>
      <c r="B16" s="12" t="s">
        <v>13</v>
      </c>
      <c r="C16" s="13" t="s">
        <v>14</v>
      </c>
      <c r="D16" s="14">
        <v>15000</v>
      </c>
      <c r="E16" s="13"/>
      <c r="F16" s="8">
        <v>25371</v>
      </c>
      <c r="G16" s="10">
        <f t="shared" si="1"/>
        <v>25371</v>
      </c>
      <c r="H16" s="14">
        <f>D16+апр!H16</f>
        <v>75000</v>
      </c>
      <c r="I16" s="8"/>
      <c r="J16" s="14">
        <f>F16+апр!J16</f>
        <v>64697</v>
      </c>
      <c r="K16" s="10">
        <f t="shared" si="2"/>
        <v>64697</v>
      </c>
      <c r="L16" s="16"/>
      <c r="M16" s="220"/>
      <c r="N16" s="221"/>
      <c r="P16">
        <f t="shared" si="0"/>
        <v>75000</v>
      </c>
      <c r="Q16" s="44">
        <f>E16+апр!I16</f>
        <v>0</v>
      </c>
      <c r="R16" s="30">
        <f>F16+апр!J16</f>
        <v>64697</v>
      </c>
    </row>
    <row r="17" spans="1:18" ht="17.25" customHeight="1">
      <c r="A17" s="8"/>
      <c r="B17" s="12" t="s">
        <v>15</v>
      </c>
      <c r="C17" s="13" t="s">
        <v>16</v>
      </c>
      <c r="D17" s="16">
        <f>D15/D16*1000</f>
        <v>187.23840000000001</v>
      </c>
      <c r="E17" s="16"/>
      <c r="F17" s="16">
        <f t="shared" ref="F17" si="6">F15/F16*1000</f>
        <v>126.3999842339679</v>
      </c>
      <c r="G17" s="10">
        <f t="shared" si="1"/>
        <v>126.3999842339679</v>
      </c>
      <c r="H17" s="16">
        <f>H15/H16*1000</f>
        <v>187.23840000000001</v>
      </c>
      <c r="I17" s="8"/>
      <c r="J17" s="13"/>
      <c r="K17" s="10">
        <f t="shared" si="2"/>
        <v>0</v>
      </c>
      <c r="L17" s="16"/>
      <c r="M17" s="220"/>
      <c r="N17" s="221"/>
      <c r="P17">
        <f t="shared" si="0"/>
        <v>936.19200000000001</v>
      </c>
      <c r="Q17" s="44">
        <f>E17+апр!I17</f>
        <v>0</v>
      </c>
      <c r="R17" s="30">
        <f>F17+апр!J17</f>
        <v>126.3999842339679</v>
      </c>
    </row>
    <row r="18" spans="1:18" ht="17.25" customHeight="1">
      <c r="A18" s="8" t="s">
        <v>19</v>
      </c>
      <c r="B18" s="9" t="s">
        <v>20</v>
      </c>
      <c r="C18" s="8" t="s">
        <v>4</v>
      </c>
      <c r="D18" s="10">
        <v>241.64599999999999</v>
      </c>
      <c r="E18" s="8"/>
      <c r="F18" s="10"/>
      <c r="G18" s="10">
        <f t="shared" si="1"/>
        <v>0</v>
      </c>
      <c r="H18" s="10">
        <f>D18+апр!H18</f>
        <v>1208.23</v>
      </c>
      <c r="I18" s="8"/>
      <c r="J18" s="10">
        <f>F18+апр!J18</f>
        <v>145.96</v>
      </c>
      <c r="K18" s="10">
        <f t="shared" si="2"/>
        <v>145.96</v>
      </c>
      <c r="L18" s="16"/>
      <c r="M18" s="220"/>
      <c r="N18" s="221"/>
      <c r="P18">
        <f t="shared" si="0"/>
        <v>1208.23</v>
      </c>
      <c r="Q18" s="44">
        <f>E18+апр!I18</f>
        <v>0</v>
      </c>
      <c r="R18" s="30">
        <f>F18+апр!J18</f>
        <v>145.96</v>
      </c>
    </row>
    <row r="19" spans="1:18" ht="17.25" customHeight="1">
      <c r="A19" s="8"/>
      <c r="B19" s="12" t="s">
        <v>13</v>
      </c>
      <c r="C19" s="13" t="s">
        <v>14</v>
      </c>
      <c r="D19" s="14">
        <v>1025</v>
      </c>
      <c r="E19" s="13"/>
      <c r="F19" s="8"/>
      <c r="G19" s="10">
        <f t="shared" si="1"/>
        <v>0</v>
      </c>
      <c r="H19" s="14">
        <f>D19+апр!H19</f>
        <v>5125</v>
      </c>
      <c r="I19" s="8"/>
      <c r="J19" s="14">
        <f>F19+апр!J19</f>
        <v>290</v>
      </c>
      <c r="K19" s="10">
        <f t="shared" si="2"/>
        <v>290</v>
      </c>
      <c r="L19" s="16"/>
      <c r="M19" s="220"/>
      <c r="N19" s="221"/>
      <c r="P19">
        <f t="shared" si="0"/>
        <v>5125</v>
      </c>
      <c r="Q19" s="44">
        <f>E19+апр!I19</f>
        <v>0</v>
      </c>
      <c r="R19" s="30">
        <f>F19+апр!J19</f>
        <v>290</v>
      </c>
    </row>
    <row r="20" spans="1:18" ht="17.25" customHeight="1">
      <c r="A20" s="8"/>
      <c r="B20" s="12" t="s">
        <v>15</v>
      </c>
      <c r="C20" s="13" t="s">
        <v>16</v>
      </c>
      <c r="D20" s="16">
        <f>D18/D19*1000</f>
        <v>235.75219512195119</v>
      </c>
      <c r="E20" s="16"/>
      <c r="F20" s="16" t="e">
        <f>F18/F19*1000</f>
        <v>#DIV/0!</v>
      </c>
      <c r="G20" s="10" t="e">
        <f t="shared" si="1"/>
        <v>#DIV/0!</v>
      </c>
      <c r="H20" s="16">
        <f>H18/H19*1000</f>
        <v>235.75219512195122</v>
      </c>
      <c r="I20" s="8"/>
      <c r="J20" s="58"/>
      <c r="K20" s="10">
        <f t="shared" si="2"/>
        <v>0</v>
      </c>
      <c r="L20" s="16"/>
      <c r="M20" s="220"/>
      <c r="N20" s="221"/>
      <c r="P20">
        <f t="shared" si="0"/>
        <v>1178.7609756097559</v>
      </c>
      <c r="Q20" s="44">
        <f>E20+апр!I20</f>
        <v>0</v>
      </c>
      <c r="R20" s="30" t="e">
        <f>F20+апр!J20</f>
        <v>#DIV/0!</v>
      </c>
    </row>
    <row r="21" spans="1:18" ht="17.25" customHeight="1">
      <c r="A21" s="8" t="s">
        <v>21</v>
      </c>
      <c r="B21" s="9" t="s">
        <v>22</v>
      </c>
      <c r="C21" s="8" t="s">
        <v>4</v>
      </c>
      <c r="D21" s="10">
        <v>750.73</v>
      </c>
      <c r="E21" s="8"/>
      <c r="F21" s="10">
        <v>984</v>
      </c>
      <c r="G21" s="10">
        <f t="shared" si="1"/>
        <v>984</v>
      </c>
      <c r="H21" s="10">
        <f>D21+апр!H21</f>
        <v>3753.65</v>
      </c>
      <c r="I21" s="8"/>
      <c r="J21" s="10">
        <f>F21+апр!J21</f>
        <v>4878.2199999999993</v>
      </c>
      <c r="K21" s="10">
        <f t="shared" si="2"/>
        <v>4878.2199999999993</v>
      </c>
      <c r="L21" s="16"/>
      <c r="M21" s="220"/>
      <c r="N21" s="221"/>
      <c r="P21">
        <f t="shared" si="0"/>
        <v>3753.65</v>
      </c>
      <c r="Q21" s="44">
        <f>E21+апр!I21</f>
        <v>0</v>
      </c>
      <c r="R21" s="30">
        <f>F21+апр!J21</f>
        <v>4878.2199999999993</v>
      </c>
    </row>
    <row r="22" spans="1:18" ht="17.25" customHeight="1">
      <c r="A22" s="8"/>
      <c r="B22" s="12" t="s">
        <v>13</v>
      </c>
      <c r="C22" s="13" t="s">
        <v>14</v>
      </c>
      <c r="D22" s="14">
        <v>5883</v>
      </c>
      <c r="E22" s="13"/>
      <c r="F22" s="8">
        <v>6000</v>
      </c>
      <c r="G22" s="10">
        <f t="shared" si="1"/>
        <v>6000</v>
      </c>
      <c r="H22" s="14">
        <f>D22+апр!H22</f>
        <v>29415</v>
      </c>
      <c r="I22" s="8"/>
      <c r="J22" s="14">
        <f>F22+апр!J22</f>
        <v>28790</v>
      </c>
      <c r="K22" s="10">
        <f t="shared" si="2"/>
        <v>28790</v>
      </c>
      <c r="L22" s="16"/>
      <c r="M22" s="220"/>
      <c r="N22" s="221"/>
      <c r="P22">
        <f t="shared" si="0"/>
        <v>29415</v>
      </c>
      <c r="Q22" s="44">
        <f>E22+апр!I22</f>
        <v>0</v>
      </c>
      <c r="R22" s="30">
        <f>F22+апр!J22</f>
        <v>28790</v>
      </c>
    </row>
    <row r="23" spans="1:18" ht="17.25" customHeight="1">
      <c r="A23" s="8"/>
      <c r="B23" s="12" t="s">
        <v>15</v>
      </c>
      <c r="C23" s="13" t="s">
        <v>16</v>
      </c>
      <c r="D23" s="16">
        <f>D21/D22*1000</f>
        <v>127.61006289308177</v>
      </c>
      <c r="E23" s="16" t="e">
        <f t="shared" ref="E23:F23" si="7">E21/E22*1000</f>
        <v>#DIV/0!</v>
      </c>
      <c r="F23" s="16">
        <f t="shared" si="7"/>
        <v>164</v>
      </c>
      <c r="G23" s="10" t="e">
        <f t="shared" si="1"/>
        <v>#DIV/0!</v>
      </c>
      <c r="H23" s="16">
        <f>H21/H22*1000</f>
        <v>127.61006289308177</v>
      </c>
      <c r="I23" s="8"/>
      <c r="J23" s="13"/>
      <c r="K23" s="10">
        <f t="shared" si="2"/>
        <v>0</v>
      </c>
      <c r="L23" s="16"/>
      <c r="M23" s="220"/>
      <c r="N23" s="221"/>
      <c r="P23">
        <f t="shared" si="0"/>
        <v>638.05031446540886</v>
      </c>
      <c r="Q23" s="44" t="e">
        <f>E23+апр!I23</f>
        <v>#DIV/0!</v>
      </c>
      <c r="R23" s="30">
        <f>F23+апр!J23</f>
        <v>164</v>
      </c>
    </row>
    <row r="24" spans="1:18" ht="17.25" customHeight="1">
      <c r="A24" s="8" t="s">
        <v>23</v>
      </c>
      <c r="B24" s="9" t="s">
        <v>24</v>
      </c>
      <c r="C24" s="8" t="s">
        <v>4</v>
      </c>
      <c r="D24" s="10">
        <v>165.005</v>
      </c>
      <c r="E24" s="8"/>
      <c r="F24" s="10">
        <v>67.573999999999998</v>
      </c>
      <c r="G24" s="10">
        <f t="shared" si="1"/>
        <v>67.573999999999998</v>
      </c>
      <c r="H24" s="10">
        <f>D24+апр!H24</f>
        <v>825.02499999999998</v>
      </c>
      <c r="I24" s="8"/>
      <c r="J24" s="10">
        <f>F24+апр!J24</f>
        <v>483.41399999999999</v>
      </c>
      <c r="K24" s="10">
        <f t="shared" si="2"/>
        <v>483.41399999999999</v>
      </c>
      <c r="L24" s="16"/>
      <c r="M24" s="220"/>
      <c r="N24" s="221"/>
      <c r="P24">
        <f t="shared" si="0"/>
        <v>825.02499999999998</v>
      </c>
      <c r="Q24" s="44">
        <f>E24+апр!I24</f>
        <v>0</v>
      </c>
      <c r="R24" s="30">
        <f>F24+апр!J24</f>
        <v>483.41399999999999</v>
      </c>
    </row>
    <row r="25" spans="1:18" ht="17.25" customHeight="1">
      <c r="A25" s="8"/>
      <c r="B25" s="12" t="s">
        <v>13</v>
      </c>
      <c r="C25" s="13" t="s">
        <v>14</v>
      </c>
      <c r="D25" s="14">
        <v>251</v>
      </c>
      <c r="E25" s="13"/>
      <c r="F25" s="8">
        <v>130</v>
      </c>
      <c r="G25" s="10">
        <f t="shared" si="1"/>
        <v>130</v>
      </c>
      <c r="H25" s="14">
        <f>D25+апр!H25</f>
        <v>1255</v>
      </c>
      <c r="I25" s="8"/>
      <c r="J25" s="14">
        <f>F25+апр!J25</f>
        <v>930</v>
      </c>
      <c r="K25" s="10">
        <f t="shared" si="2"/>
        <v>930</v>
      </c>
      <c r="L25" s="16"/>
      <c r="M25" s="220"/>
      <c r="N25" s="221"/>
      <c r="P25">
        <f t="shared" si="0"/>
        <v>1255</v>
      </c>
      <c r="Q25" s="44">
        <f>E25+апр!I25</f>
        <v>0</v>
      </c>
      <c r="R25" s="30">
        <f>F25+апр!J25</f>
        <v>930</v>
      </c>
    </row>
    <row r="26" spans="1:18" ht="17.25" customHeight="1">
      <c r="A26" s="8"/>
      <c r="B26" s="12" t="s">
        <v>15</v>
      </c>
      <c r="C26" s="13" t="s">
        <v>16</v>
      </c>
      <c r="D26" s="16">
        <f>D24/D25*1000</f>
        <v>657.39043824701196</v>
      </c>
      <c r="E26" s="16" t="e">
        <f t="shared" ref="E26:F26" si="8">E24/E25*1000</f>
        <v>#DIV/0!</v>
      </c>
      <c r="F26" s="16">
        <f t="shared" si="8"/>
        <v>519.80000000000007</v>
      </c>
      <c r="G26" s="10" t="e">
        <f t="shared" si="1"/>
        <v>#DIV/0!</v>
      </c>
      <c r="H26" s="16">
        <f>H24/H25*1000</f>
        <v>657.39043824701196</v>
      </c>
      <c r="I26" s="16"/>
      <c r="J26" s="16">
        <f t="shared" ref="J26" si="9">J24/J25*1000</f>
        <v>519.80000000000007</v>
      </c>
      <c r="K26" s="16"/>
      <c r="L26" s="16"/>
      <c r="M26" s="220"/>
      <c r="N26" s="221"/>
      <c r="P26">
        <f t="shared" si="0"/>
        <v>3286.9521912350597</v>
      </c>
      <c r="Q26" s="44" t="e">
        <f>E26+апр!I26</f>
        <v>#DIV/0!</v>
      </c>
      <c r="R26" s="30">
        <f>F26+апр!J26</f>
        <v>1039.5999999999999</v>
      </c>
    </row>
    <row r="27" spans="1:18" ht="17.25" customHeight="1">
      <c r="A27" s="8" t="s">
        <v>23</v>
      </c>
      <c r="B27" s="9" t="s">
        <v>25</v>
      </c>
      <c r="C27" s="8" t="s">
        <v>4</v>
      </c>
      <c r="D27" s="10">
        <v>214.15600000000001</v>
      </c>
      <c r="E27" s="8"/>
      <c r="F27" s="8">
        <v>650.4</v>
      </c>
      <c r="G27" s="10">
        <f t="shared" si="1"/>
        <v>650.4</v>
      </c>
      <c r="H27" s="10">
        <f>D27+апр!H27</f>
        <v>1070.78</v>
      </c>
      <c r="I27" s="8"/>
      <c r="J27" s="10">
        <f>F27+апр!J27</f>
        <v>650.4</v>
      </c>
      <c r="K27" s="10">
        <f t="shared" si="2"/>
        <v>650.4</v>
      </c>
      <c r="L27" s="16"/>
      <c r="M27" s="220"/>
      <c r="N27" s="221"/>
      <c r="P27">
        <f t="shared" si="0"/>
        <v>1070.78</v>
      </c>
      <c r="Q27" s="44">
        <f>E27+апр!I27</f>
        <v>0</v>
      </c>
      <c r="R27" s="30">
        <f>F27+апр!J27</f>
        <v>650.4</v>
      </c>
    </row>
    <row r="28" spans="1:18" ht="17.25" customHeight="1">
      <c r="A28" s="8"/>
      <c r="B28" s="12" t="s">
        <v>13</v>
      </c>
      <c r="C28" s="13" t="s">
        <v>14</v>
      </c>
      <c r="D28" s="14">
        <v>238</v>
      </c>
      <c r="E28" s="13"/>
      <c r="F28" s="8">
        <v>813</v>
      </c>
      <c r="G28" s="10">
        <f t="shared" si="1"/>
        <v>813</v>
      </c>
      <c r="H28" s="14">
        <f>D28+апр!H28</f>
        <v>1190</v>
      </c>
      <c r="I28" s="8"/>
      <c r="J28" s="14">
        <f>F28+апр!J28</f>
        <v>813</v>
      </c>
      <c r="K28" s="10">
        <f t="shared" si="2"/>
        <v>813</v>
      </c>
      <c r="L28" s="16"/>
      <c r="M28" s="220"/>
      <c r="N28" s="221"/>
      <c r="P28">
        <f t="shared" si="0"/>
        <v>1190</v>
      </c>
      <c r="Q28" s="44">
        <f>E28+апр!I28</f>
        <v>0</v>
      </c>
      <c r="R28" s="30">
        <f>F28+апр!J28</f>
        <v>813</v>
      </c>
    </row>
    <row r="29" spans="1:18" ht="17.25" customHeight="1">
      <c r="A29" s="8"/>
      <c r="B29" s="12" t="s">
        <v>15</v>
      </c>
      <c r="C29" s="13" t="s">
        <v>16</v>
      </c>
      <c r="D29" s="16">
        <f>D27/D28*1000</f>
        <v>899.81512605042019</v>
      </c>
      <c r="E29" s="13"/>
      <c r="F29" s="8"/>
      <c r="G29" s="10">
        <f t="shared" si="1"/>
        <v>0</v>
      </c>
      <c r="H29" s="16">
        <f>H27/H28*1000</f>
        <v>899.81512605042008</v>
      </c>
      <c r="I29" s="16"/>
      <c r="J29" s="16">
        <f t="shared" ref="J29" si="10">J27/J28*1000</f>
        <v>799.99999999999989</v>
      </c>
      <c r="K29" s="10">
        <f t="shared" si="2"/>
        <v>799.99999999999989</v>
      </c>
      <c r="L29" s="16"/>
      <c r="M29" s="220"/>
      <c r="N29" s="221"/>
      <c r="P29">
        <f t="shared" si="0"/>
        <v>4499.0756302521013</v>
      </c>
      <c r="Q29" s="44">
        <f>E29+апр!I29</f>
        <v>0</v>
      </c>
      <c r="R29" s="30" t="e">
        <f>F29+апр!J29</f>
        <v>#DIV/0!</v>
      </c>
    </row>
    <row r="30" spans="1:18" ht="17.25" customHeight="1">
      <c r="A30" s="18" t="s">
        <v>26</v>
      </c>
      <c r="B30" s="9" t="s">
        <v>27</v>
      </c>
      <c r="C30" s="8" t="s">
        <v>4</v>
      </c>
      <c r="D30" s="10">
        <f t="shared" ref="D30" si="11">D31+D32+D33+D34</f>
        <v>2406.0839999999998</v>
      </c>
      <c r="E30" s="8">
        <v>762.50099999999998</v>
      </c>
      <c r="F30" s="10">
        <f>F31+F32+F33+F34</f>
        <v>526.56100000000004</v>
      </c>
      <c r="G30" s="10">
        <f t="shared" si="1"/>
        <v>-235.93999999999994</v>
      </c>
      <c r="H30" s="10">
        <f t="shared" ref="H30" si="12">H31+H32+H33+H34</f>
        <v>12030.42</v>
      </c>
      <c r="I30" s="8">
        <f>E30+апр!I30</f>
        <v>3812.5050000000001</v>
      </c>
      <c r="J30" s="10">
        <f t="shared" ref="J30" si="13">J31+J32+J33+J34</f>
        <v>9699.3099999999977</v>
      </c>
      <c r="K30" s="10">
        <f t="shared" si="2"/>
        <v>5886.8049999999976</v>
      </c>
      <c r="L30" s="16">
        <f t="shared" si="3"/>
        <v>154.40779749797042</v>
      </c>
      <c r="M30" s="220"/>
      <c r="N30" s="221"/>
      <c r="P30">
        <f t="shared" si="0"/>
        <v>12030.419999999998</v>
      </c>
      <c r="Q30" s="44">
        <f>E30+апр!I30</f>
        <v>3812.5050000000001</v>
      </c>
      <c r="R30" s="30">
        <f>F30+апр!J30</f>
        <v>9699.31</v>
      </c>
    </row>
    <row r="31" spans="1:18" ht="35.25" customHeight="1">
      <c r="A31" s="18" t="s">
        <v>28</v>
      </c>
      <c r="B31" s="9" t="s">
        <v>29</v>
      </c>
      <c r="C31" s="8" t="s">
        <v>4</v>
      </c>
      <c r="D31" s="10">
        <v>2288.5219999999999</v>
      </c>
      <c r="E31" s="8"/>
      <c r="F31" s="8">
        <v>409.738</v>
      </c>
      <c r="G31" s="10">
        <f t="shared" si="1"/>
        <v>409.738</v>
      </c>
      <c r="H31" s="10">
        <f>D31+апр!H31</f>
        <v>11442.61</v>
      </c>
      <c r="I31" s="8"/>
      <c r="J31" s="10">
        <f>F31+апр!J31</f>
        <v>9183.1729999999989</v>
      </c>
      <c r="K31" s="10">
        <f t="shared" si="2"/>
        <v>9183.1729999999989</v>
      </c>
      <c r="L31" s="16"/>
      <c r="M31" s="220"/>
      <c r="N31" s="221"/>
      <c r="P31">
        <f t="shared" si="0"/>
        <v>11442.61</v>
      </c>
      <c r="Q31" s="44">
        <f>E31+апр!I31</f>
        <v>0</v>
      </c>
      <c r="R31" s="30">
        <f>F31+апр!J31</f>
        <v>9183.1729999999989</v>
      </c>
    </row>
    <row r="32" spans="1:18" ht="51.75" customHeight="1">
      <c r="A32" s="18" t="s">
        <v>30</v>
      </c>
      <c r="B32" s="9" t="s">
        <v>31</v>
      </c>
      <c r="C32" s="8" t="s">
        <v>4</v>
      </c>
      <c r="D32" s="10">
        <v>60.337000000000003</v>
      </c>
      <c r="E32" s="8"/>
      <c r="F32" s="10">
        <v>44.076999999999998</v>
      </c>
      <c r="G32" s="10">
        <f t="shared" si="1"/>
        <v>44.076999999999998</v>
      </c>
      <c r="H32" s="10">
        <f>D32+апр!H32</f>
        <v>301.685</v>
      </c>
      <c r="I32" s="8"/>
      <c r="J32" s="10">
        <f>F32+апр!J32</f>
        <v>312.10699999999997</v>
      </c>
      <c r="K32" s="10">
        <f t="shared" si="2"/>
        <v>312.10699999999997</v>
      </c>
      <c r="L32" s="16"/>
      <c r="M32" s="222" t="s">
        <v>285</v>
      </c>
      <c r="N32" s="223"/>
      <c r="P32">
        <f t="shared" si="0"/>
        <v>301.685</v>
      </c>
      <c r="Q32" s="44">
        <f>E32+апр!I32</f>
        <v>0</v>
      </c>
      <c r="R32" s="30">
        <f>F32+апр!J32</f>
        <v>312.10699999999997</v>
      </c>
    </row>
    <row r="33" spans="1:18" ht="17.25" customHeight="1">
      <c r="A33" s="18" t="s">
        <v>32</v>
      </c>
      <c r="B33" s="9" t="s">
        <v>33</v>
      </c>
      <c r="C33" s="8" t="s">
        <v>4</v>
      </c>
      <c r="D33" s="10">
        <v>19.736999999999998</v>
      </c>
      <c r="E33" s="8"/>
      <c r="F33" s="8">
        <v>70.069000000000003</v>
      </c>
      <c r="G33" s="10">
        <f t="shared" si="1"/>
        <v>70.069000000000003</v>
      </c>
      <c r="H33" s="10">
        <f>D33+апр!H33</f>
        <v>98.684999999999988</v>
      </c>
      <c r="I33" s="8"/>
      <c r="J33" s="10">
        <f>F33+апр!J33</f>
        <v>119.595</v>
      </c>
      <c r="K33" s="10">
        <f t="shared" si="2"/>
        <v>119.595</v>
      </c>
      <c r="L33" s="16"/>
      <c r="M33" s="220"/>
      <c r="N33" s="221"/>
      <c r="P33">
        <f t="shared" si="0"/>
        <v>98.684999999999988</v>
      </c>
      <c r="Q33" s="44">
        <f>E33+апр!I33</f>
        <v>0</v>
      </c>
      <c r="R33" s="30">
        <f>F33+апр!J33</f>
        <v>119.595</v>
      </c>
    </row>
    <row r="34" spans="1:18" ht="33" customHeight="1">
      <c r="A34" s="18" t="s">
        <v>34</v>
      </c>
      <c r="B34" s="9" t="s">
        <v>35</v>
      </c>
      <c r="C34" s="8" t="s">
        <v>4</v>
      </c>
      <c r="D34" s="10">
        <v>37.488</v>
      </c>
      <c r="E34" s="8"/>
      <c r="F34" s="8">
        <v>2.677</v>
      </c>
      <c r="G34" s="10">
        <f t="shared" si="1"/>
        <v>2.677</v>
      </c>
      <c r="H34" s="10">
        <f>D34+апр!H34</f>
        <v>187.44</v>
      </c>
      <c r="I34" s="8"/>
      <c r="J34" s="10">
        <f>F34+апр!J34</f>
        <v>84.435000000000016</v>
      </c>
      <c r="K34" s="10">
        <f t="shared" si="2"/>
        <v>84.435000000000016</v>
      </c>
      <c r="L34" s="16"/>
      <c r="M34" s="220"/>
      <c r="N34" s="221"/>
      <c r="P34">
        <f t="shared" si="0"/>
        <v>187.44</v>
      </c>
      <c r="Q34" s="44">
        <f>E34+апр!I34</f>
        <v>0</v>
      </c>
      <c r="R34" s="30">
        <f>F34+апр!J34</f>
        <v>84.435000000000016</v>
      </c>
    </row>
    <row r="35" spans="1:18" ht="17.25" customHeight="1">
      <c r="A35" s="18" t="s">
        <v>36</v>
      </c>
      <c r="B35" s="9" t="s">
        <v>37</v>
      </c>
      <c r="C35" s="8" t="s">
        <v>4</v>
      </c>
      <c r="D35" s="10">
        <f t="shared" ref="D35:J35" si="14">D36</f>
        <v>162.715</v>
      </c>
      <c r="E35" s="10">
        <f t="shared" si="14"/>
        <v>162.75</v>
      </c>
      <c r="F35" s="10">
        <f t="shared" si="14"/>
        <v>30.957999999999998</v>
      </c>
      <c r="G35" s="10">
        <f t="shared" si="1"/>
        <v>-131.792</v>
      </c>
      <c r="H35" s="10">
        <f t="shared" si="14"/>
        <v>813.57500000000005</v>
      </c>
      <c r="I35" s="10">
        <f t="shared" si="14"/>
        <v>813.75</v>
      </c>
      <c r="J35" s="10">
        <f t="shared" si="14"/>
        <v>1814.5060000000001</v>
      </c>
      <c r="K35" s="10">
        <f t="shared" si="2"/>
        <v>1000.7560000000001</v>
      </c>
      <c r="L35" s="16">
        <f t="shared" si="3"/>
        <v>122.98076804915516</v>
      </c>
      <c r="M35" s="220"/>
      <c r="N35" s="221"/>
      <c r="P35">
        <f t="shared" si="0"/>
        <v>813.57500000000005</v>
      </c>
      <c r="Q35" s="44">
        <f>E35+апр!I35</f>
        <v>813.75</v>
      </c>
      <c r="R35" s="30">
        <f>F35+апр!J35</f>
        <v>1814.5060000000001</v>
      </c>
    </row>
    <row r="36" spans="1:18" ht="17.25" customHeight="1">
      <c r="A36" s="8" t="s">
        <v>38</v>
      </c>
      <c r="B36" s="9" t="s">
        <v>39</v>
      </c>
      <c r="C36" s="8" t="s">
        <v>4</v>
      </c>
      <c r="D36" s="10">
        <v>162.715</v>
      </c>
      <c r="E36" s="8">
        <v>162.75</v>
      </c>
      <c r="F36" s="10">
        <v>30.957999999999998</v>
      </c>
      <c r="G36" s="10">
        <f t="shared" si="1"/>
        <v>-131.792</v>
      </c>
      <c r="H36" s="10">
        <f>D36+апр!H36</f>
        <v>813.57500000000005</v>
      </c>
      <c r="I36" s="8">
        <f>E36+апр!I36</f>
        <v>813.75</v>
      </c>
      <c r="J36" s="10">
        <f>F36+апр!J36</f>
        <v>1814.5060000000001</v>
      </c>
      <c r="K36" s="10">
        <f t="shared" si="2"/>
        <v>1000.7560000000001</v>
      </c>
      <c r="L36" s="16">
        <f t="shared" si="3"/>
        <v>122.98076804915516</v>
      </c>
      <c r="M36" s="220"/>
      <c r="N36" s="221"/>
      <c r="P36">
        <f t="shared" si="0"/>
        <v>813.57500000000005</v>
      </c>
      <c r="Q36" s="44">
        <f>E36+апр!I36</f>
        <v>813.75</v>
      </c>
      <c r="R36" s="30">
        <f>F36+апр!J36</f>
        <v>1814.5060000000001</v>
      </c>
    </row>
    <row r="37" spans="1:18" ht="17.25" customHeight="1">
      <c r="A37" s="18" t="s">
        <v>40</v>
      </c>
      <c r="B37" s="9" t="s">
        <v>41</v>
      </c>
      <c r="C37" s="8" t="s">
        <v>4</v>
      </c>
      <c r="D37" s="10">
        <f>D38+D41+D48+D51</f>
        <v>1613.3909999999998</v>
      </c>
      <c r="E37" s="8">
        <v>1933.0830000000001</v>
      </c>
      <c r="F37" s="10">
        <f>F38+F41+F48+F51</f>
        <v>1114.384</v>
      </c>
      <c r="G37" s="10">
        <f t="shared" si="1"/>
        <v>-818.69900000000007</v>
      </c>
      <c r="H37" s="10">
        <f>H38+H41+H48+H51</f>
        <v>8066.9549999999999</v>
      </c>
      <c r="I37" s="8">
        <f>E37+апр!I37</f>
        <v>9665.4150000000009</v>
      </c>
      <c r="J37" s="10">
        <f>J38+J41+J48+J51</f>
        <v>11166.116</v>
      </c>
      <c r="K37" s="10">
        <f t="shared" si="2"/>
        <v>1500.7009999999991</v>
      </c>
      <c r="L37" s="16">
        <f t="shared" si="3"/>
        <v>15.526503517955504</v>
      </c>
      <c r="M37" s="220"/>
      <c r="N37" s="221"/>
      <c r="P37">
        <f t="shared" si="0"/>
        <v>8066.954999999999</v>
      </c>
      <c r="Q37" s="44">
        <f>E37+апр!I37</f>
        <v>9665.4150000000009</v>
      </c>
      <c r="R37" s="30">
        <f>F37+апр!J37</f>
        <v>11166.116</v>
      </c>
    </row>
    <row r="38" spans="1:18" ht="17.25" customHeight="1">
      <c r="A38" s="18" t="s">
        <v>42</v>
      </c>
      <c r="B38" s="9" t="s">
        <v>43</v>
      </c>
      <c r="C38" s="8" t="s">
        <v>4</v>
      </c>
      <c r="D38" s="10">
        <v>707.32500000000005</v>
      </c>
      <c r="E38" s="8">
        <v>707.33299999999997</v>
      </c>
      <c r="F38" s="8">
        <v>105.842</v>
      </c>
      <c r="G38" s="10">
        <f t="shared" si="1"/>
        <v>-601.49099999999999</v>
      </c>
      <c r="H38" s="10">
        <f>D38+апр!H38</f>
        <v>3536.625</v>
      </c>
      <c r="I38" s="8">
        <f>E38+апр!I38</f>
        <v>3536.665</v>
      </c>
      <c r="J38" s="10">
        <f>F38+апр!J38</f>
        <v>5653.2079999999996</v>
      </c>
      <c r="K38" s="10">
        <f t="shared" si="2"/>
        <v>2116.5429999999997</v>
      </c>
      <c r="L38" s="16">
        <f t="shared" si="3"/>
        <v>59.845730370278204</v>
      </c>
      <c r="M38" s="220"/>
      <c r="N38" s="221"/>
      <c r="P38">
        <f t="shared" si="0"/>
        <v>3536.625</v>
      </c>
      <c r="Q38" s="44">
        <f>E38+апр!I38</f>
        <v>3536.665</v>
      </c>
      <c r="R38" s="30">
        <f>F38+апр!J38</f>
        <v>5653.2079999999996</v>
      </c>
    </row>
    <row r="39" spans="1:18" ht="17.25" customHeight="1">
      <c r="A39" s="8"/>
      <c r="B39" s="12" t="s">
        <v>13</v>
      </c>
      <c r="C39" s="13" t="s">
        <v>44</v>
      </c>
      <c r="D39" s="14">
        <v>87</v>
      </c>
      <c r="E39" s="13"/>
      <c r="F39" s="8">
        <v>17</v>
      </c>
      <c r="G39" s="10">
        <f t="shared" si="1"/>
        <v>17</v>
      </c>
      <c r="H39" s="14">
        <f>D39+апр!H39</f>
        <v>435</v>
      </c>
      <c r="I39" s="8"/>
      <c r="J39" s="14">
        <f>F39+апр!J39</f>
        <v>908</v>
      </c>
      <c r="K39" s="10">
        <f t="shared" si="2"/>
        <v>908</v>
      </c>
      <c r="L39" s="16"/>
      <c r="M39" s="220"/>
      <c r="N39" s="221"/>
      <c r="P39">
        <f t="shared" si="0"/>
        <v>435</v>
      </c>
      <c r="Q39" s="44">
        <f>E39+апр!I39</f>
        <v>0</v>
      </c>
      <c r="R39" s="30">
        <f>F39+апр!J39</f>
        <v>908</v>
      </c>
    </row>
    <row r="40" spans="1:18" ht="17.25" customHeight="1">
      <c r="A40" s="8"/>
      <c r="B40" s="12" t="s">
        <v>15</v>
      </c>
      <c r="C40" s="13" t="s">
        <v>16</v>
      </c>
      <c r="D40" s="16">
        <f>D38/D39*1000</f>
        <v>8130.1724137931051</v>
      </c>
      <c r="E40" s="16"/>
      <c r="F40" s="16">
        <f t="shared" ref="F40" si="15">F38/F39*1000</f>
        <v>6226</v>
      </c>
      <c r="G40" s="10">
        <f t="shared" si="1"/>
        <v>6226</v>
      </c>
      <c r="H40" s="16">
        <f>H38/H39*1000</f>
        <v>8130.1724137931033</v>
      </c>
      <c r="I40" s="16"/>
      <c r="J40" s="16">
        <f t="shared" ref="J40" si="16">J38/J39*1000</f>
        <v>6226</v>
      </c>
      <c r="K40" s="10">
        <f t="shared" si="2"/>
        <v>6226</v>
      </c>
      <c r="L40" s="16"/>
      <c r="M40" s="220"/>
      <c r="N40" s="221"/>
      <c r="P40">
        <f t="shared" si="0"/>
        <v>40650.862068965522</v>
      </c>
      <c r="Q40" s="44">
        <f>E40+апр!I40</f>
        <v>0</v>
      </c>
      <c r="R40" s="30">
        <f>F40+апр!J40</f>
        <v>12452</v>
      </c>
    </row>
    <row r="41" spans="1:18" ht="17.25" customHeight="1">
      <c r="A41" s="18" t="s">
        <v>45</v>
      </c>
      <c r="B41" s="9" t="s">
        <v>46</v>
      </c>
      <c r="C41" s="8" t="s">
        <v>4</v>
      </c>
      <c r="D41" s="10">
        <f t="shared" ref="D41:F41" si="17">D42+D45</f>
        <v>315.00200000000001</v>
      </c>
      <c r="E41" s="10">
        <f t="shared" si="17"/>
        <v>0</v>
      </c>
      <c r="F41" s="10">
        <f t="shared" si="17"/>
        <v>293.08800000000002</v>
      </c>
      <c r="G41" s="10">
        <f t="shared" si="1"/>
        <v>293.08800000000002</v>
      </c>
      <c r="H41" s="10">
        <f t="shared" ref="H41:J41" si="18">H42+H45</f>
        <v>1575.01</v>
      </c>
      <c r="I41" s="10">
        <f t="shared" si="18"/>
        <v>0</v>
      </c>
      <c r="J41" s="10">
        <f t="shared" si="18"/>
        <v>1730.146</v>
      </c>
      <c r="K41" s="10">
        <f t="shared" si="2"/>
        <v>1730.146</v>
      </c>
      <c r="L41" s="16"/>
      <c r="M41" s="220"/>
      <c r="N41" s="221"/>
      <c r="P41">
        <f t="shared" si="0"/>
        <v>1575.01</v>
      </c>
      <c r="Q41" s="44">
        <f>E41+апр!I41</f>
        <v>0</v>
      </c>
      <c r="R41" s="30">
        <f>F41+апр!J41</f>
        <v>1730.146</v>
      </c>
    </row>
    <row r="42" spans="1:18" ht="16.5" customHeight="1">
      <c r="A42" s="8"/>
      <c r="B42" s="9" t="s">
        <v>47</v>
      </c>
      <c r="C42" s="8" t="s">
        <v>4</v>
      </c>
      <c r="D42" s="10">
        <v>152.298</v>
      </c>
      <c r="E42" s="8"/>
      <c r="F42" s="8"/>
      <c r="G42" s="10">
        <f t="shared" si="1"/>
        <v>0</v>
      </c>
      <c r="H42" s="10">
        <f>D42+апр!H42</f>
        <v>761.49</v>
      </c>
      <c r="I42" s="8"/>
      <c r="J42" s="10">
        <f>F42+апр!J42</f>
        <v>0</v>
      </c>
      <c r="K42" s="10">
        <f t="shared" si="2"/>
        <v>0</v>
      </c>
      <c r="L42" s="16"/>
      <c r="M42" s="233" t="s">
        <v>286</v>
      </c>
      <c r="N42" s="234"/>
      <c r="P42">
        <f t="shared" si="0"/>
        <v>761.49</v>
      </c>
      <c r="Q42" s="44">
        <f>E42+апр!I42</f>
        <v>0</v>
      </c>
      <c r="R42" s="30">
        <f>F42+апр!J42</f>
        <v>0</v>
      </c>
    </row>
    <row r="43" spans="1:18" ht="17.25" customHeight="1">
      <c r="A43" s="8"/>
      <c r="B43" s="12" t="s">
        <v>48</v>
      </c>
      <c r="C43" s="13" t="s">
        <v>49</v>
      </c>
      <c r="D43" s="14">
        <v>1917</v>
      </c>
      <c r="E43" s="13"/>
      <c r="F43" s="8"/>
      <c r="G43" s="10">
        <f t="shared" si="1"/>
        <v>0</v>
      </c>
      <c r="H43" s="14">
        <f>D43+апр!H43</f>
        <v>9585</v>
      </c>
      <c r="I43" s="8"/>
      <c r="J43" s="14">
        <f>F43+апр!J43</f>
        <v>0</v>
      </c>
      <c r="K43" s="10">
        <f t="shared" si="2"/>
        <v>0</v>
      </c>
      <c r="L43" s="16"/>
      <c r="M43" s="235"/>
      <c r="N43" s="236"/>
      <c r="P43">
        <f t="shared" si="0"/>
        <v>9585</v>
      </c>
      <c r="Q43" s="44">
        <f>E43+апр!I43</f>
        <v>0</v>
      </c>
      <c r="R43" s="30">
        <f>F43+апр!J43</f>
        <v>0</v>
      </c>
    </row>
    <row r="44" spans="1:18" ht="17.25" customHeight="1">
      <c r="A44" s="8"/>
      <c r="B44" s="12" t="s">
        <v>15</v>
      </c>
      <c r="C44" s="13" t="s">
        <v>16</v>
      </c>
      <c r="D44" s="16">
        <f>D42/D43*1000</f>
        <v>79.44600938967136</v>
      </c>
      <c r="E44" s="13"/>
      <c r="F44" s="8"/>
      <c r="G44" s="10">
        <f t="shared" si="1"/>
        <v>0</v>
      </c>
      <c r="H44" s="16">
        <f>H42/H43*1000</f>
        <v>79.44600938967136</v>
      </c>
      <c r="I44" s="16"/>
      <c r="J44" s="16" t="e">
        <f t="shared" ref="J44" si="19">J42/J43*1000</f>
        <v>#DIV/0!</v>
      </c>
      <c r="K44" s="10" t="e">
        <f t="shared" si="2"/>
        <v>#DIV/0!</v>
      </c>
      <c r="L44" s="16"/>
      <c r="M44" s="220"/>
      <c r="N44" s="221"/>
      <c r="P44">
        <f t="shared" si="0"/>
        <v>397.2300469483568</v>
      </c>
      <c r="Q44" s="44">
        <f>E44+апр!I44</f>
        <v>0</v>
      </c>
      <c r="R44" s="30" t="e">
        <f>F44+апр!J44</f>
        <v>#DIV/0!</v>
      </c>
    </row>
    <row r="45" spans="1:18" ht="17.25" customHeight="1">
      <c r="A45" s="8"/>
      <c r="B45" s="19" t="s">
        <v>50</v>
      </c>
      <c r="C45" s="8" t="s">
        <v>4</v>
      </c>
      <c r="D45" s="10">
        <v>162.70400000000001</v>
      </c>
      <c r="E45" s="8"/>
      <c r="F45" s="10">
        <v>293.08800000000002</v>
      </c>
      <c r="G45" s="10">
        <f t="shared" si="1"/>
        <v>293.08800000000002</v>
      </c>
      <c r="H45" s="10">
        <f>D45+апр!H45</f>
        <v>813.52</v>
      </c>
      <c r="I45" s="8">
        <f>E45+апр!I45</f>
        <v>0</v>
      </c>
      <c r="J45" s="10">
        <f>F45+апр!J45</f>
        <v>1730.146</v>
      </c>
      <c r="K45" s="10">
        <f t="shared" si="2"/>
        <v>1730.146</v>
      </c>
      <c r="L45" s="16"/>
      <c r="M45" s="220"/>
      <c r="N45" s="221"/>
      <c r="P45">
        <f t="shared" si="0"/>
        <v>813.52</v>
      </c>
      <c r="Q45" s="44">
        <f>E45+апр!I45</f>
        <v>0</v>
      </c>
      <c r="R45" s="30">
        <f>F45+апр!J45</f>
        <v>1730.146</v>
      </c>
    </row>
    <row r="46" spans="1:18" ht="17.25" customHeight="1">
      <c r="A46" s="8"/>
      <c r="B46" s="12" t="s">
        <v>51</v>
      </c>
      <c r="C46" s="13" t="s">
        <v>49</v>
      </c>
      <c r="D46" s="14">
        <v>1417</v>
      </c>
      <c r="E46" s="13"/>
      <c r="F46" s="8">
        <v>2066</v>
      </c>
      <c r="G46" s="10">
        <f t="shared" si="1"/>
        <v>2066</v>
      </c>
      <c r="H46" s="14">
        <f>D46+апр!H46</f>
        <v>7085</v>
      </c>
      <c r="I46" s="8"/>
      <c r="J46" s="14">
        <f>F46+апр!J46</f>
        <v>12188</v>
      </c>
      <c r="K46" s="10">
        <f t="shared" si="2"/>
        <v>12188</v>
      </c>
      <c r="L46" s="16"/>
      <c r="M46" s="220"/>
      <c r="N46" s="221"/>
      <c r="P46">
        <f t="shared" si="0"/>
        <v>7085</v>
      </c>
      <c r="Q46" s="44">
        <f>E46+апр!I46</f>
        <v>0</v>
      </c>
      <c r="R46" s="30">
        <f>F46+апр!J46</f>
        <v>12188</v>
      </c>
    </row>
    <row r="47" spans="1:18" ht="17.25" customHeight="1">
      <c r="A47" s="8"/>
      <c r="B47" s="12" t="s">
        <v>15</v>
      </c>
      <c r="C47" s="13" t="s">
        <v>16</v>
      </c>
      <c r="D47" s="16">
        <f>D45/D46*1000</f>
        <v>114.82286520818631</v>
      </c>
      <c r="E47" s="16"/>
      <c r="F47" s="16">
        <f t="shared" ref="F47" si="20">F45/F46*1000</f>
        <v>141.86253630203294</v>
      </c>
      <c r="G47" s="10">
        <f t="shared" si="1"/>
        <v>141.86253630203294</v>
      </c>
      <c r="H47" s="16">
        <f>H45/H46*1000</f>
        <v>114.82286520818631</v>
      </c>
      <c r="I47" s="16"/>
      <c r="J47" s="16">
        <f t="shared" ref="J47" si="21">J45/J46*1000</f>
        <v>141.95487364620936</v>
      </c>
      <c r="K47" s="10">
        <f t="shared" si="2"/>
        <v>141.95487364620936</v>
      </c>
      <c r="L47" s="16"/>
      <c r="M47" s="220"/>
      <c r="N47" s="221"/>
      <c r="P47">
        <f t="shared" si="0"/>
        <v>574.11432604093159</v>
      </c>
      <c r="Q47" s="44">
        <f>E47+апр!I47</f>
        <v>0</v>
      </c>
      <c r="R47" s="30">
        <f>F47+апр!J47</f>
        <v>283.83625691060831</v>
      </c>
    </row>
    <row r="48" spans="1:18" ht="17.25" customHeight="1">
      <c r="A48" s="18" t="s">
        <v>52</v>
      </c>
      <c r="B48" s="9" t="s">
        <v>53</v>
      </c>
      <c r="C48" s="8" t="s">
        <v>4</v>
      </c>
      <c r="D48" s="10">
        <v>515.60799999999995</v>
      </c>
      <c r="E48" s="8"/>
      <c r="F48" s="8">
        <f>8.053+695.682</f>
        <v>703.73500000000001</v>
      </c>
      <c r="G48" s="10">
        <f t="shared" si="1"/>
        <v>703.73500000000001</v>
      </c>
      <c r="H48" s="10">
        <f>D48+апр!H48</f>
        <v>2578.04</v>
      </c>
      <c r="I48" s="8"/>
      <c r="J48" s="10">
        <f>F48+апр!J48</f>
        <v>3649.8940000000007</v>
      </c>
      <c r="K48" s="10">
        <f t="shared" si="2"/>
        <v>3649.8940000000007</v>
      </c>
      <c r="L48" s="16"/>
      <c r="M48" s="220"/>
      <c r="N48" s="221"/>
      <c r="P48">
        <f t="shared" si="0"/>
        <v>2578.04</v>
      </c>
      <c r="Q48" s="44">
        <f>E48+апр!I48</f>
        <v>0</v>
      </c>
      <c r="R48" s="30">
        <f>F48+апр!J48</f>
        <v>3649.8940000000007</v>
      </c>
    </row>
    <row r="49" spans="1:18" ht="17.25" customHeight="1">
      <c r="A49" s="8"/>
      <c r="B49" s="12" t="s">
        <v>13</v>
      </c>
      <c r="C49" s="13" t="s">
        <v>49</v>
      </c>
      <c r="D49" s="14">
        <v>5833</v>
      </c>
      <c r="E49" s="13"/>
      <c r="F49" s="8">
        <v>4866</v>
      </c>
      <c r="G49" s="10">
        <f t="shared" si="1"/>
        <v>4866</v>
      </c>
      <c r="H49" s="14">
        <f>D49+апр!H49</f>
        <v>29165</v>
      </c>
      <c r="I49" s="8"/>
      <c r="J49" s="14">
        <f>F49+апр!J49</f>
        <v>23189</v>
      </c>
      <c r="K49" s="10">
        <f t="shared" si="2"/>
        <v>23189</v>
      </c>
      <c r="L49" s="16"/>
      <c r="M49" s="220"/>
      <c r="N49" s="221"/>
      <c r="P49">
        <f t="shared" si="0"/>
        <v>29165</v>
      </c>
      <c r="Q49" s="44">
        <f>E49+апр!I49</f>
        <v>0</v>
      </c>
      <c r="R49" s="30">
        <f>F49+апр!J49</f>
        <v>23189</v>
      </c>
    </row>
    <row r="50" spans="1:18" ht="17.25" customHeight="1">
      <c r="A50" s="8"/>
      <c r="B50" s="12" t="s">
        <v>15</v>
      </c>
      <c r="C50" s="13" t="s">
        <v>16</v>
      </c>
      <c r="D50" s="16">
        <f>D48/D49*1000</f>
        <v>88.394993999657117</v>
      </c>
      <c r="E50" s="16"/>
      <c r="F50" s="16">
        <f t="shared" ref="F50" si="22">F48/F49*1000</f>
        <v>144.62289354706124</v>
      </c>
      <c r="G50" s="10">
        <f t="shared" si="1"/>
        <v>144.62289354706124</v>
      </c>
      <c r="H50" s="16">
        <f>H48/H49*1000</f>
        <v>88.394993999657132</v>
      </c>
      <c r="I50" s="16"/>
      <c r="J50" s="16">
        <f t="shared" ref="J50" si="23">J48/J49*1000</f>
        <v>157.39764543533573</v>
      </c>
      <c r="K50" s="10">
        <f t="shared" si="2"/>
        <v>157.39764543533573</v>
      </c>
      <c r="L50" s="16"/>
      <c r="M50" s="220"/>
      <c r="N50" s="221"/>
      <c r="P50">
        <f t="shared" si="0"/>
        <v>441.97496999828559</v>
      </c>
      <c r="Q50" s="44">
        <f>E50+апр!I50</f>
        <v>0</v>
      </c>
      <c r="R50" s="30">
        <f>F50+апр!J50</f>
        <v>305.41310257396731</v>
      </c>
    </row>
    <row r="51" spans="1:18" ht="17.25" customHeight="1">
      <c r="A51" s="18" t="s">
        <v>54</v>
      </c>
      <c r="B51" s="20" t="s">
        <v>55</v>
      </c>
      <c r="C51" s="8" t="s">
        <v>4</v>
      </c>
      <c r="D51" s="10">
        <f t="shared" ref="D51:F52" si="24">D54+D57+D60+D63+D66+D69</f>
        <v>75.456000000000003</v>
      </c>
      <c r="E51" s="10"/>
      <c r="F51" s="10">
        <f t="shared" si="24"/>
        <v>11.719000000000001</v>
      </c>
      <c r="G51" s="10">
        <f t="shared" si="1"/>
        <v>11.719000000000001</v>
      </c>
      <c r="H51" s="10">
        <f t="shared" ref="H51:H52" si="25">H54+H57+H60+H63+H66+H69</f>
        <v>377.28</v>
      </c>
      <c r="I51" s="10"/>
      <c r="J51" s="10">
        <f t="shared" ref="J51:J52" si="26">J54+J57+J60+J63+J66+J69</f>
        <v>132.86799999999999</v>
      </c>
      <c r="K51" s="10">
        <f t="shared" si="2"/>
        <v>132.86799999999999</v>
      </c>
      <c r="L51" s="16"/>
      <c r="M51" s="220"/>
      <c r="N51" s="221"/>
      <c r="P51">
        <f t="shared" si="0"/>
        <v>377.28000000000003</v>
      </c>
      <c r="Q51" s="44">
        <f>E51+апр!I51</f>
        <v>0</v>
      </c>
      <c r="R51" s="30">
        <f>F51+апр!J51</f>
        <v>132.86799999999999</v>
      </c>
    </row>
    <row r="52" spans="1:18" ht="17.25" customHeight="1">
      <c r="A52" s="8"/>
      <c r="B52" s="19" t="s">
        <v>13</v>
      </c>
      <c r="C52" s="13" t="s">
        <v>49</v>
      </c>
      <c r="D52" s="14">
        <f t="shared" si="24"/>
        <v>177</v>
      </c>
      <c r="E52" s="13"/>
      <c r="F52" s="14">
        <f t="shared" si="24"/>
        <v>23</v>
      </c>
      <c r="G52" s="10">
        <f t="shared" si="1"/>
        <v>23</v>
      </c>
      <c r="H52" s="14">
        <f t="shared" si="25"/>
        <v>885</v>
      </c>
      <c r="I52" s="8"/>
      <c r="J52" s="14">
        <f t="shared" si="26"/>
        <v>242.07499999999999</v>
      </c>
      <c r="K52" s="10">
        <f t="shared" si="2"/>
        <v>242.07499999999999</v>
      </c>
      <c r="L52" s="16"/>
      <c r="M52" s="220"/>
      <c r="N52" s="221"/>
      <c r="P52">
        <f t="shared" si="0"/>
        <v>885</v>
      </c>
      <c r="Q52" s="44">
        <f>E52+апр!I52</f>
        <v>0</v>
      </c>
      <c r="R52" s="30">
        <f>F52+апр!J52</f>
        <v>242.07499999999999</v>
      </c>
    </row>
    <row r="53" spans="1:18" ht="17.25" customHeight="1">
      <c r="A53" s="8"/>
      <c r="B53" s="19" t="s">
        <v>15</v>
      </c>
      <c r="C53" s="13" t="s">
        <v>16</v>
      </c>
      <c r="D53" s="16">
        <f>D51/D52*1000</f>
        <v>426.30508474576271</v>
      </c>
      <c r="E53" s="16"/>
      <c r="F53" s="16">
        <f t="shared" ref="F53" si="27">F51/F52*1000</f>
        <v>509.52173913043487</v>
      </c>
      <c r="G53" s="10">
        <f t="shared" si="1"/>
        <v>509.52173913043487</v>
      </c>
      <c r="H53" s="16">
        <f>H51/H52*1000</f>
        <v>426.30508474576266</v>
      </c>
      <c r="I53" s="16"/>
      <c r="J53" s="16">
        <f t="shared" ref="J53" si="28">J51/J52*1000</f>
        <v>548.87121759785191</v>
      </c>
      <c r="K53" s="10">
        <f t="shared" si="2"/>
        <v>548.87121759785191</v>
      </c>
      <c r="L53" s="16"/>
      <c r="M53" s="220"/>
      <c r="N53" s="221"/>
      <c r="P53">
        <f t="shared" si="0"/>
        <v>2131.5254237288136</v>
      </c>
      <c r="Q53" s="44">
        <f>E53+апр!I53</f>
        <v>0</v>
      </c>
      <c r="R53" s="30">
        <f>F53+апр!J53</f>
        <v>1062.5241355700105</v>
      </c>
    </row>
    <row r="54" spans="1:18" ht="17.25" customHeight="1">
      <c r="A54" s="8"/>
      <c r="B54" s="20" t="s">
        <v>56</v>
      </c>
      <c r="C54" s="8" t="s">
        <v>4</v>
      </c>
      <c r="D54" s="10">
        <v>7.8079999999999998</v>
      </c>
      <c r="E54" s="8"/>
      <c r="F54" s="8">
        <v>3.75</v>
      </c>
      <c r="G54" s="10">
        <f t="shared" si="1"/>
        <v>3.75</v>
      </c>
      <c r="H54" s="10">
        <f>D54+апр!H54</f>
        <v>39.04</v>
      </c>
      <c r="I54" s="8"/>
      <c r="J54" s="10">
        <f>F54+апр!J54</f>
        <v>17.353999999999999</v>
      </c>
      <c r="K54" s="10">
        <f t="shared" si="2"/>
        <v>17.353999999999999</v>
      </c>
      <c r="L54" s="16"/>
      <c r="M54" s="220"/>
      <c r="N54" s="221"/>
      <c r="P54">
        <f t="shared" si="0"/>
        <v>39.04</v>
      </c>
      <c r="Q54" s="44">
        <f>E54+апр!I54</f>
        <v>0</v>
      </c>
      <c r="R54" s="30">
        <f>F54+апр!J54</f>
        <v>17.353999999999999</v>
      </c>
    </row>
    <row r="55" spans="1:18" ht="17.25" customHeight="1">
      <c r="A55" s="8"/>
      <c r="B55" s="12" t="s">
        <v>13</v>
      </c>
      <c r="C55" s="13" t="s">
        <v>49</v>
      </c>
      <c r="D55" s="14">
        <v>31</v>
      </c>
      <c r="E55" s="13"/>
      <c r="F55" s="8">
        <v>8</v>
      </c>
      <c r="G55" s="10">
        <f t="shared" si="1"/>
        <v>8</v>
      </c>
      <c r="H55" s="14">
        <f>D55+апр!H55</f>
        <v>155</v>
      </c>
      <c r="I55" s="8"/>
      <c r="J55" s="14">
        <f>F55+апр!J55</f>
        <v>33</v>
      </c>
      <c r="K55" s="10">
        <f t="shared" si="2"/>
        <v>33</v>
      </c>
      <c r="L55" s="16"/>
      <c r="M55" s="220"/>
      <c r="N55" s="221"/>
      <c r="P55">
        <f t="shared" si="0"/>
        <v>155</v>
      </c>
      <c r="Q55" s="44">
        <f>E55+апр!I55</f>
        <v>0</v>
      </c>
      <c r="R55" s="30">
        <f>F55+апр!J55</f>
        <v>33</v>
      </c>
    </row>
    <row r="56" spans="1:18" ht="17.25" customHeight="1">
      <c r="A56" s="8"/>
      <c r="B56" s="12" t="s">
        <v>15</v>
      </c>
      <c r="C56" s="13" t="s">
        <v>16</v>
      </c>
      <c r="D56" s="16">
        <f>D54/D55*1000</f>
        <v>251.87096774193546</v>
      </c>
      <c r="E56" s="16"/>
      <c r="F56" s="16">
        <f t="shared" ref="F56" si="29">F54/F55*1000</f>
        <v>468.75</v>
      </c>
      <c r="G56" s="10">
        <f t="shared" si="1"/>
        <v>468.75</v>
      </c>
      <c r="H56" s="16">
        <f>H54/H55*1000</f>
        <v>251.87096774193546</v>
      </c>
      <c r="I56" s="16"/>
      <c r="J56" s="16">
        <f t="shared" ref="J56" si="30">J54/J55*1000</f>
        <v>525.87878787878788</v>
      </c>
      <c r="K56" s="10">
        <f t="shared" si="2"/>
        <v>525.87878787878788</v>
      </c>
      <c r="L56" s="16"/>
      <c r="M56" s="220"/>
      <c r="N56" s="221"/>
      <c r="P56">
        <f t="shared" si="0"/>
        <v>1259.3548387096773</v>
      </c>
      <c r="Q56" s="44">
        <f>E56+апр!I56</f>
        <v>0</v>
      </c>
      <c r="R56" s="30">
        <f>F56+апр!J56</f>
        <v>1012.91</v>
      </c>
    </row>
    <row r="57" spans="1:18" ht="17.25" customHeight="1">
      <c r="A57" s="8"/>
      <c r="B57" s="20" t="s">
        <v>57</v>
      </c>
      <c r="C57" s="8" t="s">
        <v>4</v>
      </c>
      <c r="D57" s="10">
        <v>13.96</v>
      </c>
      <c r="E57" s="8"/>
      <c r="F57" s="8"/>
      <c r="G57" s="10">
        <f t="shared" si="1"/>
        <v>0</v>
      </c>
      <c r="H57" s="10">
        <f>D57+апр!H57</f>
        <v>69.800000000000011</v>
      </c>
      <c r="I57" s="8"/>
      <c r="J57" s="10">
        <f>F57+апр!J57</f>
        <v>0</v>
      </c>
      <c r="K57" s="10">
        <f t="shared" si="2"/>
        <v>0</v>
      </c>
      <c r="L57" s="16"/>
      <c r="M57" s="233" t="s">
        <v>291</v>
      </c>
      <c r="N57" s="234"/>
      <c r="P57">
        <f t="shared" si="0"/>
        <v>69.800000000000011</v>
      </c>
      <c r="Q57" s="44">
        <f>E57+апр!I57</f>
        <v>0</v>
      </c>
      <c r="R57" s="30">
        <f>F57+апр!J57</f>
        <v>0</v>
      </c>
    </row>
    <row r="58" spans="1:18" ht="17.25" customHeight="1">
      <c r="A58" s="8"/>
      <c r="B58" s="12" t="s">
        <v>13</v>
      </c>
      <c r="C58" s="13" t="s">
        <v>49</v>
      </c>
      <c r="D58" s="14">
        <v>33</v>
      </c>
      <c r="E58" s="13"/>
      <c r="F58" s="8"/>
      <c r="G58" s="10">
        <f t="shared" si="1"/>
        <v>0</v>
      </c>
      <c r="H58" s="14">
        <f>D58+апр!H58</f>
        <v>165</v>
      </c>
      <c r="I58" s="8"/>
      <c r="J58" s="14">
        <f>F58+апр!J58</f>
        <v>0</v>
      </c>
      <c r="K58" s="10">
        <f t="shared" si="2"/>
        <v>0</v>
      </c>
      <c r="L58" s="16"/>
      <c r="M58" s="235"/>
      <c r="N58" s="236"/>
      <c r="P58">
        <f t="shared" si="0"/>
        <v>165</v>
      </c>
      <c r="Q58" s="44">
        <f>E58+апр!I58</f>
        <v>0</v>
      </c>
      <c r="R58" s="30">
        <f>F58+апр!J58</f>
        <v>0</v>
      </c>
    </row>
    <row r="59" spans="1:18" ht="17.25" customHeight="1">
      <c r="A59" s="8"/>
      <c r="B59" s="12" t="s">
        <v>15</v>
      </c>
      <c r="C59" s="13" t="s">
        <v>16</v>
      </c>
      <c r="D59" s="16">
        <f>D57/D58*1000</f>
        <v>423.03030303030306</v>
      </c>
      <c r="E59" s="13"/>
      <c r="F59" s="8"/>
      <c r="G59" s="10">
        <f t="shared" si="1"/>
        <v>0</v>
      </c>
      <c r="H59" s="16">
        <f>H57/H58*1000</f>
        <v>423.03030303030312</v>
      </c>
      <c r="I59" s="8"/>
      <c r="J59" s="13"/>
      <c r="K59" s="10">
        <f t="shared" si="2"/>
        <v>0</v>
      </c>
      <c r="L59" s="16"/>
      <c r="M59" s="220"/>
      <c r="N59" s="221"/>
      <c r="P59">
        <f t="shared" si="0"/>
        <v>2115.1515151515155</v>
      </c>
      <c r="Q59" s="44">
        <f>E59+апр!I59</f>
        <v>0</v>
      </c>
      <c r="R59" s="30">
        <f>F59+апр!J59</f>
        <v>0</v>
      </c>
    </row>
    <row r="60" spans="1:18" ht="17.25" customHeight="1">
      <c r="A60" s="8"/>
      <c r="B60" s="20" t="s">
        <v>58</v>
      </c>
      <c r="C60" s="8" t="s">
        <v>4</v>
      </c>
      <c r="D60" s="10">
        <v>28.585000000000001</v>
      </c>
      <c r="E60" s="8"/>
      <c r="F60" s="8">
        <v>7.9690000000000003</v>
      </c>
      <c r="G60" s="10">
        <f t="shared" si="1"/>
        <v>7.9690000000000003</v>
      </c>
      <c r="H60" s="10">
        <f>D60+апр!H60</f>
        <v>142.92500000000001</v>
      </c>
      <c r="I60" s="8"/>
      <c r="J60" s="10">
        <f>F60+апр!J60</f>
        <v>65.343999999999994</v>
      </c>
      <c r="K60" s="10">
        <f t="shared" si="2"/>
        <v>65.343999999999994</v>
      </c>
      <c r="L60" s="16"/>
      <c r="M60" s="233" t="s">
        <v>291</v>
      </c>
      <c r="N60" s="234"/>
      <c r="P60">
        <f t="shared" si="0"/>
        <v>142.92500000000001</v>
      </c>
      <c r="Q60" s="44">
        <f>E60+апр!I60</f>
        <v>0</v>
      </c>
      <c r="R60" s="30">
        <f>F60+апр!J60</f>
        <v>65.343999999999994</v>
      </c>
    </row>
    <row r="61" spans="1:18" ht="17.25" customHeight="1">
      <c r="A61" s="8"/>
      <c r="B61" s="12" t="s">
        <v>13</v>
      </c>
      <c r="C61" s="13" t="s">
        <v>49</v>
      </c>
      <c r="D61" s="14">
        <v>70</v>
      </c>
      <c r="E61" s="13"/>
      <c r="F61" s="8">
        <v>15</v>
      </c>
      <c r="G61" s="10">
        <f t="shared" si="1"/>
        <v>15</v>
      </c>
      <c r="H61" s="14">
        <f>D61+апр!H61</f>
        <v>350</v>
      </c>
      <c r="I61" s="8"/>
      <c r="J61" s="14">
        <f>F61+апр!J61</f>
        <v>123</v>
      </c>
      <c r="K61" s="10">
        <f t="shared" si="2"/>
        <v>123</v>
      </c>
      <c r="L61" s="16"/>
      <c r="M61" s="235"/>
      <c r="N61" s="236"/>
      <c r="P61">
        <f t="shared" si="0"/>
        <v>350</v>
      </c>
      <c r="Q61" s="44">
        <f>E61+апр!I61</f>
        <v>0</v>
      </c>
      <c r="R61" s="30">
        <f>F61+апр!J61</f>
        <v>123</v>
      </c>
    </row>
    <row r="62" spans="1:18" ht="17.25" customHeight="1">
      <c r="A62" s="8"/>
      <c r="B62" s="12" t="s">
        <v>15</v>
      </c>
      <c r="C62" s="13" t="s">
        <v>16</v>
      </c>
      <c r="D62" s="16">
        <f>D60/D61*1000</f>
        <v>408.35714285714289</v>
      </c>
      <c r="E62" s="16"/>
      <c r="F62" s="16">
        <f t="shared" ref="F62" si="31">F60/F61*1000</f>
        <v>531.26666666666665</v>
      </c>
      <c r="G62" s="10">
        <f t="shared" si="1"/>
        <v>531.26666666666665</v>
      </c>
      <c r="H62" s="16">
        <f>H60/H61*1000</f>
        <v>408.35714285714289</v>
      </c>
      <c r="I62" s="16"/>
      <c r="J62" s="16">
        <f t="shared" ref="J62" si="32">J60/J61*1000</f>
        <v>531.2520325203252</v>
      </c>
      <c r="K62" s="10">
        <f t="shared" si="2"/>
        <v>531.2520325203252</v>
      </c>
      <c r="L62" s="16"/>
      <c r="M62" s="220"/>
      <c r="N62" s="221"/>
      <c r="P62">
        <f t="shared" si="0"/>
        <v>2041.7857142857144</v>
      </c>
      <c r="Q62" s="44">
        <f>E62+апр!I62</f>
        <v>0</v>
      </c>
      <c r="R62" s="30">
        <f>F62+апр!J62</f>
        <v>1062.5166666666667</v>
      </c>
    </row>
    <row r="63" spans="1:18" ht="17.25" customHeight="1">
      <c r="A63" s="8"/>
      <c r="B63" s="20" t="s">
        <v>220</v>
      </c>
      <c r="C63" s="8" t="s">
        <v>4</v>
      </c>
      <c r="D63" s="10">
        <v>12.234</v>
      </c>
      <c r="E63" s="8"/>
      <c r="F63" s="10"/>
      <c r="G63" s="10">
        <f t="shared" si="1"/>
        <v>0</v>
      </c>
      <c r="H63" s="10">
        <f>D63+апр!H63</f>
        <v>61.17</v>
      </c>
      <c r="I63" s="8"/>
      <c r="J63" s="10">
        <f>F63+апр!J63</f>
        <v>8.66</v>
      </c>
      <c r="K63" s="10">
        <f t="shared" si="2"/>
        <v>8.66</v>
      </c>
      <c r="L63" s="16"/>
      <c r="M63" s="220"/>
      <c r="N63" s="221"/>
      <c r="P63">
        <f t="shared" si="0"/>
        <v>61.17</v>
      </c>
      <c r="Q63" s="44">
        <f>E63+апр!I63</f>
        <v>0</v>
      </c>
      <c r="R63" s="30">
        <f>F63+апр!J63</f>
        <v>8.66</v>
      </c>
    </row>
    <row r="64" spans="1:18" ht="17.25" customHeight="1">
      <c r="A64" s="8"/>
      <c r="B64" s="12" t="s">
        <v>13</v>
      </c>
      <c r="C64" s="13" t="s">
        <v>49</v>
      </c>
      <c r="D64" s="14">
        <v>23</v>
      </c>
      <c r="E64" s="13"/>
      <c r="F64" s="8"/>
      <c r="G64" s="10">
        <f t="shared" si="1"/>
        <v>0</v>
      </c>
      <c r="H64" s="14">
        <f>D64+апр!H64</f>
        <v>115</v>
      </c>
      <c r="I64" s="8"/>
      <c r="J64" s="14">
        <f>F64+апр!J64</f>
        <v>20</v>
      </c>
      <c r="K64" s="10">
        <f t="shared" si="2"/>
        <v>20</v>
      </c>
      <c r="L64" s="16"/>
      <c r="M64" s="220"/>
      <c r="N64" s="221"/>
      <c r="P64">
        <f t="shared" si="0"/>
        <v>115</v>
      </c>
      <c r="Q64" s="44">
        <f>E64+апр!I64</f>
        <v>0</v>
      </c>
      <c r="R64" s="30">
        <f>F64+апр!J64</f>
        <v>20</v>
      </c>
    </row>
    <row r="65" spans="1:18" ht="17.25" customHeight="1">
      <c r="A65" s="8"/>
      <c r="B65" s="12" t="s">
        <v>15</v>
      </c>
      <c r="C65" s="13" t="s">
        <v>16</v>
      </c>
      <c r="D65" s="16">
        <f>D63/D64*1000</f>
        <v>531.91304347826087</v>
      </c>
      <c r="E65" s="16"/>
      <c r="F65" s="16" t="e">
        <f t="shared" ref="F65" si="33">F63/F64*1000</f>
        <v>#DIV/0!</v>
      </c>
      <c r="G65" s="10" t="e">
        <f t="shared" si="1"/>
        <v>#DIV/0!</v>
      </c>
      <c r="H65" s="16">
        <f>H63/H64*1000</f>
        <v>531.91304347826087</v>
      </c>
      <c r="I65" s="16"/>
      <c r="J65" s="16">
        <f t="shared" ref="J65" si="34">J63/J64*1000</f>
        <v>433</v>
      </c>
      <c r="K65" s="10">
        <f t="shared" si="2"/>
        <v>433</v>
      </c>
      <c r="L65" s="16"/>
      <c r="M65" s="220"/>
      <c r="N65" s="221"/>
      <c r="P65">
        <f t="shared" si="0"/>
        <v>2659.5652173913045</v>
      </c>
      <c r="Q65" s="44">
        <f>E65+апр!I65</f>
        <v>0</v>
      </c>
      <c r="R65" s="30" t="e">
        <f>F65+апр!J65</f>
        <v>#DIV/0!</v>
      </c>
    </row>
    <row r="66" spans="1:18" ht="17.25" customHeight="1">
      <c r="A66" s="8"/>
      <c r="B66" s="9" t="s">
        <v>59</v>
      </c>
      <c r="C66" s="8" t="s">
        <v>4</v>
      </c>
      <c r="D66" s="10">
        <v>2.8610000000000002</v>
      </c>
      <c r="E66" s="8"/>
      <c r="F66" s="8"/>
      <c r="G66" s="10">
        <f t="shared" si="1"/>
        <v>0</v>
      </c>
      <c r="H66" s="10">
        <f>D66+апр!H66</f>
        <v>14.305000000000001</v>
      </c>
      <c r="I66" s="8"/>
      <c r="J66" s="10">
        <f>F66+апр!J66</f>
        <v>0</v>
      </c>
      <c r="K66" s="10">
        <f t="shared" si="2"/>
        <v>0</v>
      </c>
      <c r="L66" s="16"/>
      <c r="M66" s="220"/>
      <c r="N66" s="221"/>
      <c r="P66">
        <f t="shared" si="0"/>
        <v>14.305000000000001</v>
      </c>
      <c r="Q66" s="44">
        <f>E66+апр!I66</f>
        <v>0</v>
      </c>
      <c r="R66" s="30">
        <f>F66+апр!J66</f>
        <v>0</v>
      </c>
    </row>
    <row r="67" spans="1:18" ht="17.25" customHeight="1">
      <c r="A67" s="8"/>
      <c r="B67" s="12" t="s">
        <v>13</v>
      </c>
      <c r="C67" s="13" t="s">
        <v>49</v>
      </c>
      <c r="D67" s="14">
        <v>2</v>
      </c>
      <c r="E67" s="13"/>
      <c r="F67" s="8"/>
      <c r="G67" s="10">
        <f t="shared" si="1"/>
        <v>0</v>
      </c>
      <c r="H67" s="14">
        <f>D67+апр!H67</f>
        <v>10</v>
      </c>
      <c r="I67" s="8"/>
      <c r="J67" s="14">
        <f>F67+апр!J67</f>
        <v>0</v>
      </c>
      <c r="K67" s="10">
        <f t="shared" si="2"/>
        <v>0</v>
      </c>
      <c r="L67" s="16"/>
      <c r="M67" s="220"/>
      <c r="N67" s="221"/>
      <c r="P67">
        <f t="shared" si="0"/>
        <v>10</v>
      </c>
      <c r="Q67" s="44">
        <f>E67+апр!I67</f>
        <v>0</v>
      </c>
      <c r="R67" s="30">
        <f>F67+апр!J67</f>
        <v>0</v>
      </c>
    </row>
    <row r="68" spans="1:18" ht="17.25" customHeight="1">
      <c r="A68" s="8"/>
      <c r="B68" s="12" t="s">
        <v>15</v>
      </c>
      <c r="C68" s="13" t="s">
        <v>16</v>
      </c>
      <c r="D68" s="16">
        <f>D66/D67*1000</f>
        <v>1430.5</v>
      </c>
      <c r="E68" s="13"/>
      <c r="F68" s="8"/>
      <c r="G68" s="10">
        <f t="shared" si="1"/>
        <v>0</v>
      </c>
      <c r="H68" s="16">
        <f>H66/H67*1000</f>
        <v>1430.5</v>
      </c>
      <c r="I68" s="16"/>
      <c r="J68" s="16" t="e">
        <f t="shared" ref="J68" si="35">J66/J67*1000</f>
        <v>#DIV/0!</v>
      </c>
      <c r="K68" s="10" t="e">
        <f t="shared" si="2"/>
        <v>#DIV/0!</v>
      </c>
      <c r="L68" s="16"/>
      <c r="M68" s="220"/>
      <c r="N68" s="221"/>
      <c r="P68">
        <f t="shared" si="0"/>
        <v>7152.5</v>
      </c>
      <c r="Q68" s="44">
        <f>E68+апр!I68</f>
        <v>0</v>
      </c>
      <c r="R68" s="30" t="e">
        <f>F68+апр!J68</f>
        <v>#DIV/0!</v>
      </c>
    </row>
    <row r="69" spans="1:18" ht="17.25" customHeight="1">
      <c r="A69" s="8"/>
      <c r="B69" s="20" t="s">
        <v>60</v>
      </c>
      <c r="C69" s="8" t="s">
        <v>4</v>
      </c>
      <c r="D69" s="10">
        <v>10.007999999999999</v>
      </c>
      <c r="E69" s="8"/>
      <c r="F69" s="10"/>
      <c r="G69" s="10">
        <f t="shared" si="1"/>
        <v>0</v>
      </c>
      <c r="H69" s="10">
        <f>D69+апр!H69</f>
        <v>50.039999999999992</v>
      </c>
      <c r="I69" s="8"/>
      <c r="J69" s="10">
        <f>F69+апр!J69</f>
        <v>41.510000000000005</v>
      </c>
      <c r="K69" s="10">
        <f t="shared" si="2"/>
        <v>41.510000000000005</v>
      </c>
      <c r="L69" s="16"/>
      <c r="M69" s="233" t="s">
        <v>292</v>
      </c>
      <c r="N69" s="234"/>
      <c r="P69">
        <f t="shared" si="0"/>
        <v>50.039999999999992</v>
      </c>
      <c r="Q69" s="44">
        <f>E69+апр!I69</f>
        <v>0</v>
      </c>
      <c r="R69" s="30">
        <f>F69+апр!J69</f>
        <v>41.510000000000005</v>
      </c>
    </row>
    <row r="70" spans="1:18" ht="17.25" customHeight="1">
      <c r="A70" s="8"/>
      <c r="B70" s="12" t="s">
        <v>13</v>
      </c>
      <c r="C70" s="13" t="s">
        <v>61</v>
      </c>
      <c r="D70" s="14">
        <v>18</v>
      </c>
      <c r="E70" s="13"/>
      <c r="F70" s="8"/>
      <c r="G70" s="10">
        <f t="shared" si="1"/>
        <v>0</v>
      </c>
      <c r="H70" s="14">
        <f>D70+апр!H70</f>
        <v>90</v>
      </c>
      <c r="I70" s="8"/>
      <c r="J70" s="14">
        <f>F70+апр!J70</f>
        <v>66.075000000000003</v>
      </c>
      <c r="K70" s="10">
        <f t="shared" si="2"/>
        <v>66.075000000000003</v>
      </c>
      <c r="L70" s="16"/>
      <c r="M70" s="235"/>
      <c r="N70" s="236"/>
      <c r="P70">
        <f t="shared" si="0"/>
        <v>90</v>
      </c>
      <c r="Q70" s="44">
        <f>E70+апр!I70</f>
        <v>0</v>
      </c>
      <c r="R70" s="30">
        <f>F70+апр!J70</f>
        <v>66.075000000000003</v>
      </c>
    </row>
    <row r="71" spans="1:18" ht="17.25" customHeight="1">
      <c r="A71" s="8"/>
      <c r="B71" s="12" t="s">
        <v>15</v>
      </c>
      <c r="C71" s="13" t="s">
        <v>16</v>
      </c>
      <c r="D71" s="16">
        <f>D69/D70*1000</f>
        <v>555.99999999999989</v>
      </c>
      <c r="E71" s="16"/>
      <c r="F71" s="16" t="e">
        <f t="shared" ref="F71" si="36">F69/F70*1000</f>
        <v>#DIV/0!</v>
      </c>
      <c r="G71" s="10" t="e">
        <f t="shared" si="1"/>
        <v>#DIV/0!</v>
      </c>
      <c r="H71" s="16">
        <f>H69/H70*1000</f>
        <v>555.99999999999989</v>
      </c>
      <c r="I71" s="16"/>
      <c r="J71" s="16">
        <f t="shared" ref="J71" si="37">J69/J70*1000</f>
        <v>628.22550132425283</v>
      </c>
      <c r="K71" s="10">
        <f t="shared" si="2"/>
        <v>628.22550132425283</v>
      </c>
      <c r="L71" s="16"/>
      <c r="M71" s="220"/>
      <c r="N71" s="221"/>
      <c r="P71">
        <f t="shared" si="0"/>
        <v>2779.9999999999995</v>
      </c>
      <c r="Q71" s="44">
        <f>E71+апр!I71</f>
        <v>0</v>
      </c>
      <c r="R71" s="30" t="e">
        <f>F71+апр!J71</f>
        <v>#DIV/0!</v>
      </c>
    </row>
    <row r="72" spans="1:18" ht="17.25" customHeight="1">
      <c r="A72" s="18" t="s">
        <v>62</v>
      </c>
      <c r="B72" s="20" t="s">
        <v>63</v>
      </c>
      <c r="C72" s="8" t="s">
        <v>4</v>
      </c>
      <c r="D72" s="10">
        <f>D73</f>
        <v>26517.671000000002</v>
      </c>
      <c r="E72" s="8">
        <v>24306.667000000001</v>
      </c>
      <c r="F72" s="10">
        <f>F73</f>
        <v>33599.112999999998</v>
      </c>
      <c r="G72" s="10">
        <f t="shared" si="1"/>
        <v>9292.4459999999963</v>
      </c>
      <c r="H72" s="10">
        <f>H73</f>
        <v>132588.35500000001</v>
      </c>
      <c r="I72" s="8">
        <f>E72+апр!I72</f>
        <v>121533.33500000001</v>
      </c>
      <c r="J72" s="10">
        <f>F72+апр!J72</f>
        <v>139811.69099999999</v>
      </c>
      <c r="K72" s="10">
        <f t="shared" si="2"/>
        <v>18278.355999999985</v>
      </c>
      <c r="L72" s="16">
        <f t="shared" si="3"/>
        <v>15.039788054857528</v>
      </c>
      <c r="M72" s="220"/>
      <c r="N72" s="221"/>
      <c r="P72">
        <f t="shared" si="0"/>
        <v>132588.35500000001</v>
      </c>
      <c r="Q72" s="44">
        <f>E72+апр!I72</f>
        <v>121533.33500000001</v>
      </c>
      <c r="R72" s="30">
        <f>F72+апр!J72</f>
        <v>139811.69099999999</v>
      </c>
    </row>
    <row r="73" spans="1:18" ht="17.25" customHeight="1">
      <c r="A73" s="8"/>
      <c r="B73" s="28" t="s">
        <v>64</v>
      </c>
      <c r="C73" s="8" t="s">
        <v>4</v>
      </c>
      <c r="D73" s="10">
        <f>D75+D78+D81+D84</f>
        <v>26517.671000000002</v>
      </c>
      <c r="E73" s="10">
        <f t="shared" ref="E73:F73" si="38">E75+E78+E81+E84</f>
        <v>0</v>
      </c>
      <c r="F73" s="54">
        <f t="shared" si="38"/>
        <v>33599.112999999998</v>
      </c>
      <c r="G73" s="10">
        <f t="shared" si="1"/>
        <v>33599.112999999998</v>
      </c>
      <c r="H73" s="10">
        <f>H75+H78+H81+H84</f>
        <v>132588.35500000001</v>
      </c>
      <c r="I73" s="10">
        <f t="shared" ref="I73:J74" si="39">I75+I78+I81+I84</f>
        <v>0</v>
      </c>
      <c r="J73" s="10">
        <f t="shared" si="39"/>
        <v>112579.598</v>
      </c>
      <c r="K73" s="10">
        <f t="shared" si="2"/>
        <v>112579.598</v>
      </c>
      <c r="L73" s="16"/>
      <c r="M73" s="220"/>
      <c r="N73" s="221"/>
      <c r="P73">
        <f t="shared" ref="P73:P136" si="40">D73*5</f>
        <v>132588.35500000001</v>
      </c>
      <c r="Q73" s="44">
        <f>E73+апр!I73</f>
        <v>0</v>
      </c>
      <c r="R73" s="30">
        <f>F73+апр!J73</f>
        <v>112579.598</v>
      </c>
    </row>
    <row r="74" spans="1:18" ht="17.25" customHeight="1">
      <c r="A74" s="8"/>
      <c r="B74" s="28" t="s">
        <v>65</v>
      </c>
      <c r="C74" s="22" t="s">
        <v>66</v>
      </c>
      <c r="D74" s="14">
        <f t="shared" ref="D74:F74" si="41">D76+D79+D82+D85</f>
        <v>1280770</v>
      </c>
      <c r="E74" s="14">
        <f t="shared" si="41"/>
        <v>0</v>
      </c>
      <c r="F74" s="14">
        <f t="shared" si="41"/>
        <v>1628483</v>
      </c>
      <c r="G74" s="14">
        <f t="shared" si="1"/>
        <v>1628483</v>
      </c>
      <c r="H74" s="14">
        <f t="shared" ref="H74" si="42">H76+H79+H82+H85</f>
        <v>6403850</v>
      </c>
      <c r="I74" s="59"/>
      <c r="J74" s="14">
        <f t="shared" si="39"/>
        <v>5481589.1899999995</v>
      </c>
      <c r="K74" s="10">
        <f t="shared" si="2"/>
        <v>5481589.1899999995</v>
      </c>
      <c r="L74" s="16"/>
      <c r="M74" s="220"/>
      <c r="N74" s="221"/>
      <c r="P74">
        <f t="shared" si="40"/>
        <v>6403850</v>
      </c>
      <c r="Q74" s="44">
        <f>E74+апр!I74</f>
        <v>0</v>
      </c>
      <c r="R74" s="30">
        <f>F74+апр!J74</f>
        <v>5481589.1899999995</v>
      </c>
    </row>
    <row r="75" spans="1:18" ht="36" customHeight="1">
      <c r="A75" s="8"/>
      <c r="B75" s="12" t="s">
        <v>67</v>
      </c>
      <c r="C75" s="8" t="s">
        <v>4</v>
      </c>
      <c r="D75" s="10">
        <v>1338.4829999999999</v>
      </c>
      <c r="E75" s="8"/>
      <c r="F75" s="55">
        <v>2317.4859999999999</v>
      </c>
      <c r="G75" s="10">
        <f t="shared" ref="G75:G138" si="43">F75-E75</f>
        <v>2317.4859999999999</v>
      </c>
      <c r="H75" s="10">
        <f>D75+апр!H75</f>
        <v>6692.415</v>
      </c>
      <c r="I75" s="8"/>
      <c r="J75" s="10">
        <f>F75+апр!J75</f>
        <v>8944.66</v>
      </c>
      <c r="K75" s="10">
        <f t="shared" ref="K75:K139" si="44">J75-I75</f>
        <v>8944.66</v>
      </c>
      <c r="L75" s="16"/>
      <c r="M75" s="220"/>
      <c r="N75" s="221"/>
      <c r="P75">
        <f t="shared" si="40"/>
        <v>6692.415</v>
      </c>
      <c r="Q75" s="44">
        <f>E75+апр!I75</f>
        <v>0</v>
      </c>
      <c r="R75" s="30">
        <f>F75+апр!J75</f>
        <v>8944.66</v>
      </c>
    </row>
    <row r="76" spans="1:18" ht="17.25" customHeight="1">
      <c r="A76" s="8"/>
      <c r="B76" s="12" t="s">
        <v>68</v>
      </c>
      <c r="C76" s="22" t="s">
        <v>66</v>
      </c>
      <c r="D76" s="14">
        <v>68465</v>
      </c>
      <c r="E76" s="22"/>
      <c r="F76" s="59">
        <v>117341</v>
      </c>
      <c r="G76" s="14">
        <f t="shared" si="43"/>
        <v>117341</v>
      </c>
      <c r="H76" s="14">
        <f>D76+апр!H76</f>
        <v>342325</v>
      </c>
      <c r="I76" s="59"/>
      <c r="J76" s="14">
        <f>F76+апр!J76</f>
        <v>462776.19</v>
      </c>
      <c r="K76" s="10">
        <f t="shared" si="44"/>
        <v>462776.19</v>
      </c>
      <c r="L76" s="16"/>
      <c r="M76" s="220"/>
      <c r="N76" s="221"/>
      <c r="P76">
        <f t="shared" si="40"/>
        <v>342325</v>
      </c>
      <c r="Q76" s="44">
        <f>E76+апр!I76</f>
        <v>0</v>
      </c>
      <c r="R76" s="30">
        <f>F76+апр!J76</f>
        <v>462776.19</v>
      </c>
    </row>
    <row r="77" spans="1:18" ht="17.25" customHeight="1">
      <c r="A77" s="8"/>
      <c r="B77" s="12" t="s">
        <v>15</v>
      </c>
      <c r="C77" s="13" t="s">
        <v>16</v>
      </c>
      <c r="D77" s="16">
        <f>D75/D76*1000</f>
        <v>19.54988680347623</v>
      </c>
      <c r="E77" s="16"/>
      <c r="F77" s="16">
        <f t="shared" ref="F77" si="45">F75/F76*1000</f>
        <v>19.75001065271303</v>
      </c>
      <c r="G77" s="10">
        <f t="shared" si="43"/>
        <v>19.75001065271303</v>
      </c>
      <c r="H77" s="16">
        <f>H75/H76*1000</f>
        <v>19.54988680347623</v>
      </c>
      <c r="I77" s="8"/>
      <c r="J77" s="13"/>
      <c r="K77" s="10">
        <f t="shared" si="44"/>
        <v>0</v>
      </c>
      <c r="L77" s="16"/>
      <c r="M77" s="220"/>
      <c r="N77" s="221"/>
      <c r="P77">
        <f t="shared" si="40"/>
        <v>97.749434017381148</v>
      </c>
      <c r="Q77" s="44">
        <f>E77+апр!I77</f>
        <v>0</v>
      </c>
      <c r="R77" s="30">
        <f>F77+апр!J77</f>
        <v>19.75001065271303</v>
      </c>
    </row>
    <row r="78" spans="1:18" ht="55.5" customHeight="1">
      <c r="A78" s="8"/>
      <c r="B78" s="12" t="s">
        <v>69</v>
      </c>
      <c r="C78" s="8" t="s">
        <v>4</v>
      </c>
      <c r="D78" s="10">
        <v>1253.6469999999999</v>
      </c>
      <c r="E78" s="8"/>
      <c r="F78" s="104">
        <v>1208.2059999999999</v>
      </c>
      <c r="G78" s="10">
        <f t="shared" si="43"/>
        <v>1208.2059999999999</v>
      </c>
      <c r="H78" s="10">
        <f>D78+апр!H78</f>
        <v>6268.2349999999997</v>
      </c>
      <c r="I78" s="8"/>
      <c r="J78" s="10">
        <f>F78+апр!J78</f>
        <v>6262.3899999999994</v>
      </c>
      <c r="K78" s="10">
        <f t="shared" si="44"/>
        <v>6262.3899999999994</v>
      </c>
      <c r="L78" s="16"/>
      <c r="M78" s="220"/>
      <c r="N78" s="221"/>
      <c r="P78">
        <f t="shared" si="40"/>
        <v>6268.2349999999997</v>
      </c>
      <c r="Q78" s="44">
        <f>E78+апр!I78</f>
        <v>0</v>
      </c>
      <c r="R78" s="30">
        <f>F78+апр!J78</f>
        <v>6262.3899999999994</v>
      </c>
    </row>
    <row r="79" spans="1:18" ht="17.25" customHeight="1">
      <c r="A79" s="8"/>
      <c r="B79" s="12" t="s">
        <v>68</v>
      </c>
      <c r="C79" s="22" t="s">
        <v>66</v>
      </c>
      <c r="D79" s="14">
        <v>63799</v>
      </c>
      <c r="E79" s="22"/>
      <c r="F79" s="59">
        <v>61175</v>
      </c>
      <c r="G79" s="14">
        <f t="shared" si="43"/>
        <v>61175</v>
      </c>
      <c r="H79" s="14">
        <f>D79+апр!H79</f>
        <v>318995</v>
      </c>
      <c r="I79" s="59"/>
      <c r="J79" s="14">
        <f>F79+апр!J79</f>
        <v>317171</v>
      </c>
      <c r="K79" s="10">
        <f t="shared" si="44"/>
        <v>317171</v>
      </c>
      <c r="L79" s="16"/>
      <c r="M79" s="220"/>
      <c r="N79" s="221"/>
      <c r="P79">
        <f t="shared" si="40"/>
        <v>318995</v>
      </c>
      <c r="Q79" s="44">
        <f>E79+апр!I79</f>
        <v>0</v>
      </c>
      <c r="R79" s="30">
        <f>F79+апр!J79</f>
        <v>317171</v>
      </c>
    </row>
    <row r="80" spans="1:18" ht="17.25" customHeight="1">
      <c r="A80" s="8"/>
      <c r="B80" s="12" t="s">
        <v>15</v>
      </c>
      <c r="C80" s="13" t="s">
        <v>16</v>
      </c>
      <c r="D80" s="16">
        <f>D78/D79*1000</f>
        <v>19.649947491339987</v>
      </c>
      <c r="E80" s="16"/>
      <c r="F80" s="16">
        <f t="shared" ref="F80" si="46">F78/F79*1000</f>
        <v>19.7499959133633</v>
      </c>
      <c r="G80" s="10">
        <f t="shared" si="43"/>
        <v>19.7499959133633</v>
      </c>
      <c r="H80" s="16">
        <f>H78/H79*1000</f>
        <v>19.649947491339987</v>
      </c>
      <c r="I80" s="8"/>
      <c r="J80" s="13"/>
      <c r="K80" s="10">
        <f t="shared" si="44"/>
        <v>0</v>
      </c>
      <c r="L80" s="16"/>
      <c r="M80" s="220"/>
      <c r="N80" s="221"/>
      <c r="P80">
        <f t="shared" si="40"/>
        <v>98.249737456699933</v>
      </c>
      <c r="Q80" s="44">
        <f>E80+апр!I80</f>
        <v>0</v>
      </c>
      <c r="R80" s="30">
        <f>F80+апр!J80</f>
        <v>19.7499959133633</v>
      </c>
    </row>
    <row r="81" spans="1:18" ht="36" customHeight="1">
      <c r="A81" s="8"/>
      <c r="B81" s="12" t="s">
        <v>70</v>
      </c>
      <c r="C81" s="8" t="s">
        <v>4</v>
      </c>
      <c r="D81" s="10">
        <v>3651.203</v>
      </c>
      <c r="E81" s="8"/>
      <c r="F81" s="105">
        <v>4592.527</v>
      </c>
      <c r="G81" s="10">
        <f t="shared" si="43"/>
        <v>4592.527</v>
      </c>
      <c r="H81" s="10">
        <f>D81+апр!H81</f>
        <v>18256.014999999999</v>
      </c>
      <c r="I81" s="8"/>
      <c r="J81" s="10">
        <f>F81+апр!J81</f>
        <v>17286.623</v>
      </c>
      <c r="K81" s="10">
        <f t="shared" si="44"/>
        <v>17286.623</v>
      </c>
      <c r="L81" s="16"/>
      <c r="M81" s="220"/>
      <c r="N81" s="221"/>
      <c r="P81">
        <f t="shared" si="40"/>
        <v>18256.014999999999</v>
      </c>
      <c r="Q81" s="44">
        <f>E81+апр!I81</f>
        <v>0</v>
      </c>
      <c r="R81" s="30">
        <f>F81+апр!J81</f>
        <v>17286.623</v>
      </c>
    </row>
    <row r="82" spans="1:18" ht="17.25" customHeight="1">
      <c r="A82" s="8"/>
      <c r="B82" s="12" t="s">
        <v>68</v>
      </c>
      <c r="C82" s="22" t="s">
        <v>66</v>
      </c>
      <c r="D82" s="14">
        <v>185812</v>
      </c>
      <c r="E82" s="22"/>
      <c r="F82" s="59">
        <v>232533</v>
      </c>
      <c r="G82" s="14">
        <v>5230.0569999999998</v>
      </c>
      <c r="H82" s="14">
        <f>D82+апр!H82</f>
        <v>929060</v>
      </c>
      <c r="I82" s="59"/>
      <c r="J82" s="14">
        <f>F82+апр!J82</f>
        <v>875272</v>
      </c>
      <c r="K82" s="10">
        <f t="shared" si="44"/>
        <v>875272</v>
      </c>
      <c r="L82" s="16"/>
      <c r="M82" s="220"/>
      <c r="N82" s="221"/>
      <c r="P82">
        <f t="shared" si="40"/>
        <v>929060</v>
      </c>
      <c r="Q82" s="44">
        <f>E82+апр!I82</f>
        <v>0</v>
      </c>
      <c r="R82" s="30">
        <f>F82+апр!J82</f>
        <v>875272</v>
      </c>
    </row>
    <row r="83" spans="1:18" ht="17.25" customHeight="1">
      <c r="A83" s="8"/>
      <c r="B83" s="12" t="s">
        <v>15</v>
      </c>
      <c r="C83" s="13" t="s">
        <v>16</v>
      </c>
      <c r="D83" s="16">
        <f>D81/D82*1000</f>
        <v>19.64998493100553</v>
      </c>
      <c r="E83" s="16"/>
      <c r="F83" s="16">
        <f t="shared" ref="F83" si="47">F81/F82*1000</f>
        <v>19.750001075116224</v>
      </c>
      <c r="G83" s="10">
        <f t="shared" si="43"/>
        <v>19.750001075116224</v>
      </c>
      <c r="H83" s="16">
        <f>H81/H82*1000</f>
        <v>19.64998493100553</v>
      </c>
      <c r="I83" s="8"/>
      <c r="J83" s="13"/>
      <c r="K83" s="10">
        <f t="shared" si="44"/>
        <v>0</v>
      </c>
      <c r="L83" s="16"/>
      <c r="M83" s="220"/>
      <c r="N83" s="221"/>
      <c r="P83">
        <f t="shared" si="40"/>
        <v>98.249924655027655</v>
      </c>
      <c r="Q83" s="44">
        <f>E83+апр!I83</f>
        <v>0</v>
      </c>
      <c r="R83" s="30">
        <f>F83+апр!J83</f>
        <v>19.750001075116224</v>
      </c>
    </row>
    <row r="84" spans="1:18" ht="17.25" customHeight="1">
      <c r="A84" s="8"/>
      <c r="B84" s="12" t="s">
        <v>71</v>
      </c>
      <c r="C84" s="8" t="s">
        <v>4</v>
      </c>
      <c r="D84" s="10">
        <v>20274.338</v>
      </c>
      <c r="E84" s="8"/>
      <c r="F84" s="8">
        <v>25480.894</v>
      </c>
      <c r="G84" s="10">
        <f t="shared" si="43"/>
        <v>25480.894</v>
      </c>
      <c r="H84" s="10">
        <f>D84+апр!H84</f>
        <v>101371.69</v>
      </c>
      <c r="I84" s="8"/>
      <c r="J84" s="10">
        <f>F84+апр!J84</f>
        <v>80085.925000000003</v>
      </c>
      <c r="K84" s="10">
        <f t="shared" si="44"/>
        <v>80085.925000000003</v>
      </c>
      <c r="L84" s="16"/>
      <c r="M84" s="233" t="s">
        <v>297</v>
      </c>
      <c r="N84" s="234"/>
      <c r="P84">
        <f t="shared" si="40"/>
        <v>101371.69</v>
      </c>
      <c r="Q84" s="44">
        <f>E84+апр!I84</f>
        <v>0</v>
      </c>
      <c r="R84" s="30">
        <f>F84+апр!J84</f>
        <v>80085.925000000003</v>
      </c>
    </row>
    <row r="85" spans="1:18" ht="26.25" customHeight="1">
      <c r="A85" s="8"/>
      <c r="B85" s="12" t="s">
        <v>68</v>
      </c>
      <c r="C85" s="22" t="s">
        <v>66</v>
      </c>
      <c r="D85" s="14">
        <v>962694</v>
      </c>
      <c r="E85" s="22"/>
      <c r="F85" s="59">
        <v>1217434</v>
      </c>
      <c r="G85" s="14">
        <f t="shared" si="43"/>
        <v>1217434</v>
      </c>
      <c r="H85" s="14">
        <f>D85+апр!H85</f>
        <v>4813470</v>
      </c>
      <c r="I85" s="59"/>
      <c r="J85" s="14">
        <f>F85+апр!J85</f>
        <v>3826370</v>
      </c>
      <c r="K85" s="10">
        <f t="shared" si="44"/>
        <v>3826370</v>
      </c>
      <c r="L85" s="16"/>
      <c r="M85" s="235"/>
      <c r="N85" s="236"/>
      <c r="P85">
        <f t="shared" si="40"/>
        <v>4813470</v>
      </c>
      <c r="Q85" s="44">
        <f>E85+апр!I85</f>
        <v>0</v>
      </c>
      <c r="R85" s="30">
        <f>F85+апр!J85</f>
        <v>3826370</v>
      </c>
    </row>
    <row r="86" spans="1:18" ht="17.25" customHeight="1">
      <c r="A86" s="8"/>
      <c r="B86" s="12" t="s">
        <v>15</v>
      </c>
      <c r="C86" s="13" t="s">
        <v>16</v>
      </c>
      <c r="D86" s="16">
        <f>D84/D85*1000</f>
        <v>21.06000245145394</v>
      </c>
      <c r="E86" s="16"/>
      <c r="F86" s="16">
        <f t="shared" ref="F86" si="48">F84/F85*1000</f>
        <v>20.930000312131913</v>
      </c>
      <c r="G86" s="10">
        <f t="shared" si="43"/>
        <v>20.930000312131913</v>
      </c>
      <c r="H86" s="16">
        <f>H84/H85*1000</f>
        <v>21.06000245145394</v>
      </c>
      <c r="I86" s="8"/>
      <c r="J86" s="13"/>
      <c r="K86" s="10">
        <f t="shared" si="44"/>
        <v>0</v>
      </c>
      <c r="L86" s="16"/>
      <c r="M86" s="220"/>
      <c r="N86" s="221"/>
      <c r="P86">
        <f t="shared" si="40"/>
        <v>105.3000122572697</v>
      </c>
      <c r="Q86" s="44">
        <f>E86+апр!I86</f>
        <v>0</v>
      </c>
      <c r="R86" s="30">
        <f>F86+апр!J86</f>
        <v>20.930000312131913</v>
      </c>
    </row>
    <row r="87" spans="1:18" ht="17.25" customHeight="1">
      <c r="A87" s="92" t="s">
        <v>72</v>
      </c>
      <c r="B87" s="6" t="s">
        <v>73</v>
      </c>
      <c r="C87" s="92" t="s">
        <v>4</v>
      </c>
      <c r="D87" s="7">
        <f>D88+D89+D90</f>
        <v>22015.745000000003</v>
      </c>
      <c r="E87" s="21">
        <f>E88+E89+E90+E91</f>
        <v>20888.748999999996</v>
      </c>
      <c r="F87" s="7">
        <f>F88+F89+F90+F91+F92</f>
        <v>19842.939000000002</v>
      </c>
      <c r="G87" s="16">
        <f t="shared" si="43"/>
        <v>-1045.809999999994</v>
      </c>
      <c r="H87" s="7">
        <f>H88+H89+H90</f>
        <v>110078.72500000001</v>
      </c>
      <c r="I87" s="7">
        <f>I88+I89+I90+I91</f>
        <v>104443.74499999998</v>
      </c>
      <c r="J87" s="7">
        <f>J88+J89+J90+J91+J92</f>
        <v>100420.62</v>
      </c>
      <c r="K87" s="10">
        <f t="shared" si="44"/>
        <v>-4023.1249999999854</v>
      </c>
      <c r="L87" s="16">
        <f t="shared" ref="L87:L151" si="49">K87/I87*100</f>
        <v>-3.851953987287593</v>
      </c>
      <c r="M87" s="220"/>
      <c r="N87" s="221"/>
      <c r="O87" s="30">
        <f>F88+март!J88+F92+F98+март!J92+март!J98</f>
        <v>76189.686000000002</v>
      </c>
      <c r="P87">
        <f t="shared" si="40"/>
        <v>110078.72500000001</v>
      </c>
      <c r="Q87" s="44">
        <f>E87+апр!I87</f>
        <v>104443.74499999998</v>
      </c>
      <c r="R87" s="30">
        <f>F87+апр!J87</f>
        <v>100420.62</v>
      </c>
    </row>
    <row r="88" spans="1:18" ht="17.25" customHeight="1">
      <c r="A88" s="8" t="s">
        <v>74</v>
      </c>
      <c r="B88" s="9" t="s">
        <v>75</v>
      </c>
      <c r="C88" s="8" t="s">
        <v>4</v>
      </c>
      <c r="D88" s="10">
        <v>20032.525000000001</v>
      </c>
      <c r="E88" s="8">
        <v>18751.082999999999</v>
      </c>
      <c r="F88" s="54">
        <f>18595.713-F92-F98</f>
        <v>17880.226999999999</v>
      </c>
      <c r="G88" s="16">
        <f t="shared" si="43"/>
        <v>-870.85599999999977</v>
      </c>
      <c r="H88" s="10">
        <f>D88+апр!H88</f>
        <v>100162.625</v>
      </c>
      <c r="I88" s="8">
        <f>E88+апр!I88</f>
        <v>93755.414999999994</v>
      </c>
      <c r="J88" s="10">
        <f>F88+апр!J88</f>
        <v>90455.099999999991</v>
      </c>
      <c r="K88" s="10">
        <f t="shared" si="44"/>
        <v>-3300.3150000000023</v>
      </c>
      <c r="L88" s="16">
        <f t="shared" si="49"/>
        <v>-3.5201326771365711</v>
      </c>
      <c r="M88" s="227"/>
      <c r="N88" s="228"/>
      <c r="O88" s="30">
        <f>J88+J92+J98</f>
        <v>94091.9</v>
      </c>
      <c r="P88">
        <f t="shared" si="40"/>
        <v>100162.625</v>
      </c>
      <c r="Q88" s="44">
        <f>E88+апр!I88</f>
        <v>93755.414999999994</v>
      </c>
      <c r="R88" s="30">
        <f>F88+апр!J88</f>
        <v>90455.099999999991</v>
      </c>
    </row>
    <row r="89" spans="1:18" ht="17.25" customHeight="1">
      <c r="A89" s="8" t="s">
        <v>76</v>
      </c>
      <c r="B89" s="9" t="s">
        <v>77</v>
      </c>
      <c r="C89" s="8" t="s">
        <v>4</v>
      </c>
      <c r="D89" s="10">
        <v>1101.788</v>
      </c>
      <c r="E89" s="8">
        <v>1012.583</v>
      </c>
      <c r="F89" s="10">
        <v>1010.97</v>
      </c>
      <c r="G89" s="10">
        <f t="shared" si="43"/>
        <v>-1.6129999999999427</v>
      </c>
      <c r="H89" s="10">
        <f>D89+апр!H89</f>
        <v>5508.9400000000005</v>
      </c>
      <c r="I89" s="8">
        <f>E89+апр!I89</f>
        <v>5062.915</v>
      </c>
      <c r="J89" s="10">
        <f>F89+апр!J89</f>
        <v>5092.1679999999997</v>
      </c>
      <c r="K89" s="10">
        <f t="shared" si="44"/>
        <v>29.252999999999702</v>
      </c>
      <c r="L89" s="16">
        <f t="shared" si="49"/>
        <v>0.57778967255029368</v>
      </c>
      <c r="M89" s="227"/>
      <c r="N89" s="228"/>
      <c r="P89">
        <f t="shared" si="40"/>
        <v>5508.9400000000005</v>
      </c>
      <c r="Q89" s="44">
        <f>E89+апр!I89</f>
        <v>5062.915</v>
      </c>
      <c r="R89" s="30">
        <f>F89+апр!J89</f>
        <v>5092.1679999999997</v>
      </c>
    </row>
    <row r="90" spans="1:18" ht="17.25" customHeight="1">
      <c r="A90" s="8" t="s">
        <v>308</v>
      </c>
      <c r="B90" s="9" t="s">
        <v>307</v>
      </c>
      <c r="C90" s="8" t="s">
        <v>4</v>
      </c>
      <c r="D90" s="10">
        <v>881.43200000000002</v>
      </c>
      <c r="E90" s="8">
        <v>843.83299999999997</v>
      </c>
      <c r="F90" s="8">
        <v>546.16499999999996</v>
      </c>
      <c r="G90" s="10">
        <f t="shared" si="43"/>
        <v>-297.66800000000001</v>
      </c>
      <c r="H90" s="10">
        <f>D90+апр!H90</f>
        <v>4407.16</v>
      </c>
      <c r="I90" s="8">
        <f>E90+апр!I90</f>
        <v>4219.165</v>
      </c>
      <c r="J90" s="10">
        <f>F90+апр!J90</f>
        <v>2778.1170000000002</v>
      </c>
      <c r="K90" s="10">
        <f t="shared" si="44"/>
        <v>-1441.0479999999998</v>
      </c>
      <c r="L90" s="16">
        <f t="shared" si="49"/>
        <v>-34.154814993014014</v>
      </c>
      <c r="M90" s="94"/>
      <c r="N90" s="95"/>
      <c r="P90">
        <f t="shared" si="40"/>
        <v>4407.16</v>
      </c>
      <c r="Q90" s="44">
        <f>E90+апр!I90</f>
        <v>4219.165</v>
      </c>
      <c r="R90" s="30">
        <f>F90+апр!J90</f>
        <v>2778.1170000000002</v>
      </c>
    </row>
    <row r="91" spans="1:18" ht="17.25" customHeight="1">
      <c r="A91" s="8" t="s">
        <v>309</v>
      </c>
      <c r="B91" s="9" t="s">
        <v>310</v>
      </c>
      <c r="C91" s="8" t="s">
        <v>4</v>
      </c>
      <c r="D91" s="10"/>
      <c r="E91" s="8">
        <v>281.25</v>
      </c>
      <c r="F91" s="8">
        <v>258.27199999999999</v>
      </c>
      <c r="G91" s="10">
        <f t="shared" si="43"/>
        <v>-22.978000000000009</v>
      </c>
      <c r="H91" s="10">
        <f>D91+апр!H91</f>
        <v>0</v>
      </c>
      <c r="I91" s="8">
        <f>E91+апр!I91</f>
        <v>1406.25</v>
      </c>
      <c r="J91" s="10">
        <f>F91+апр!J91</f>
        <v>1317.018</v>
      </c>
      <c r="K91" s="10">
        <f t="shared" si="44"/>
        <v>-89.231999999999971</v>
      </c>
      <c r="L91" s="16">
        <f t="shared" si="49"/>
        <v>-6.3453866666666654</v>
      </c>
      <c r="M91" s="94"/>
      <c r="N91" s="95"/>
      <c r="P91">
        <f t="shared" si="40"/>
        <v>0</v>
      </c>
      <c r="Q91" s="44">
        <f>E91+апр!I91</f>
        <v>1406.25</v>
      </c>
      <c r="R91" s="30">
        <f>F91+апр!J91</f>
        <v>1317.018</v>
      </c>
    </row>
    <row r="92" spans="1:18" ht="17.25" customHeight="1">
      <c r="A92" s="8"/>
      <c r="B92" s="9" t="s">
        <v>316</v>
      </c>
      <c r="C92" s="8" t="s">
        <v>4</v>
      </c>
      <c r="D92" s="10"/>
      <c r="E92" s="8"/>
      <c r="F92" s="54">
        <v>147.30500000000001</v>
      </c>
      <c r="G92" s="10"/>
      <c r="H92" s="10">
        <f>D92+апр!H92</f>
        <v>0</v>
      </c>
      <c r="I92" s="8">
        <f>E92+апр!I92</f>
        <v>0</v>
      </c>
      <c r="J92" s="10">
        <f>F92+апр!J92</f>
        <v>778.21699999999987</v>
      </c>
      <c r="K92" s="10"/>
      <c r="L92" s="16"/>
      <c r="M92" s="94"/>
      <c r="N92" s="95"/>
      <c r="P92">
        <f t="shared" si="40"/>
        <v>0</v>
      </c>
      <c r="Q92" s="44">
        <f>E92+апр!I92</f>
        <v>0</v>
      </c>
      <c r="R92" s="30">
        <f>F92+апр!J92</f>
        <v>778.21699999999987</v>
      </c>
    </row>
    <row r="93" spans="1:18" ht="17.25" customHeight="1">
      <c r="A93" s="92" t="s">
        <v>78</v>
      </c>
      <c r="B93" s="6" t="s">
        <v>79</v>
      </c>
      <c r="C93" s="92" t="s">
        <v>4</v>
      </c>
      <c r="D93" s="7">
        <f>D94</f>
        <v>12258.85</v>
      </c>
      <c r="E93" s="21">
        <f>E94</f>
        <v>12219.75</v>
      </c>
      <c r="F93" s="7">
        <f>F94</f>
        <v>13648.323</v>
      </c>
      <c r="G93" s="10">
        <f t="shared" si="43"/>
        <v>1428.5730000000003</v>
      </c>
      <c r="H93" s="7">
        <f>H94</f>
        <v>61294.25</v>
      </c>
      <c r="I93" s="21">
        <f>I94</f>
        <v>61098.75</v>
      </c>
      <c r="J93" s="7">
        <f>J94</f>
        <v>58022.010999999999</v>
      </c>
      <c r="K93" s="10">
        <f t="shared" si="44"/>
        <v>-3076.7390000000014</v>
      </c>
      <c r="L93" s="16">
        <f t="shared" si="49"/>
        <v>-5.0356823993944255</v>
      </c>
      <c r="M93" s="220"/>
      <c r="N93" s="221"/>
      <c r="P93">
        <f t="shared" si="40"/>
        <v>61294.25</v>
      </c>
      <c r="Q93" s="44">
        <f>E93+апр!I93</f>
        <v>61098.75</v>
      </c>
      <c r="R93" s="30">
        <f>F93+апр!J93</f>
        <v>58022.010999999999</v>
      </c>
    </row>
    <row r="94" spans="1:18" ht="17.25" customHeight="1">
      <c r="A94" s="23" t="s">
        <v>80</v>
      </c>
      <c r="B94" s="9" t="s">
        <v>81</v>
      </c>
      <c r="C94" s="8" t="s">
        <v>4</v>
      </c>
      <c r="D94" s="10">
        <v>12258.85</v>
      </c>
      <c r="E94" s="8">
        <v>12219.75</v>
      </c>
      <c r="F94" s="8">
        <v>13648.323</v>
      </c>
      <c r="G94" s="10">
        <f t="shared" si="43"/>
        <v>1428.5730000000003</v>
      </c>
      <c r="H94" s="10">
        <f>D94+апр!H94</f>
        <v>61294.25</v>
      </c>
      <c r="I94" s="8">
        <f>E94+апр!I94</f>
        <v>61098.75</v>
      </c>
      <c r="J94" s="10">
        <f>F94+апр!J94</f>
        <v>58022.010999999999</v>
      </c>
      <c r="K94" s="10">
        <f t="shared" si="44"/>
        <v>-3076.7390000000014</v>
      </c>
      <c r="L94" s="16">
        <f t="shared" si="49"/>
        <v>-5.0356823993944255</v>
      </c>
      <c r="M94" s="220"/>
      <c r="N94" s="221"/>
      <c r="P94">
        <f t="shared" si="40"/>
        <v>61294.25</v>
      </c>
      <c r="Q94" s="44">
        <f>E94+апр!I94</f>
        <v>61098.75</v>
      </c>
      <c r="R94" s="30">
        <f>F94+апр!J94</f>
        <v>58022.010999999999</v>
      </c>
    </row>
    <row r="95" spans="1:18" ht="17.25" customHeight="1">
      <c r="A95" s="92" t="s">
        <v>82</v>
      </c>
      <c r="B95" s="6" t="s">
        <v>83</v>
      </c>
      <c r="C95" s="92" t="s">
        <v>4</v>
      </c>
      <c r="D95" s="7">
        <f t="shared" ref="D95:J95" si="50">D96</f>
        <v>588.22500000000002</v>
      </c>
      <c r="E95" s="7">
        <f t="shared" si="50"/>
        <v>291.66699999999997</v>
      </c>
      <c r="F95" s="7">
        <f t="shared" si="50"/>
        <v>14.4</v>
      </c>
      <c r="G95" s="10">
        <f t="shared" si="43"/>
        <v>-277.267</v>
      </c>
      <c r="H95" s="7">
        <f t="shared" si="50"/>
        <v>2941.125</v>
      </c>
      <c r="I95" s="7">
        <f t="shared" si="50"/>
        <v>1458.3349999999998</v>
      </c>
      <c r="J95" s="7">
        <f t="shared" si="50"/>
        <v>15.169</v>
      </c>
      <c r="K95" s="10">
        <f t="shared" si="44"/>
        <v>-1443.1659999999997</v>
      </c>
      <c r="L95" s="16">
        <f t="shared" si="49"/>
        <v>-98.959841188752918</v>
      </c>
      <c r="M95" s="220"/>
      <c r="N95" s="221"/>
      <c r="P95">
        <f t="shared" si="40"/>
        <v>2941.125</v>
      </c>
      <c r="Q95" s="44">
        <f>E95+апр!I95</f>
        <v>1458.3349999999998</v>
      </c>
      <c r="R95" s="30">
        <f>F95+апр!J95</f>
        <v>15.169</v>
      </c>
    </row>
    <row r="96" spans="1:18" ht="54" customHeight="1">
      <c r="A96" s="8" t="s">
        <v>84</v>
      </c>
      <c r="B96" s="9" t="s">
        <v>85</v>
      </c>
      <c r="C96" s="8" t="s">
        <v>4</v>
      </c>
      <c r="D96" s="10">
        <v>588.22500000000002</v>
      </c>
      <c r="E96" s="8">
        <v>291.66699999999997</v>
      </c>
      <c r="F96" s="8">
        <v>14.4</v>
      </c>
      <c r="G96" s="10">
        <f t="shared" si="43"/>
        <v>-277.267</v>
      </c>
      <c r="H96" s="10">
        <f>D96+апр!H96</f>
        <v>2941.125</v>
      </c>
      <c r="I96" s="8">
        <f>E96+апр!I96</f>
        <v>1458.3349999999998</v>
      </c>
      <c r="J96" s="10">
        <f>F96+апр!J96</f>
        <v>15.169</v>
      </c>
      <c r="K96" s="10">
        <f t="shared" si="44"/>
        <v>-1443.1659999999997</v>
      </c>
      <c r="L96" s="16">
        <f t="shared" si="49"/>
        <v>-98.959841188752918</v>
      </c>
      <c r="M96" s="227" t="s">
        <v>299</v>
      </c>
      <c r="N96" s="228"/>
      <c r="P96">
        <f t="shared" si="40"/>
        <v>2941.125</v>
      </c>
      <c r="Q96" s="44">
        <f>E96+апр!I96</f>
        <v>1458.3349999999998</v>
      </c>
      <c r="R96" s="30">
        <f>F96+апр!J96</f>
        <v>15.169</v>
      </c>
    </row>
    <row r="97" spans="1:18" ht="17.25" customHeight="1">
      <c r="A97" s="92" t="s">
        <v>86</v>
      </c>
      <c r="B97" s="6" t="s">
        <v>87</v>
      </c>
      <c r="C97" s="92" t="s">
        <v>4</v>
      </c>
      <c r="D97" s="7">
        <f t="shared" ref="D97" si="51">D98+D99+D103+D104+D109+D110</f>
        <v>2575.1889999999999</v>
      </c>
      <c r="E97" s="7">
        <f>E98+E99+E103+E104+E109+E110</f>
        <v>2562.3330000000001</v>
      </c>
      <c r="F97" s="7">
        <f>F98+F99+F103+F104+F109+F110</f>
        <v>2930.5905000000002</v>
      </c>
      <c r="G97" s="10">
        <f t="shared" si="43"/>
        <v>368.25750000000016</v>
      </c>
      <c r="H97" s="7">
        <f t="shared" ref="H97" si="52">H98+H99+H103+H104+H109+H110</f>
        <v>12875.945</v>
      </c>
      <c r="I97" s="7">
        <f>I98+I99+I103+I104+I109+I110</f>
        <v>12810.332</v>
      </c>
      <c r="J97" s="7">
        <f>J98+J99+J103+J104+J109+J110</f>
        <v>12822.883000000002</v>
      </c>
      <c r="K97" s="10">
        <f t="shared" si="44"/>
        <v>12.551000000001295</v>
      </c>
      <c r="L97" s="16">
        <f t="shared" si="49"/>
        <v>9.797560281811038E-2</v>
      </c>
      <c r="M97" s="220"/>
      <c r="N97" s="221"/>
      <c r="P97">
        <f t="shared" si="40"/>
        <v>12875.945</v>
      </c>
      <c r="Q97" s="44">
        <f>E97+апр!I97</f>
        <v>12811.665000000001</v>
      </c>
      <c r="R97" s="30">
        <f>F97+апр!J97</f>
        <v>12822.883</v>
      </c>
    </row>
    <row r="98" spans="1:18" ht="17.25" customHeight="1">
      <c r="A98" s="8" t="s">
        <v>88</v>
      </c>
      <c r="B98" s="9" t="s">
        <v>89</v>
      </c>
      <c r="C98" s="8" t="s">
        <v>4</v>
      </c>
      <c r="D98" s="10">
        <v>626.41700000000003</v>
      </c>
      <c r="E98" s="8">
        <v>543.08299999999997</v>
      </c>
      <c r="F98" s="54">
        <v>568.18100000000004</v>
      </c>
      <c r="G98" s="10">
        <f t="shared" si="43"/>
        <v>25.09800000000007</v>
      </c>
      <c r="H98" s="10">
        <f>D98+апр!H98</f>
        <v>3132.085</v>
      </c>
      <c r="I98" s="8">
        <f>E98+апр!I98</f>
        <v>2715.415</v>
      </c>
      <c r="J98" s="10">
        <f>F98+апр!J98</f>
        <v>2858.5830000000001</v>
      </c>
      <c r="K98" s="10">
        <f t="shared" si="44"/>
        <v>143.16800000000012</v>
      </c>
      <c r="L98" s="16">
        <f t="shared" si="49"/>
        <v>5.2724169233800406</v>
      </c>
      <c r="M98" s="227" t="s">
        <v>298</v>
      </c>
      <c r="N98" s="228"/>
      <c r="P98">
        <f t="shared" si="40"/>
        <v>3132.085</v>
      </c>
      <c r="Q98" s="44">
        <f>E98+апр!I98</f>
        <v>2715.415</v>
      </c>
      <c r="R98" s="30">
        <f>F98+апр!J98</f>
        <v>2858.5830000000001</v>
      </c>
    </row>
    <row r="99" spans="1:18" ht="53.25" customHeight="1">
      <c r="A99" s="8" t="s">
        <v>90</v>
      </c>
      <c r="B99" s="20" t="s">
        <v>242</v>
      </c>
      <c r="C99" s="8" t="s">
        <v>4</v>
      </c>
      <c r="D99" s="10">
        <f t="shared" ref="D99:F99" si="53">D100+D101+D102</f>
        <v>107.703</v>
      </c>
      <c r="E99" s="8">
        <v>107.667</v>
      </c>
      <c r="F99" s="10">
        <f t="shared" si="53"/>
        <v>0</v>
      </c>
      <c r="G99" s="10">
        <f t="shared" si="43"/>
        <v>-107.667</v>
      </c>
      <c r="H99" s="10">
        <f t="shared" ref="H99" si="54">H100+H101+H102</f>
        <v>538.51499999999999</v>
      </c>
      <c r="I99" s="8">
        <f>E99+апр!I99</f>
        <v>538.33500000000004</v>
      </c>
      <c r="J99" s="10">
        <f t="shared" ref="J99" si="55">J100+J101+J102</f>
        <v>0</v>
      </c>
      <c r="K99" s="10">
        <f t="shared" si="44"/>
        <v>-538.33500000000004</v>
      </c>
      <c r="L99" s="16">
        <f t="shared" si="49"/>
        <v>-100</v>
      </c>
      <c r="M99" s="220"/>
      <c r="N99" s="221"/>
      <c r="P99">
        <f t="shared" si="40"/>
        <v>538.51499999999999</v>
      </c>
      <c r="Q99" s="44">
        <f>E99+апр!I99</f>
        <v>538.33500000000004</v>
      </c>
      <c r="R99" s="30">
        <f>F99+апр!J99</f>
        <v>0</v>
      </c>
    </row>
    <row r="100" spans="1:18" ht="17.25" customHeight="1">
      <c r="A100" s="8" t="s">
        <v>91</v>
      </c>
      <c r="B100" s="20" t="s">
        <v>92</v>
      </c>
      <c r="C100" s="8" t="s">
        <v>4</v>
      </c>
      <c r="D100" s="10">
        <v>45.448999999999998</v>
      </c>
      <c r="E100" s="8"/>
      <c r="F100" s="8"/>
      <c r="G100" s="10">
        <f t="shared" si="43"/>
        <v>0</v>
      </c>
      <c r="H100" s="10">
        <f>D100+апр!H100</f>
        <v>227.245</v>
      </c>
      <c r="I100" s="8"/>
      <c r="J100" s="10">
        <f>F100+апр!J100</f>
        <v>0</v>
      </c>
      <c r="K100" s="10">
        <f t="shared" si="44"/>
        <v>0</v>
      </c>
      <c r="L100" s="16"/>
      <c r="M100" s="220"/>
      <c r="N100" s="221"/>
      <c r="P100">
        <f t="shared" si="40"/>
        <v>227.245</v>
      </c>
      <c r="Q100" s="44">
        <f>E100+апр!I100</f>
        <v>0</v>
      </c>
      <c r="R100" s="30">
        <f>F100+апр!J100</f>
        <v>0</v>
      </c>
    </row>
    <row r="101" spans="1:18" ht="33.75" customHeight="1">
      <c r="A101" s="8" t="s">
        <v>93</v>
      </c>
      <c r="B101" s="20" t="s">
        <v>94</v>
      </c>
      <c r="C101" s="8" t="s">
        <v>4</v>
      </c>
      <c r="D101" s="10">
        <v>62.253999999999998</v>
      </c>
      <c r="E101" s="8"/>
      <c r="F101" s="8"/>
      <c r="G101" s="10">
        <f t="shared" si="43"/>
        <v>0</v>
      </c>
      <c r="H101" s="10">
        <f>D101+апр!H101</f>
        <v>311.27</v>
      </c>
      <c r="I101" s="8"/>
      <c r="J101" s="10">
        <f>F101+апр!J101</f>
        <v>0</v>
      </c>
      <c r="K101" s="10">
        <f t="shared" si="44"/>
        <v>0</v>
      </c>
      <c r="L101" s="16"/>
      <c r="M101" s="220"/>
      <c r="N101" s="221"/>
      <c r="P101">
        <f t="shared" si="40"/>
        <v>311.27</v>
      </c>
      <c r="Q101" s="44">
        <f>E101+апр!I101</f>
        <v>0</v>
      </c>
      <c r="R101" s="30">
        <f>F101+апр!J101</f>
        <v>0</v>
      </c>
    </row>
    <row r="102" spans="1:18" ht="33.75" customHeight="1">
      <c r="A102" s="8" t="s">
        <v>95</v>
      </c>
      <c r="B102" s="20" t="s">
        <v>96</v>
      </c>
      <c r="C102" s="8" t="s">
        <v>4</v>
      </c>
      <c r="D102" s="10"/>
      <c r="E102" s="8"/>
      <c r="F102" s="8"/>
      <c r="G102" s="10">
        <f t="shared" si="43"/>
        <v>0</v>
      </c>
      <c r="H102" s="10">
        <f>D102+апр!H102</f>
        <v>0</v>
      </c>
      <c r="I102" s="8"/>
      <c r="J102" s="10">
        <f>F102+апр!J102</f>
        <v>0</v>
      </c>
      <c r="K102" s="10">
        <f t="shared" si="44"/>
        <v>0</v>
      </c>
      <c r="L102" s="16"/>
      <c r="M102" s="220"/>
      <c r="N102" s="221"/>
      <c r="P102">
        <f t="shared" si="40"/>
        <v>0</v>
      </c>
      <c r="Q102" s="44">
        <f>E102+апр!I102</f>
        <v>0</v>
      </c>
      <c r="R102" s="30">
        <f>F102+апр!J102</f>
        <v>0</v>
      </c>
    </row>
    <row r="103" spans="1:18" ht="17.25" customHeight="1">
      <c r="A103" s="8" t="s">
        <v>97</v>
      </c>
      <c r="B103" s="20" t="s">
        <v>98</v>
      </c>
      <c r="C103" s="8" t="s">
        <v>4</v>
      </c>
      <c r="D103" s="10">
        <v>1.3089999999999999</v>
      </c>
      <c r="E103" s="8">
        <v>1.333</v>
      </c>
      <c r="F103" s="8"/>
      <c r="G103" s="10">
        <f t="shared" si="43"/>
        <v>-1.333</v>
      </c>
      <c r="H103" s="10">
        <f>D103+апр!H103</f>
        <v>6.5449999999999999</v>
      </c>
      <c r="I103" s="8">
        <f>E103+март!I103</f>
        <v>5.3319999999999999</v>
      </c>
      <c r="J103" s="10">
        <f>F103+апр!J103</f>
        <v>0</v>
      </c>
      <c r="K103" s="10">
        <f t="shared" si="44"/>
        <v>-5.3319999999999999</v>
      </c>
      <c r="L103" s="16">
        <f t="shared" si="49"/>
        <v>-100</v>
      </c>
      <c r="M103" s="220"/>
      <c r="N103" s="221"/>
      <c r="P103">
        <f t="shared" si="40"/>
        <v>6.5449999999999999</v>
      </c>
      <c r="Q103" s="44">
        <f>E103+апр!I103</f>
        <v>6.665</v>
      </c>
      <c r="R103" s="30">
        <f>F103+апр!J103</f>
        <v>0</v>
      </c>
    </row>
    <row r="104" spans="1:18" ht="36" customHeight="1">
      <c r="A104" s="18" t="s">
        <v>105</v>
      </c>
      <c r="B104" s="20" t="s">
        <v>99</v>
      </c>
      <c r="C104" s="8" t="s">
        <v>4</v>
      </c>
      <c r="D104" s="10">
        <f t="shared" ref="D104:F104" si="56">D105+D106+D107+D108</f>
        <v>186.095</v>
      </c>
      <c r="E104" s="10">
        <f t="shared" si="56"/>
        <v>152.833</v>
      </c>
      <c r="F104" s="10">
        <f t="shared" si="56"/>
        <v>1012.229</v>
      </c>
      <c r="G104" s="10">
        <f t="shared" si="43"/>
        <v>859.39600000000007</v>
      </c>
      <c r="H104" s="10">
        <f t="shared" ref="H104:J104" si="57">H105+H106+H107+H108</f>
        <v>930.47500000000014</v>
      </c>
      <c r="I104" s="8">
        <f>E104+апр!I104</f>
        <v>764.16499999999996</v>
      </c>
      <c r="J104" s="10">
        <f t="shared" si="57"/>
        <v>1811.213</v>
      </c>
      <c r="K104" s="10">
        <f t="shared" si="44"/>
        <v>1047.048</v>
      </c>
      <c r="L104" s="16">
        <f t="shared" si="49"/>
        <v>137.01857583113593</v>
      </c>
      <c r="M104" s="220"/>
      <c r="N104" s="221"/>
      <c r="P104">
        <f t="shared" si="40"/>
        <v>930.47500000000002</v>
      </c>
      <c r="Q104" s="44">
        <f>E104+апр!I104</f>
        <v>764.16499999999996</v>
      </c>
      <c r="R104" s="30">
        <f>F104+апр!J104</f>
        <v>1811.2130000000002</v>
      </c>
    </row>
    <row r="105" spans="1:18" ht="17.25" customHeight="1">
      <c r="A105" s="24" t="s">
        <v>243</v>
      </c>
      <c r="B105" s="20" t="s">
        <v>100</v>
      </c>
      <c r="C105" s="8" t="s">
        <v>4</v>
      </c>
      <c r="D105" s="10">
        <v>43.570999999999998</v>
      </c>
      <c r="E105" s="8">
        <v>43.582999999999998</v>
      </c>
      <c r="F105" s="8">
        <f>246.225+237.46</f>
        <v>483.685</v>
      </c>
      <c r="G105" s="10">
        <f t="shared" si="43"/>
        <v>440.10199999999998</v>
      </c>
      <c r="H105" s="10">
        <f>D105+апр!H105</f>
        <v>217.85499999999999</v>
      </c>
      <c r="I105" s="8">
        <f>E105+апр!I105</f>
        <v>217.91499999999999</v>
      </c>
      <c r="J105" s="10">
        <f>F105+апр!J105</f>
        <v>705.31600000000003</v>
      </c>
      <c r="K105" s="10">
        <f t="shared" si="44"/>
        <v>487.40100000000007</v>
      </c>
      <c r="L105" s="16">
        <f t="shared" si="49"/>
        <v>223.66564945047384</v>
      </c>
      <c r="M105" s="220"/>
      <c r="N105" s="221"/>
      <c r="P105">
        <f t="shared" si="40"/>
        <v>217.85499999999999</v>
      </c>
      <c r="Q105" s="44">
        <f>E105+апр!I105</f>
        <v>217.91499999999999</v>
      </c>
      <c r="R105" s="30">
        <f>F105+апр!J105</f>
        <v>705.31600000000003</v>
      </c>
    </row>
    <row r="106" spans="1:18" ht="28.5" customHeight="1">
      <c r="A106" s="8" t="s">
        <v>244</v>
      </c>
      <c r="B106" s="20" t="s">
        <v>101</v>
      </c>
      <c r="C106" s="8" t="s">
        <v>4</v>
      </c>
      <c r="D106" s="10">
        <v>116.209</v>
      </c>
      <c r="E106" s="8">
        <v>82.917000000000002</v>
      </c>
      <c r="F106" s="8">
        <v>130.54599999999999</v>
      </c>
      <c r="G106" s="10">
        <f t="shared" si="43"/>
        <v>47.628999999999991</v>
      </c>
      <c r="H106" s="10">
        <f>D106+апр!H106</f>
        <v>581.04500000000007</v>
      </c>
      <c r="I106" s="8">
        <f>E106+апр!I106</f>
        <v>414.58500000000004</v>
      </c>
      <c r="J106" s="10">
        <f>F106+апр!J106</f>
        <v>584.14599999999996</v>
      </c>
      <c r="K106" s="10">
        <f t="shared" si="44"/>
        <v>169.56099999999992</v>
      </c>
      <c r="L106" s="16">
        <f t="shared" si="49"/>
        <v>40.898971260417021</v>
      </c>
      <c r="M106" s="222" t="s">
        <v>287</v>
      </c>
      <c r="N106" s="223"/>
      <c r="P106">
        <f t="shared" si="40"/>
        <v>581.04500000000007</v>
      </c>
      <c r="Q106" s="44">
        <f>E106+апр!I106</f>
        <v>414.58500000000004</v>
      </c>
      <c r="R106" s="30">
        <f>F106+апр!J106</f>
        <v>584.14599999999996</v>
      </c>
    </row>
    <row r="107" spans="1:18" ht="37.5" customHeight="1">
      <c r="A107" s="8" t="s">
        <v>245</v>
      </c>
      <c r="B107" s="20" t="s">
        <v>102</v>
      </c>
      <c r="C107" s="8" t="s">
        <v>4</v>
      </c>
      <c r="D107" s="10">
        <v>26.315000000000001</v>
      </c>
      <c r="E107" s="8">
        <v>26.332999999999998</v>
      </c>
      <c r="F107" s="10">
        <f>368+29.998</f>
        <v>397.99799999999999</v>
      </c>
      <c r="G107" s="10">
        <f t="shared" si="43"/>
        <v>371.66499999999996</v>
      </c>
      <c r="H107" s="10">
        <f>D107+апр!H107</f>
        <v>131.57500000000002</v>
      </c>
      <c r="I107" s="8">
        <f>E107+апр!I107</f>
        <v>131.66499999999999</v>
      </c>
      <c r="J107" s="10">
        <f>F107+апр!J107</f>
        <v>521.75099999999998</v>
      </c>
      <c r="K107" s="10">
        <f t="shared" si="44"/>
        <v>390.08600000000001</v>
      </c>
      <c r="L107" s="16">
        <f t="shared" si="49"/>
        <v>296.27159837466303</v>
      </c>
      <c r="M107" s="220"/>
      <c r="N107" s="221"/>
      <c r="P107">
        <f t="shared" si="40"/>
        <v>131.57500000000002</v>
      </c>
      <c r="Q107" s="44">
        <f>E107+апр!I107</f>
        <v>131.66499999999999</v>
      </c>
      <c r="R107" s="30">
        <f>F107+апр!J107</f>
        <v>521.75099999999998</v>
      </c>
    </row>
    <row r="108" spans="1:18" ht="35.25" hidden="1" customHeight="1">
      <c r="A108" s="8" t="s">
        <v>103</v>
      </c>
      <c r="B108" s="20" t="s">
        <v>104</v>
      </c>
      <c r="C108" s="8" t="s">
        <v>4</v>
      </c>
      <c r="D108" s="10">
        <v>0</v>
      </c>
      <c r="E108" s="8"/>
      <c r="F108" s="8"/>
      <c r="G108" s="10">
        <f t="shared" si="43"/>
        <v>0</v>
      </c>
      <c r="H108" s="10">
        <f>D108+апр!H108</f>
        <v>0</v>
      </c>
      <c r="I108" s="8">
        <f>E108+март!I108</f>
        <v>0</v>
      </c>
      <c r="J108" s="10">
        <f>F108+апр!J108</f>
        <v>0</v>
      </c>
      <c r="K108" s="10">
        <f t="shared" si="44"/>
        <v>0</v>
      </c>
      <c r="L108" s="16" t="e">
        <f t="shared" si="49"/>
        <v>#DIV/0!</v>
      </c>
      <c r="M108" s="220"/>
      <c r="N108" s="221"/>
      <c r="P108">
        <f t="shared" si="40"/>
        <v>0</v>
      </c>
      <c r="Q108" s="44">
        <f>E108+апр!I108</f>
        <v>0</v>
      </c>
      <c r="R108" s="30">
        <f>F108+апр!J108</f>
        <v>0</v>
      </c>
    </row>
    <row r="109" spans="1:18" ht="17.25" customHeight="1">
      <c r="A109" s="18" t="s">
        <v>246</v>
      </c>
      <c r="B109" s="20" t="s">
        <v>106</v>
      </c>
      <c r="C109" s="8" t="s">
        <v>4</v>
      </c>
      <c r="D109" s="10">
        <v>91.483999999999995</v>
      </c>
      <c r="E109" s="8">
        <v>58.167000000000002</v>
      </c>
      <c r="F109" s="8">
        <f>15.207+22.409+4.525+1.393+0.256</f>
        <v>43.79</v>
      </c>
      <c r="G109" s="10">
        <f t="shared" si="43"/>
        <v>-14.377000000000002</v>
      </c>
      <c r="H109" s="10">
        <f>D109+апр!H109</f>
        <v>457.41999999999996</v>
      </c>
      <c r="I109" s="8">
        <f>E109+апр!I109</f>
        <v>290.83500000000004</v>
      </c>
      <c r="J109" s="10">
        <f>F109+апр!J109</f>
        <v>190.62699999999998</v>
      </c>
      <c r="K109" s="10">
        <f t="shared" si="44"/>
        <v>-100.20800000000006</v>
      </c>
      <c r="L109" s="16">
        <f t="shared" si="49"/>
        <v>-34.455275327935098</v>
      </c>
      <c r="M109" s="220"/>
      <c r="N109" s="221"/>
      <c r="P109">
        <f t="shared" si="40"/>
        <v>457.41999999999996</v>
      </c>
      <c r="Q109" s="44">
        <f>E109+апр!I109</f>
        <v>290.83500000000004</v>
      </c>
      <c r="R109" s="30">
        <f>F109+апр!J109</f>
        <v>190.62699999999998</v>
      </c>
    </row>
    <row r="110" spans="1:18" ht="17.25" customHeight="1">
      <c r="A110" s="17" t="s">
        <v>247</v>
      </c>
      <c r="B110" s="6" t="s">
        <v>107</v>
      </c>
      <c r="C110" s="8" t="s">
        <v>4</v>
      </c>
      <c r="D110" s="10">
        <f>D111+D115+D119+D123+D124+D125+D126+D127+D128+D129+D130+D131+D132+D133+D134+D135</f>
        <v>1562.1809999999998</v>
      </c>
      <c r="E110" s="10">
        <f>E111+E115+E119+E123+E124+E125+E126+E127+E128+E129+E130+E131+E132+E133+E134+E135+E136+E137</f>
        <v>1699.25</v>
      </c>
      <c r="F110" s="10">
        <f>F111+F115+F119+F123+F124+F125+F126+F127+F128+F129+F130+F131+F132+F133+F134+F135+F136+F137</f>
        <v>1306.3905</v>
      </c>
      <c r="G110" s="10">
        <f t="shared" si="43"/>
        <v>-392.85950000000003</v>
      </c>
      <c r="H110" s="10">
        <f>H111+H115+H119+H123+H124+H125+H126+H127+H128+H129+H130+H131+H132+H133+H134+H135</f>
        <v>7810.9050000000007</v>
      </c>
      <c r="I110" s="10">
        <f>I111+I115+I119+I123+I124+I125+I126+I127+I128+I129+I130+I131+I132+I133+I134+I135+I136+I137</f>
        <v>8496.25</v>
      </c>
      <c r="J110" s="10">
        <f>J111+J115+J119+J123+J124+J125+J126+J127+J128+J129+J130+J131+J132+J133+J134+J135+J136+J137</f>
        <v>7962.4600000000009</v>
      </c>
      <c r="K110" s="10">
        <f t="shared" si="44"/>
        <v>-533.78999999999905</v>
      </c>
      <c r="L110" s="16">
        <f t="shared" si="49"/>
        <v>-6.2826541121082711</v>
      </c>
      <c r="M110" s="226"/>
      <c r="N110" s="221"/>
      <c r="P110">
        <f t="shared" si="40"/>
        <v>7810.9049999999988</v>
      </c>
      <c r="Q110" s="44">
        <f>E110+апр!I110</f>
        <v>8496.25</v>
      </c>
      <c r="R110" s="30">
        <f>F110+апр!J110</f>
        <v>7962.4600000000009</v>
      </c>
    </row>
    <row r="111" spans="1:18" ht="18" customHeight="1">
      <c r="A111" s="18" t="s">
        <v>248</v>
      </c>
      <c r="B111" s="9" t="s">
        <v>108</v>
      </c>
      <c r="C111" s="8" t="s">
        <v>4</v>
      </c>
      <c r="D111" s="10">
        <v>431.38099999999997</v>
      </c>
      <c r="E111" s="8">
        <v>431.41699999999997</v>
      </c>
      <c r="F111" s="10">
        <f>F112+F113+F114</f>
        <v>230.88</v>
      </c>
      <c r="G111" s="10">
        <f t="shared" si="43"/>
        <v>-200.53699999999998</v>
      </c>
      <c r="H111" s="10">
        <f>D111+апр!H111</f>
        <v>2156.9049999999997</v>
      </c>
      <c r="I111" s="8">
        <f>E111+апр!I111</f>
        <v>2157.085</v>
      </c>
      <c r="J111" s="10">
        <f>J112+J113+J114</f>
        <v>1419.511</v>
      </c>
      <c r="K111" s="10">
        <f t="shared" si="44"/>
        <v>-737.57400000000007</v>
      </c>
      <c r="L111" s="16">
        <f t="shared" si="49"/>
        <v>-34.193089284845058</v>
      </c>
      <c r="M111" s="231"/>
      <c r="N111" s="232"/>
      <c r="P111">
        <f t="shared" si="40"/>
        <v>2156.9049999999997</v>
      </c>
      <c r="Q111" s="44">
        <f>E111+апр!I111</f>
        <v>2157.085</v>
      </c>
      <c r="R111" s="30">
        <f>F111+апр!J111</f>
        <v>1419.511</v>
      </c>
    </row>
    <row r="112" spans="1:18" ht="17.25" customHeight="1">
      <c r="A112" s="18"/>
      <c r="B112" s="9" t="s">
        <v>221</v>
      </c>
      <c r="C112" s="8" t="s">
        <v>4</v>
      </c>
      <c r="D112" s="10"/>
      <c r="E112" s="8"/>
      <c r="F112" s="10">
        <v>230.88</v>
      </c>
      <c r="G112" s="10">
        <f t="shared" si="43"/>
        <v>230.88</v>
      </c>
      <c r="H112" s="10"/>
      <c r="I112" s="8"/>
      <c r="J112" s="10">
        <f>F112+апр!J112</f>
        <v>1197.69</v>
      </c>
      <c r="K112" s="10">
        <f t="shared" si="44"/>
        <v>1197.69</v>
      </c>
      <c r="L112" s="16"/>
      <c r="M112" s="220"/>
      <c r="N112" s="221"/>
      <c r="P112">
        <f t="shared" si="40"/>
        <v>0</v>
      </c>
      <c r="Q112" s="44">
        <f>E112+апр!I112</f>
        <v>0</v>
      </c>
      <c r="R112" s="30">
        <f>F112+апр!J112</f>
        <v>1197.69</v>
      </c>
    </row>
    <row r="113" spans="1:18" ht="36" customHeight="1">
      <c r="A113" s="18"/>
      <c r="B113" s="9" t="s">
        <v>222</v>
      </c>
      <c r="C113" s="8" t="s">
        <v>4</v>
      </c>
      <c r="D113" s="10"/>
      <c r="E113" s="8"/>
      <c r="F113" s="10"/>
      <c r="G113" s="10">
        <f t="shared" si="43"/>
        <v>0</v>
      </c>
      <c r="H113" s="10"/>
      <c r="I113" s="8"/>
      <c r="J113" s="10">
        <f>F113+апр!J113</f>
        <v>221.821</v>
      </c>
      <c r="K113" s="10">
        <f t="shared" si="44"/>
        <v>221.821</v>
      </c>
      <c r="L113" s="16"/>
      <c r="M113" s="220"/>
      <c r="N113" s="221"/>
      <c r="P113">
        <f t="shared" si="40"/>
        <v>0</v>
      </c>
      <c r="Q113" s="44">
        <f>E113+апр!I113</f>
        <v>0</v>
      </c>
      <c r="R113" s="30">
        <f>F113+апр!J113</f>
        <v>221.821</v>
      </c>
    </row>
    <row r="114" spans="1:18" ht="17.25" customHeight="1">
      <c r="A114" s="18"/>
      <c r="B114" s="9" t="s">
        <v>223</v>
      </c>
      <c r="C114" s="8" t="s">
        <v>4</v>
      </c>
      <c r="D114" s="10"/>
      <c r="E114" s="8"/>
      <c r="F114" s="8"/>
      <c r="G114" s="10">
        <f t="shared" si="43"/>
        <v>0</v>
      </c>
      <c r="H114" s="10"/>
      <c r="I114" s="8"/>
      <c r="J114" s="10">
        <f>F114+апр!J114</f>
        <v>0</v>
      </c>
      <c r="K114" s="10">
        <f t="shared" si="44"/>
        <v>0</v>
      </c>
      <c r="L114" s="16"/>
      <c r="M114" s="220"/>
      <c r="N114" s="221"/>
      <c r="P114">
        <f t="shared" si="40"/>
        <v>0</v>
      </c>
      <c r="Q114" s="44">
        <f>E114+апр!I114</f>
        <v>0</v>
      </c>
      <c r="R114" s="30">
        <f>F114+апр!J114</f>
        <v>0</v>
      </c>
    </row>
    <row r="115" spans="1:18" ht="17.25" customHeight="1">
      <c r="A115" s="18" t="s">
        <v>249</v>
      </c>
      <c r="B115" s="9" t="s">
        <v>109</v>
      </c>
      <c r="C115" s="8" t="s">
        <v>4</v>
      </c>
      <c r="D115" s="10">
        <f t="shared" ref="D115" si="58">D116+D117+D118</f>
        <v>121.34400000000001</v>
      </c>
      <c r="E115" s="10">
        <v>121.333</v>
      </c>
      <c r="F115" s="10"/>
      <c r="G115" s="10">
        <f t="shared" si="43"/>
        <v>-121.333</v>
      </c>
      <c r="H115" s="10">
        <f t="shared" ref="H115" si="59">H116+H117+H118</f>
        <v>606.72</v>
      </c>
      <c r="I115" s="8">
        <f>E115+апр!I115</f>
        <v>606.66499999999996</v>
      </c>
      <c r="J115" s="10">
        <f t="shared" ref="J115" si="60">J116+J117+J118</f>
        <v>0</v>
      </c>
      <c r="K115" s="10">
        <f t="shared" si="44"/>
        <v>-606.66499999999996</v>
      </c>
      <c r="L115" s="16">
        <f t="shared" si="49"/>
        <v>-100</v>
      </c>
      <c r="M115" s="220"/>
      <c r="N115" s="221"/>
      <c r="P115">
        <f t="shared" si="40"/>
        <v>606.72</v>
      </c>
      <c r="Q115" s="44">
        <f>E115+апр!I115</f>
        <v>606.66499999999996</v>
      </c>
      <c r="R115" s="30">
        <f>F115+апр!J115</f>
        <v>0</v>
      </c>
    </row>
    <row r="116" spans="1:18" ht="36" customHeight="1">
      <c r="A116" s="8" t="s">
        <v>250</v>
      </c>
      <c r="B116" s="9" t="s">
        <v>240</v>
      </c>
      <c r="C116" s="8" t="s">
        <v>4</v>
      </c>
      <c r="D116" s="10">
        <v>86.322000000000003</v>
      </c>
      <c r="E116" s="8"/>
      <c r="F116" s="8"/>
      <c r="G116" s="10">
        <f t="shared" si="43"/>
        <v>0</v>
      </c>
      <c r="H116" s="10">
        <f>D116+апр!H116</f>
        <v>431.61</v>
      </c>
      <c r="I116" s="8"/>
      <c r="J116" s="10">
        <f>F116+апр!J116</f>
        <v>0</v>
      </c>
      <c r="K116" s="10">
        <f t="shared" si="44"/>
        <v>0</v>
      </c>
      <c r="L116" s="16"/>
      <c r="M116" s="220"/>
      <c r="N116" s="221"/>
      <c r="P116">
        <f t="shared" si="40"/>
        <v>431.61</v>
      </c>
      <c r="Q116" s="44">
        <f>E116+апр!I116</f>
        <v>0</v>
      </c>
      <c r="R116" s="30">
        <f>F116+апр!J116</f>
        <v>0</v>
      </c>
    </row>
    <row r="117" spans="1:18" ht="42.75" customHeight="1">
      <c r="A117" s="8" t="s">
        <v>251</v>
      </c>
      <c r="B117" s="9" t="s">
        <v>241</v>
      </c>
      <c r="C117" s="8" t="s">
        <v>4</v>
      </c>
      <c r="D117" s="10">
        <v>31.76</v>
      </c>
      <c r="E117" s="8"/>
      <c r="F117" s="8"/>
      <c r="G117" s="10">
        <f t="shared" si="43"/>
        <v>0</v>
      </c>
      <c r="H117" s="10">
        <f>D117+апр!H117</f>
        <v>158.80000000000001</v>
      </c>
      <c r="I117" s="8"/>
      <c r="J117" s="10">
        <f>F117+апр!J117</f>
        <v>0</v>
      </c>
      <c r="K117" s="10">
        <f t="shared" si="44"/>
        <v>0</v>
      </c>
      <c r="L117" s="16"/>
      <c r="M117" s="220"/>
      <c r="N117" s="221"/>
      <c r="P117">
        <f t="shared" si="40"/>
        <v>158.80000000000001</v>
      </c>
      <c r="Q117" s="44">
        <f>E117+апр!I117</f>
        <v>0</v>
      </c>
      <c r="R117" s="30">
        <f>F117+апр!J117</f>
        <v>0</v>
      </c>
    </row>
    <row r="118" spans="1:18" ht="17.25" customHeight="1">
      <c r="A118" s="8" t="s">
        <v>252</v>
      </c>
      <c r="B118" s="9" t="s">
        <v>110</v>
      </c>
      <c r="C118" s="8" t="s">
        <v>4</v>
      </c>
      <c r="D118" s="10">
        <v>3.262</v>
      </c>
      <c r="E118" s="8"/>
      <c r="F118" s="8"/>
      <c r="G118" s="10">
        <f t="shared" si="43"/>
        <v>0</v>
      </c>
      <c r="H118" s="10">
        <f>D118+апр!H118</f>
        <v>16.309999999999999</v>
      </c>
      <c r="I118" s="8"/>
      <c r="J118" s="10">
        <f>F118+апр!J118</f>
        <v>0</v>
      </c>
      <c r="K118" s="10">
        <f t="shared" si="44"/>
        <v>0</v>
      </c>
      <c r="L118" s="16"/>
      <c r="M118" s="220"/>
      <c r="N118" s="221"/>
      <c r="P118">
        <f t="shared" si="40"/>
        <v>16.309999999999999</v>
      </c>
      <c r="Q118" s="44">
        <f>E118+апр!I118</f>
        <v>0</v>
      </c>
      <c r="R118" s="30">
        <f>F118+апр!J118</f>
        <v>0</v>
      </c>
    </row>
    <row r="119" spans="1:18" ht="34.5" customHeight="1">
      <c r="A119" s="18" t="s">
        <v>253</v>
      </c>
      <c r="B119" s="9" t="s">
        <v>111</v>
      </c>
      <c r="C119" s="8" t="s">
        <v>4</v>
      </c>
      <c r="D119" s="10">
        <f>D120</f>
        <v>380.84899999999999</v>
      </c>
      <c r="E119" s="10">
        <v>356.5</v>
      </c>
      <c r="F119" s="10">
        <f>F120</f>
        <v>428.21550000000002</v>
      </c>
      <c r="G119" s="10">
        <f t="shared" si="43"/>
        <v>71.71550000000002</v>
      </c>
      <c r="H119" s="10">
        <f>H120</f>
        <v>1904.2449999999999</v>
      </c>
      <c r="I119" s="8">
        <f>E119+апр!I119</f>
        <v>1782.5</v>
      </c>
      <c r="J119" s="10">
        <f>J120</f>
        <v>1755.057</v>
      </c>
      <c r="K119" s="10">
        <f t="shared" si="44"/>
        <v>-27.442999999999984</v>
      </c>
      <c r="L119" s="16">
        <f t="shared" si="49"/>
        <v>-1.5395792426367452</v>
      </c>
      <c r="M119" s="220"/>
      <c r="N119" s="221"/>
      <c r="P119">
        <f t="shared" si="40"/>
        <v>1904.2449999999999</v>
      </c>
      <c r="Q119" s="44">
        <f>E119+апр!I119</f>
        <v>1782.5</v>
      </c>
      <c r="R119" s="30">
        <f>F119+апр!J119</f>
        <v>1755.057</v>
      </c>
    </row>
    <row r="120" spans="1:18" ht="17.25" customHeight="1">
      <c r="A120" s="8"/>
      <c r="B120" s="25" t="s">
        <v>112</v>
      </c>
      <c r="C120" s="8" t="s">
        <v>113</v>
      </c>
      <c r="D120" s="10">
        <v>380.84899999999999</v>
      </c>
      <c r="E120" s="10">
        <f>E122*E121</f>
        <v>356.5</v>
      </c>
      <c r="F120" s="10">
        <f>F122*F121</f>
        <v>428.21550000000002</v>
      </c>
      <c r="G120" s="10">
        <f t="shared" si="43"/>
        <v>71.71550000000002</v>
      </c>
      <c r="H120" s="10">
        <f>D120+апр!H120</f>
        <v>1904.2449999999999</v>
      </c>
      <c r="I120" s="8">
        <f>E120+апр!I120</f>
        <v>1782.5</v>
      </c>
      <c r="J120" s="10">
        <f>F120+апр!J120</f>
        <v>1755.057</v>
      </c>
      <c r="K120" s="10">
        <f t="shared" si="44"/>
        <v>-27.442999999999984</v>
      </c>
      <c r="L120" s="16">
        <f t="shared" si="49"/>
        <v>-1.5395792426367452</v>
      </c>
      <c r="M120" s="220"/>
      <c r="N120" s="221"/>
      <c r="P120">
        <f t="shared" si="40"/>
        <v>1904.2449999999999</v>
      </c>
      <c r="Q120" s="44">
        <f>E120+апр!I120</f>
        <v>1782.5</v>
      </c>
      <c r="R120" s="30">
        <f>F120+апр!J120</f>
        <v>1755.057</v>
      </c>
    </row>
    <row r="121" spans="1:18" ht="17.25" customHeight="1">
      <c r="A121" s="8"/>
      <c r="B121" s="12" t="s">
        <v>13</v>
      </c>
      <c r="C121" s="13" t="s">
        <v>114</v>
      </c>
      <c r="D121" s="10">
        <v>761.69899999999996</v>
      </c>
      <c r="E121" s="16">
        <f>E119/E122</f>
        <v>713</v>
      </c>
      <c r="F121" s="8">
        <f>F210</f>
        <v>856.43100000000004</v>
      </c>
      <c r="G121" s="10">
        <f t="shared" si="43"/>
        <v>143.43100000000004</v>
      </c>
      <c r="H121" s="10">
        <f>D121+апр!H121</f>
        <v>3808.4949999999999</v>
      </c>
      <c r="I121" s="8">
        <f>E121+апр!I121</f>
        <v>3565</v>
      </c>
      <c r="J121" s="10">
        <f>F121+апр!J121</f>
        <v>3510.1130000000003</v>
      </c>
      <c r="K121" s="10">
        <f t="shared" si="44"/>
        <v>-54.886999999999716</v>
      </c>
      <c r="L121" s="16">
        <f t="shared" si="49"/>
        <v>-1.5396072931276217</v>
      </c>
      <c r="M121" s="220"/>
      <c r="N121" s="221"/>
      <c r="P121">
        <f t="shared" si="40"/>
        <v>3808.4949999999999</v>
      </c>
      <c r="Q121" s="44">
        <f>E121+апр!I121</f>
        <v>3565</v>
      </c>
      <c r="R121" s="30">
        <f>F121+апр!J121</f>
        <v>3510.1130000000003</v>
      </c>
    </row>
    <row r="122" spans="1:18" ht="17.25" customHeight="1">
      <c r="A122" s="8"/>
      <c r="B122" s="12" t="s">
        <v>15</v>
      </c>
      <c r="C122" s="13" t="s">
        <v>16</v>
      </c>
      <c r="D122" s="11">
        <v>0.5</v>
      </c>
      <c r="E122" s="11">
        <v>0.5</v>
      </c>
      <c r="F122" s="11">
        <v>0.5</v>
      </c>
      <c r="G122" s="10">
        <f t="shared" si="43"/>
        <v>0</v>
      </c>
      <c r="H122" s="11">
        <v>0.5</v>
      </c>
      <c r="I122" s="11">
        <v>0.5</v>
      </c>
      <c r="J122" s="11">
        <v>0.5</v>
      </c>
      <c r="K122" s="10">
        <f t="shared" si="44"/>
        <v>0</v>
      </c>
      <c r="L122" s="16">
        <f t="shared" si="49"/>
        <v>0</v>
      </c>
      <c r="M122" s="220"/>
      <c r="N122" s="221"/>
      <c r="P122">
        <f t="shared" si="40"/>
        <v>2.5</v>
      </c>
      <c r="Q122" s="44">
        <f>E122+апр!I122</f>
        <v>1</v>
      </c>
      <c r="R122" s="30">
        <f>F122+апр!J122</f>
        <v>1</v>
      </c>
    </row>
    <row r="123" spans="1:18" ht="17.25" customHeight="1">
      <c r="A123" s="18" t="s">
        <v>254</v>
      </c>
      <c r="B123" s="9" t="s">
        <v>115</v>
      </c>
      <c r="C123" s="8" t="s">
        <v>4</v>
      </c>
      <c r="D123" s="10">
        <v>1.1120000000000001</v>
      </c>
      <c r="E123" s="8">
        <v>1.083</v>
      </c>
      <c r="F123" s="8"/>
      <c r="G123" s="10">
        <f t="shared" si="43"/>
        <v>-1.083</v>
      </c>
      <c r="H123" s="10">
        <f>D123+апр!H123</f>
        <v>5.5600000000000005</v>
      </c>
      <c r="I123" s="8">
        <f>E123+апр!I123</f>
        <v>5.415</v>
      </c>
      <c r="J123" s="10">
        <f>F123+апр!J123</f>
        <v>0</v>
      </c>
      <c r="K123" s="10">
        <f t="shared" si="44"/>
        <v>-5.415</v>
      </c>
      <c r="L123" s="16">
        <f t="shared" si="49"/>
        <v>-100</v>
      </c>
      <c r="M123" s="220"/>
      <c r="N123" s="221"/>
      <c r="P123">
        <f t="shared" si="40"/>
        <v>5.5600000000000005</v>
      </c>
      <c r="Q123" s="44">
        <f>E123+апр!I123</f>
        <v>5.415</v>
      </c>
      <c r="R123" s="30">
        <f>F123+апр!J123</f>
        <v>0</v>
      </c>
    </row>
    <row r="124" spans="1:18" ht="36" customHeight="1">
      <c r="A124" s="18" t="s">
        <v>255</v>
      </c>
      <c r="B124" s="9" t="s">
        <v>116</v>
      </c>
      <c r="C124" s="8" t="s">
        <v>4</v>
      </c>
      <c r="D124" s="10">
        <v>53.17</v>
      </c>
      <c r="E124" s="8">
        <v>52.167000000000002</v>
      </c>
      <c r="F124" s="10">
        <v>45</v>
      </c>
      <c r="G124" s="10">
        <f t="shared" si="43"/>
        <v>-7.1670000000000016</v>
      </c>
      <c r="H124" s="10">
        <f>D124+апр!H124</f>
        <v>265.85000000000002</v>
      </c>
      <c r="I124" s="8">
        <f>E124+апр!I124</f>
        <v>260.83500000000004</v>
      </c>
      <c r="J124" s="10">
        <f>F124+апр!J124</f>
        <v>225</v>
      </c>
      <c r="K124" s="10">
        <f t="shared" si="44"/>
        <v>-35.835000000000036</v>
      </c>
      <c r="L124" s="16">
        <f t="shared" si="49"/>
        <v>-13.738570360572789</v>
      </c>
      <c r="M124" s="220"/>
      <c r="N124" s="221"/>
      <c r="P124">
        <f t="shared" si="40"/>
        <v>265.85000000000002</v>
      </c>
      <c r="Q124" s="44">
        <f>E124+апр!I124</f>
        <v>260.83500000000004</v>
      </c>
      <c r="R124" s="30">
        <f>F124+апр!J124</f>
        <v>225</v>
      </c>
    </row>
    <row r="125" spans="1:18" ht="41.25" customHeight="1">
      <c r="A125" s="18" t="s">
        <v>256</v>
      </c>
      <c r="B125" s="9" t="s">
        <v>117</v>
      </c>
      <c r="C125" s="8" t="s">
        <v>4</v>
      </c>
      <c r="D125" s="10">
        <v>411.35</v>
      </c>
      <c r="E125" s="8">
        <v>411.33300000000003</v>
      </c>
      <c r="F125" s="8">
        <f>178.332+251.693</f>
        <v>430.02499999999998</v>
      </c>
      <c r="G125" s="10">
        <f t="shared" si="43"/>
        <v>18.69199999999995</v>
      </c>
      <c r="H125" s="10">
        <f>D125+апр!H125</f>
        <v>2056.75</v>
      </c>
      <c r="I125" s="8">
        <f>E125+апр!I125</f>
        <v>2056.665</v>
      </c>
      <c r="J125" s="10">
        <f>F125+апр!J125</f>
        <v>2657.4010000000003</v>
      </c>
      <c r="K125" s="10">
        <f t="shared" si="44"/>
        <v>600.73600000000033</v>
      </c>
      <c r="L125" s="16">
        <f t="shared" si="49"/>
        <v>29.209229505048238</v>
      </c>
      <c r="M125" s="222" t="s">
        <v>294</v>
      </c>
      <c r="N125" s="223"/>
      <c r="P125">
        <f t="shared" si="40"/>
        <v>2056.75</v>
      </c>
      <c r="Q125" s="44">
        <f>E125+апр!I125</f>
        <v>2056.665</v>
      </c>
      <c r="R125" s="30">
        <f>F125+апр!J125</f>
        <v>2657.4010000000003</v>
      </c>
    </row>
    <row r="126" spans="1:18" ht="55.5" customHeight="1">
      <c r="A126" s="18" t="s">
        <v>257</v>
      </c>
      <c r="B126" s="9" t="s">
        <v>118</v>
      </c>
      <c r="C126" s="8" t="s">
        <v>4</v>
      </c>
      <c r="D126" s="10">
        <v>48.704000000000001</v>
      </c>
      <c r="E126" s="8">
        <v>48.667000000000002</v>
      </c>
      <c r="F126" s="10">
        <v>53.1</v>
      </c>
      <c r="G126" s="10">
        <f t="shared" si="43"/>
        <v>4.4329999999999998</v>
      </c>
      <c r="H126" s="10">
        <f>D126+апр!H126</f>
        <v>243.52</v>
      </c>
      <c r="I126" s="8">
        <f>E126+апр!I126</f>
        <v>243.33500000000001</v>
      </c>
      <c r="J126" s="10">
        <f>F126+апр!J126</f>
        <v>265.44</v>
      </c>
      <c r="K126" s="10">
        <f t="shared" si="44"/>
        <v>22.10499999999999</v>
      </c>
      <c r="L126" s="16">
        <f t="shared" si="49"/>
        <v>9.0841843549016748</v>
      </c>
      <c r="M126" s="220"/>
      <c r="N126" s="221"/>
      <c r="P126">
        <f t="shared" si="40"/>
        <v>243.52</v>
      </c>
      <c r="Q126" s="44">
        <f>E126+апр!I126</f>
        <v>243.33500000000001</v>
      </c>
      <c r="R126" s="30">
        <f>F126+апр!J126</f>
        <v>265.44</v>
      </c>
    </row>
    <row r="127" spans="1:18" ht="17.25" customHeight="1">
      <c r="A127" s="18" t="s">
        <v>258</v>
      </c>
      <c r="B127" s="9" t="s">
        <v>119</v>
      </c>
      <c r="C127" s="8" t="s">
        <v>4</v>
      </c>
      <c r="D127" s="10">
        <v>38.012999999999998</v>
      </c>
      <c r="E127" s="8">
        <v>38</v>
      </c>
      <c r="F127" s="10"/>
      <c r="G127" s="10">
        <f t="shared" si="43"/>
        <v>-38</v>
      </c>
      <c r="H127" s="10">
        <f>D127+апр!H127</f>
        <v>190.065</v>
      </c>
      <c r="I127" s="8">
        <f>E127+апр!I127</f>
        <v>190</v>
      </c>
      <c r="J127" s="10">
        <f>F127+апр!J127</f>
        <v>105</v>
      </c>
      <c r="K127" s="10">
        <f t="shared" si="44"/>
        <v>-85</v>
      </c>
      <c r="L127" s="16">
        <f t="shared" si="49"/>
        <v>-44.736842105263158</v>
      </c>
      <c r="M127" s="220"/>
      <c r="N127" s="221"/>
      <c r="P127">
        <f t="shared" si="40"/>
        <v>190.065</v>
      </c>
      <c r="Q127" s="44">
        <f>E127+апр!I127</f>
        <v>190</v>
      </c>
      <c r="R127" s="30">
        <f>F127+апр!J127</f>
        <v>105</v>
      </c>
    </row>
    <row r="128" spans="1:18" ht="54" customHeight="1">
      <c r="A128" s="18" t="s">
        <v>259</v>
      </c>
      <c r="B128" s="9" t="s">
        <v>120</v>
      </c>
      <c r="C128" s="8" t="s">
        <v>4</v>
      </c>
      <c r="D128" s="10"/>
      <c r="E128" s="8"/>
      <c r="F128" s="8"/>
      <c r="G128" s="10">
        <f t="shared" si="43"/>
        <v>0</v>
      </c>
      <c r="H128" s="10">
        <f>D128+апр!H128</f>
        <v>0</v>
      </c>
      <c r="I128" s="8">
        <f>E128+апр!I128</f>
        <v>0</v>
      </c>
      <c r="J128" s="10">
        <f>F128+апр!J128</f>
        <v>640.45500000000004</v>
      </c>
      <c r="K128" s="10">
        <f t="shared" si="44"/>
        <v>640.45500000000004</v>
      </c>
      <c r="L128" s="16" t="e">
        <f t="shared" si="49"/>
        <v>#DIV/0!</v>
      </c>
      <c r="M128" s="220"/>
      <c r="N128" s="221"/>
      <c r="P128">
        <f t="shared" si="40"/>
        <v>0</v>
      </c>
      <c r="Q128" s="44">
        <f>E128+апр!I128</f>
        <v>0</v>
      </c>
      <c r="R128" s="30">
        <f>F128+апр!J128</f>
        <v>640.45500000000004</v>
      </c>
    </row>
    <row r="129" spans="1:18" ht="34.5" hidden="1" customHeight="1">
      <c r="A129" s="18" t="s">
        <v>121</v>
      </c>
      <c r="B129" s="9" t="s">
        <v>218</v>
      </c>
      <c r="C129" s="8" t="s">
        <v>4</v>
      </c>
      <c r="D129" s="10">
        <v>0</v>
      </c>
      <c r="E129" s="8"/>
      <c r="F129" s="8"/>
      <c r="G129" s="10">
        <f t="shared" si="43"/>
        <v>0</v>
      </c>
      <c r="H129" s="10">
        <f>D129+апр!H129</f>
        <v>0</v>
      </c>
      <c r="I129" s="8">
        <f>E129+апр!I129</f>
        <v>0</v>
      </c>
      <c r="J129" s="10">
        <f>F129+апр!J129</f>
        <v>0</v>
      </c>
      <c r="K129" s="10">
        <f t="shared" si="44"/>
        <v>0</v>
      </c>
      <c r="L129" s="16" t="e">
        <f t="shared" si="49"/>
        <v>#DIV/0!</v>
      </c>
      <c r="M129" s="220"/>
      <c r="N129" s="221"/>
      <c r="P129">
        <f t="shared" si="40"/>
        <v>0</v>
      </c>
      <c r="Q129" s="44">
        <f>E129+апр!I129</f>
        <v>0</v>
      </c>
      <c r="R129" s="30">
        <f>F129+апр!J129</f>
        <v>0</v>
      </c>
    </row>
    <row r="130" spans="1:18" ht="33" customHeight="1">
      <c r="A130" s="18" t="s">
        <v>260</v>
      </c>
      <c r="B130" s="9" t="s">
        <v>263</v>
      </c>
      <c r="C130" s="8" t="s">
        <v>4</v>
      </c>
      <c r="D130" s="10"/>
      <c r="E130" s="8"/>
      <c r="F130" s="8">
        <v>40</v>
      </c>
      <c r="G130" s="10">
        <f t="shared" si="43"/>
        <v>40</v>
      </c>
      <c r="H130" s="10">
        <f>D130+апр!H130</f>
        <v>0</v>
      </c>
      <c r="I130" s="8">
        <f>E130+апр!I130</f>
        <v>0</v>
      </c>
      <c r="J130" s="10">
        <f>F130+апр!J130</f>
        <v>40</v>
      </c>
      <c r="K130" s="10">
        <f t="shared" si="44"/>
        <v>40</v>
      </c>
      <c r="L130" s="16" t="e">
        <f t="shared" si="49"/>
        <v>#DIV/0!</v>
      </c>
      <c r="M130" s="222" t="s">
        <v>288</v>
      </c>
      <c r="N130" s="223"/>
      <c r="P130">
        <f t="shared" si="40"/>
        <v>0</v>
      </c>
      <c r="Q130" s="44">
        <f>E130+апр!I130</f>
        <v>0</v>
      </c>
      <c r="R130" s="30">
        <f>F130+апр!J130</f>
        <v>40</v>
      </c>
    </row>
    <row r="131" spans="1:18" ht="17.25" customHeight="1">
      <c r="A131" s="18" t="s">
        <v>261</v>
      </c>
      <c r="B131" s="9" t="s">
        <v>122</v>
      </c>
      <c r="C131" s="8" t="s">
        <v>4</v>
      </c>
      <c r="D131" s="10">
        <v>69.783000000000001</v>
      </c>
      <c r="E131" s="8">
        <v>69.75</v>
      </c>
      <c r="F131" s="10"/>
      <c r="G131" s="10">
        <f t="shared" si="43"/>
        <v>-69.75</v>
      </c>
      <c r="H131" s="10">
        <f>D131+апр!H131</f>
        <v>348.91500000000002</v>
      </c>
      <c r="I131" s="8">
        <f>E131+апр!I131</f>
        <v>348.75</v>
      </c>
      <c r="J131" s="10">
        <f>F131+апр!J131</f>
        <v>208.75</v>
      </c>
      <c r="K131" s="10">
        <f t="shared" si="44"/>
        <v>-140</v>
      </c>
      <c r="L131" s="16">
        <f t="shared" si="49"/>
        <v>-40.143369175627242</v>
      </c>
      <c r="M131" s="220"/>
      <c r="N131" s="221"/>
      <c r="P131">
        <f t="shared" si="40"/>
        <v>348.91500000000002</v>
      </c>
      <c r="Q131" s="44">
        <f>E131+апр!I131</f>
        <v>348.75</v>
      </c>
      <c r="R131" s="30">
        <f>F131+апр!J131</f>
        <v>208.75</v>
      </c>
    </row>
    <row r="132" spans="1:18" ht="54.75" customHeight="1">
      <c r="A132" s="18" t="s">
        <v>262</v>
      </c>
      <c r="B132" s="9" t="s">
        <v>123</v>
      </c>
      <c r="C132" s="8" t="s">
        <v>4</v>
      </c>
      <c r="D132" s="10"/>
      <c r="E132" s="8"/>
      <c r="F132" s="8"/>
      <c r="G132" s="10">
        <f t="shared" si="43"/>
        <v>0</v>
      </c>
      <c r="H132" s="10">
        <f>D132+апр!H132</f>
        <v>0</v>
      </c>
      <c r="I132" s="8">
        <f>E132+апр!I132</f>
        <v>0</v>
      </c>
      <c r="J132" s="10">
        <f>F132+апр!J132</f>
        <v>0</v>
      </c>
      <c r="K132" s="10">
        <f t="shared" si="44"/>
        <v>0</v>
      </c>
      <c r="L132" s="16"/>
      <c r="M132" s="220"/>
      <c r="N132" s="221"/>
      <c r="P132">
        <f t="shared" si="40"/>
        <v>0</v>
      </c>
      <c r="Q132" s="44">
        <f>E132+апр!I132</f>
        <v>0</v>
      </c>
      <c r="R132" s="30">
        <f>F132+апр!J132</f>
        <v>0</v>
      </c>
    </row>
    <row r="133" spans="1:18" ht="54" customHeight="1">
      <c r="A133" s="18" t="s">
        <v>264</v>
      </c>
      <c r="B133" s="9" t="s">
        <v>124</v>
      </c>
      <c r="C133" s="8" t="s">
        <v>4</v>
      </c>
      <c r="D133" s="10"/>
      <c r="E133" s="8"/>
      <c r="F133" s="8"/>
      <c r="G133" s="10">
        <f t="shared" si="43"/>
        <v>0</v>
      </c>
      <c r="H133" s="10">
        <f>D133+апр!H133</f>
        <v>0</v>
      </c>
      <c r="I133" s="8">
        <f>E133+апр!I133</f>
        <v>0</v>
      </c>
      <c r="J133" s="10">
        <f>F133+апр!J133</f>
        <v>0</v>
      </c>
      <c r="K133" s="10">
        <f t="shared" si="44"/>
        <v>0</v>
      </c>
      <c r="L133" s="16"/>
      <c r="M133" s="220"/>
      <c r="N133" s="221"/>
      <c r="P133">
        <f t="shared" si="40"/>
        <v>0</v>
      </c>
      <c r="Q133" s="44">
        <f>E133+апр!I133</f>
        <v>0</v>
      </c>
      <c r="R133" s="30">
        <f>F133+апр!J133</f>
        <v>0</v>
      </c>
    </row>
    <row r="134" spans="1:18" ht="17.25" customHeight="1">
      <c r="A134" s="18" t="s">
        <v>265</v>
      </c>
      <c r="B134" s="26" t="s">
        <v>125</v>
      </c>
      <c r="C134" s="8" t="s">
        <v>4</v>
      </c>
      <c r="D134" s="10">
        <v>6.4749999999999996</v>
      </c>
      <c r="E134" s="8">
        <v>6.5</v>
      </c>
      <c r="F134" s="8"/>
      <c r="G134" s="10">
        <f t="shared" si="43"/>
        <v>-6.5</v>
      </c>
      <c r="H134" s="10">
        <f>D134+апр!H134</f>
        <v>32.375</v>
      </c>
      <c r="I134" s="8">
        <f>E134+апр!I134</f>
        <v>32.5</v>
      </c>
      <c r="J134" s="10">
        <f>F134+апр!J134</f>
        <v>0</v>
      </c>
      <c r="K134" s="10">
        <f t="shared" si="44"/>
        <v>-32.5</v>
      </c>
      <c r="L134" s="16">
        <f t="shared" si="49"/>
        <v>-100</v>
      </c>
      <c r="M134" s="220"/>
      <c r="N134" s="221"/>
      <c r="P134">
        <f t="shared" si="40"/>
        <v>32.375</v>
      </c>
      <c r="Q134" s="44">
        <f>E134+апр!I134</f>
        <v>32.5</v>
      </c>
      <c r="R134" s="30">
        <f>F134+апр!J134</f>
        <v>0</v>
      </c>
    </row>
    <row r="135" spans="1:18" ht="17.25" customHeight="1">
      <c r="A135" s="18" t="s">
        <v>266</v>
      </c>
      <c r="B135" s="26" t="s">
        <v>232</v>
      </c>
      <c r="C135" s="8" t="s">
        <v>4</v>
      </c>
      <c r="D135" s="10"/>
      <c r="E135" s="8"/>
      <c r="F135" s="8"/>
      <c r="G135" s="10">
        <f t="shared" si="43"/>
        <v>0</v>
      </c>
      <c r="H135" s="10">
        <f>D135+апр!H135</f>
        <v>0</v>
      </c>
      <c r="I135" s="8">
        <f>E135+апр!I135</f>
        <v>0</v>
      </c>
      <c r="J135" s="10">
        <f>F135+апр!J135</f>
        <v>0</v>
      </c>
      <c r="K135" s="10">
        <f t="shared" si="44"/>
        <v>0</v>
      </c>
      <c r="L135" s="16"/>
      <c r="M135" s="220"/>
      <c r="N135" s="221"/>
      <c r="P135">
        <f t="shared" si="40"/>
        <v>0</v>
      </c>
      <c r="Q135" s="44">
        <f>E135+апр!I135</f>
        <v>0</v>
      </c>
      <c r="R135" s="30">
        <f>F135+апр!J135</f>
        <v>0</v>
      </c>
    </row>
    <row r="136" spans="1:18" ht="55.5" customHeight="1">
      <c r="A136" s="18"/>
      <c r="B136" s="26" t="s">
        <v>311</v>
      </c>
      <c r="C136" s="8" t="s">
        <v>4</v>
      </c>
      <c r="D136" s="10"/>
      <c r="E136" s="8">
        <v>79.167000000000002</v>
      </c>
      <c r="F136" s="10">
        <v>79.17</v>
      </c>
      <c r="G136" s="10">
        <f t="shared" si="43"/>
        <v>3.0000000000001137E-3</v>
      </c>
      <c r="H136" s="10">
        <f>D136+апр!H136</f>
        <v>0</v>
      </c>
      <c r="I136" s="8">
        <f>E136+апр!I136</f>
        <v>395.83500000000004</v>
      </c>
      <c r="J136" s="10">
        <f>F136+апр!J136</f>
        <v>395.84600000000006</v>
      </c>
      <c r="K136" s="10">
        <f t="shared" si="44"/>
        <v>1.1000000000024102E-2</v>
      </c>
      <c r="L136" s="16">
        <f t="shared" si="49"/>
        <v>2.7789356676453827E-3</v>
      </c>
      <c r="M136" s="90"/>
      <c r="N136" s="91"/>
      <c r="P136">
        <f t="shared" si="40"/>
        <v>0</v>
      </c>
      <c r="Q136" s="44">
        <f>E136+апр!I136</f>
        <v>395.83500000000004</v>
      </c>
      <c r="R136" s="30">
        <f>F136+апр!J136</f>
        <v>395.84600000000006</v>
      </c>
    </row>
    <row r="137" spans="1:18" ht="55.5" customHeight="1">
      <c r="A137" s="18"/>
      <c r="B137" s="26" t="s">
        <v>312</v>
      </c>
      <c r="C137" s="8" t="s">
        <v>4</v>
      </c>
      <c r="D137" s="10"/>
      <c r="E137" s="8">
        <v>83.332999999999998</v>
      </c>
      <c r="F137" s="10"/>
      <c r="G137" s="10">
        <f t="shared" si="43"/>
        <v>-83.332999999999998</v>
      </c>
      <c r="H137" s="10">
        <f>D137+апр!H137</f>
        <v>0</v>
      </c>
      <c r="I137" s="8">
        <f>E137+апр!I137</f>
        <v>416.66499999999996</v>
      </c>
      <c r="J137" s="10">
        <f>F137+апр!J137</f>
        <v>250</v>
      </c>
      <c r="K137" s="10">
        <f t="shared" si="44"/>
        <v>-166.66499999999996</v>
      </c>
      <c r="L137" s="16">
        <f t="shared" si="49"/>
        <v>-39.999759999039988</v>
      </c>
      <c r="M137" s="90"/>
      <c r="N137" s="91"/>
      <c r="O137" s="30">
        <f>F138-O138</f>
        <v>1636.98</v>
      </c>
      <c r="P137">
        <f t="shared" ref="P137:P200" si="61">D137*5</f>
        <v>0</v>
      </c>
      <c r="Q137" s="44">
        <f>E137+апр!I137</f>
        <v>416.66499999999996</v>
      </c>
      <c r="R137" s="30">
        <f>F137+апр!J137</f>
        <v>250</v>
      </c>
    </row>
    <row r="138" spans="1:18" ht="17.25" customHeight="1">
      <c r="A138" s="92" t="s">
        <v>126</v>
      </c>
      <c r="B138" s="6" t="s">
        <v>127</v>
      </c>
      <c r="C138" s="8" t="s">
        <v>4</v>
      </c>
      <c r="D138" s="7">
        <f t="shared" ref="D138:J138" si="62">D139</f>
        <v>3385.116</v>
      </c>
      <c r="E138" s="7">
        <f t="shared" si="62"/>
        <v>2989.2490000000003</v>
      </c>
      <c r="F138" s="7">
        <f t="shared" si="62"/>
        <v>4061.3629999999998</v>
      </c>
      <c r="G138" s="10">
        <f t="shared" si="43"/>
        <v>1072.1139999999996</v>
      </c>
      <c r="H138" s="7">
        <f t="shared" si="62"/>
        <v>16925.580000000002</v>
      </c>
      <c r="I138" s="7">
        <f t="shared" si="62"/>
        <v>14946.245000000001</v>
      </c>
      <c r="J138" s="7">
        <f t="shared" si="62"/>
        <v>13234.559000000001</v>
      </c>
      <c r="K138" s="10">
        <f t="shared" si="44"/>
        <v>-1711.6859999999997</v>
      </c>
      <c r="L138" s="16">
        <f t="shared" si="49"/>
        <v>-11.452281158244091</v>
      </c>
      <c r="M138" s="220"/>
      <c r="N138" s="221"/>
      <c r="O138">
        <v>2424.3829999999998</v>
      </c>
      <c r="P138">
        <f t="shared" si="61"/>
        <v>16925.580000000002</v>
      </c>
      <c r="Q138" s="44">
        <f>E138+апр!I138</f>
        <v>14946.245000000001</v>
      </c>
      <c r="R138" s="30">
        <f>F138+апр!J138</f>
        <v>13234.559000000001</v>
      </c>
    </row>
    <row r="139" spans="1:18" ht="17.25" customHeight="1">
      <c r="A139" s="92">
        <v>6</v>
      </c>
      <c r="B139" s="6" t="s">
        <v>128</v>
      </c>
      <c r="C139" s="92" t="s">
        <v>4</v>
      </c>
      <c r="D139" s="7">
        <f>D140+D145+D146+D147+D148+D149+D150+D151+D154+D156+D172+D176+D177+D179+D184+D183+D188</f>
        <v>3385.116</v>
      </c>
      <c r="E139" s="7">
        <f t="shared" ref="E139:F139" si="63">E140+E145+E146+E147+E148+E149+E150+E151+E154+E156+E172+E176+E177+E179+E184+E183+E188</f>
        <v>2989.2490000000003</v>
      </c>
      <c r="F139" s="7">
        <f t="shared" si="63"/>
        <v>4061.3629999999998</v>
      </c>
      <c r="G139" s="10">
        <f>F139-E139</f>
        <v>1072.1139999999996</v>
      </c>
      <c r="H139" s="7">
        <f>H140+H145+H146+H147+H148+H149+H150+H151+H154+H156+H172+H176+H177+H179+H184+H183+H188</f>
        <v>16925.580000000002</v>
      </c>
      <c r="I139" s="7">
        <f t="shared" ref="I139:J139" si="64">I140+I145+I146+I147+I148+I149+I150+I151+I154+I156+I172+I176+I177+I179+I184+I183+I188</f>
        <v>14946.245000000001</v>
      </c>
      <c r="J139" s="89">
        <f t="shared" si="64"/>
        <v>13234.559000000001</v>
      </c>
      <c r="K139" s="10">
        <f t="shared" si="44"/>
        <v>-1711.6859999999997</v>
      </c>
      <c r="L139" s="16">
        <f t="shared" si="49"/>
        <v>-11.452281158244091</v>
      </c>
      <c r="M139" s="220"/>
      <c r="N139" s="221"/>
      <c r="P139">
        <f t="shared" si="61"/>
        <v>16925.580000000002</v>
      </c>
      <c r="Q139" s="44">
        <f>E139+апр!I139</f>
        <v>14946.245000000001</v>
      </c>
      <c r="R139" s="30">
        <f>F139+апр!J139</f>
        <v>13234.559000000001</v>
      </c>
    </row>
    <row r="140" spans="1:18" ht="17.25" customHeight="1">
      <c r="A140" s="92" t="s">
        <v>129</v>
      </c>
      <c r="B140" s="6" t="s">
        <v>130</v>
      </c>
      <c r="C140" s="92" t="s">
        <v>4</v>
      </c>
      <c r="D140" s="7">
        <f t="shared" ref="D140:F140" si="65">D141+D142</f>
        <v>97.608999999999995</v>
      </c>
      <c r="E140" s="7">
        <f t="shared" si="65"/>
        <v>97.582999999999998</v>
      </c>
      <c r="F140" s="7">
        <f t="shared" si="65"/>
        <v>40</v>
      </c>
      <c r="G140" s="10">
        <f t="shared" ref="G140:G204" si="66">F140-E140</f>
        <v>-57.582999999999998</v>
      </c>
      <c r="H140" s="7">
        <f t="shared" ref="H140:J140" si="67">H141+H142</f>
        <v>488.04499999999996</v>
      </c>
      <c r="I140" s="7">
        <f t="shared" si="67"/>
        <v>487.91499999999996</v>
      </c>
      <c r="J140" s="7">
        <f t="shared" si="67"/>
        <v>332.99800000000005</v>
      </c>
      <c r="K140" s="10">
        <f t="shared" ref="K140:K204" si="68">J140-I140</f>
        <v>-154.91699999999992</v>
      </c>
      <c r="L140" s="16">
        <f t="shared" si="49"/>
        <v>-31.75081725300512</v>
      </c>
      <c r="M140" s="220"/>
      <c r="N140" s="221"/>
      <c r="P140">
        <f t="shared" si="61"/>
        <v>488.04499999999996</v>
      </c>
      <c r="Q140" s="44">
        <f>E140+апр!I140</f>
        <v>487.91499999999996</v>
      </c>
      <c r="R140" s="30">
        <f>F140+апр!J140</f>
        <v>332.99800000000005</v>
      </c>
    </row>
    <row r="141" spans="1:18" ht="37.5">
      <c r="A141" s="8" t="s">
        <v>131</v>
      </c>
      <c r="B141" s="9" t="s">
        <v>132</v>
      </c>
      <c r="C141" s="8" t="s">
        <v>4</v>
      </c>
      <c r="D141" s="10">
        <v>42.552999999999997</v>
      </c>
      <c r="E141" s="10">
        <v>42.5</v>
      </c>
      <c r="F141" s="10">
        <v>40</v>
      </c>
      <c r="G141" s="10">
        <f t="shared" si="66"/>
        <v>-2.5</v>
      </c>
      <c r="H141" s="10">
        <f>D141+апр!H141</f>
        <v>212.76499999999999</v>
      </c>
      <c r="I141" s="8">
        <f>E141+апр!I141</f>
        <v>212.5</v>
      </c>
      <c r="J141" s="10">
        <f>F141+апр!J141</f>
        <v>197.04500000000002</v>
      </c>
      <c r="K141" s="10">
        <f t="shared" si="68"/>
        <v>-15.454999999999984</v>
      </c>
      <c r="L141" s="16">
        <f t="shared" si="49"/>
        <v>-7.2729411764705807</v>
      </c>
      <c r="M141" s="220"/>
      <c r="N141" s="221"/>
      <c r="P141">
        <f t="shared" si="61"/>
        <v>212.76499999999999</v>
      </c>
      <c r="Q141" s="44">
        <f>E141+апр!I141</f>
        <v>212.5</v>
      </c>
      <c r="R141" s="30">
        <f>F141+апр!J141</f>
        <v>197.04500000000002</v>
      </c>
    </row>
    <row r="142" spans="1:18" ht="17.25" customHeight="1">
      <c r="A142" s="8" t="s">
        <v>133</v>
      </c>
      <c r="B142" s="9" t="s">
        <v>63</v>
      </c>
      <c r="C142" s="8" t="s">
        <v>4</v>
      </c>
      <c r="D142" s="10">
        <v>55.055999999999997</v>
      </c>
      <c r="E142" s="8">
        <v>55.082999999999998</v>
      </c>
      <c r="F142" s="8"/>
      <c r="G142" s="10">
        <f t="shared" si="66"/>
        <v>-55.082999999999998</v>
      </c>
      <c r="H142" s="10">
        <f>D142+апр!H142</f>
        <v>275.27999999999997</v>
      </c>
      <c r="I142" s="8">
        <f>E142+апр!I142</f>
        <v>275.41499999999996</v>
      </c>
      <c r="J142" s="10">
        <f>F142+апр!J142</f>
        <v>135.953</v>
      </c>
      <c r="K142" s="10">
        <f t="shared" si="68"/>
        <v>-139.46199999999996</v>
      </c>
      <c r="L142" s="16">
        <f t="shared" si="49"/>
        <v>-50.637038650763387</v>
      </c>
      <c r="M142" s="220"/>
      <c r="N142" s="221"/>
      <c r="P142">
        <f t="shared" si="61"/>
        <v>275.27999999999997</v>
      </c>
      <c r="Q142" s="44">
        <f>E142+апр!I142</f>
        <v>275.41499999999996</v>
      </c>
      <c r="R142" s="30">
        <f>F142+апр!J142</f>
        <v>135.953</v>
      </c>
    </row>
    <row r="143" spans="1:18" ht="17.25" customHeight="1">
      <c r="A143" s="8"/>
      <c r="B143" s="12" t="s">
        <v>68</v>
      </c>
      <c r="C143" s="22" t="s">
        <v>66</v>
      </c>
      <c r="D143" s="14">
        <v>2816.6669999999999</v>
      </c>
      <c r="E143" s="59">
        <v>2817</v>
      </c>
      <c r="F143" s="59"/>
      <c r="G143" s="10">
        <f t="shared" si="66"/>
        <v>-2817</v>
      </c>
      <c r="H143" s="10">
        <f>D143+апр!H143</f>
        <v>14083.334999999999</v>
      </c>
      <c r="I143" s="8">
        <f>E143+апр!I143</f>
        <v>2817</v>
      </c>
      <c r="J143" s="10">
        <f>F143+апр!J143</f>
        <v>552</v>
      </c>
      <c r="K143" s="10">
        <f t="shared" si="68"/>
        <v>-2265</v>
      </c>
      <c r="L143" s="16"/>
      <c r="M143" s="220"/>
      <c r="N143" s="221"/>
      <c r="P143">
        <f t="shared" si="61"/>
        <v>14083.334999999999</v>
      </c>
      <c r="Q143" s="44">
        <f>E143+апр!I143</f>
        <v>2817</v>
      </c>
      <c r="R143" s="30">
        <f>F143+апр!J143</f>
        <v>552</v>
      </c>
    </row>
    <row r="144" spans="1:18" ht="17.25" customHeight="1">
      <c r="A144" s="8"/>
      <c r="B144" s="12" t="s">
        <v>15</v>
      </c>
      <c r="C144" s="13" t="s">
        <v>16</v>
      </c>
      <c r="D144" s="16">
        <f t="shared" ref="D144:F144" si="69">D142/D143*1000</f>
        <v>19.546506562543602</v>
      </c>
      <c r="E144" s="16">
        <f t="shared" si="69"/>
        <v>19.553780617678381</v>
      </c>
      <c r="F144" s="16" t="e">
        <f t="shared" si="69"/>
        <v>#DIV/0!</v>
      </c>
      <c r="G144" s="10" t="e">
        <f t="shared" si="66"/>
        <v>#DIV/0!</v>
      </c>
      <c r="H144" s="16">
        <f t="shared" ref="H144:J144" si="70">H142/H143*1000</f>
        <v>19.546506562543602</v>
      </c>
      <c r="I144" s="8">
        <f>E144+апр!I144</f>
        <v>19.553780617678381</v>
      </c>
      <c r="J144" s="16">
        <f t="shared" si="70"/>
        <v>246.29166666666666</v>
      </c>
      <c r="K144" s="10">
        <f t="shared" si="68"/>
        <v>226.73788604898829</v>
      </c>
      <c r="L144" s="16"/>
      <c r="M144" s="220"/>
      <c r="N144" s="221"/>
      <c r="P144">
        <f t="shared" si="61"/>
        <v>97.732532812718006</v>
      </c>
      <c r="Q144" s="44">
        <f>E144+апр!I144</f>
        <v>19.553780617678381</v>
      </c>
      <c r="R144" s="30" t="e">
        <f>F144+апр!J144</f>
        <v>#DIV/0!</v>
      </c>
    </row>
    <row r="145" spans="1:18" ht="32.25" customHeight="1">
      <c r="A145" s="8" t="s">
        <v>134</v>
      </c>
      <c r="B145" s="9" t="s">
        <v>135</v>
      </c>
      <c r="C145" s="8" t="s">
        <v>4</v>
      </c>
      <c r="D145" s="10">
        <v>1914.3579999999999</v>
      </c>
      <c r="E145" s="8">
        <v>1416.4169999999999</v>
      </c>
      <c r="F145" s="10">
        <v>1657.9179999999999</v>
      </c>
      <c r="G145" s="10">
        <f t="shared" si="66"/>
        <v>241.50099999999998</v>
      </c>
      <c r="H145" s="10">
        <f>D145+апр!H145</f>
        <v>9571.7899999999991</v>
      </c>
      <c r="I145" s="8">
        <f>E145+апр!I145</f>
        <v>7082.0849999999991</v>
      </c>
      <c r="J145" s="10">
        <f>F145+апр!J145</f>
        <v>7075.9669999999996</v>
      </c>
      <c r="K145" s="10">
        <f t="shared" si="68"/>
        <v>-6.1179999999994834</v>
      </c>
      <c r="L145" s="16">
        <f t="shared" si="49"/>
        <v>-8.6386989142314505E-2</v>
      </c>
      <c r="M145" s="227"/>
      <c r="N145" s="228"/>
      <c r="P145">
        <f t="shared" si="61"/>
        <v>9571.7899999999991</v>
      </c>
      <c r="Q145" s="44">
        <f>E145+апр!I145</f>
        <v>7082.0849999999991</v>
      </c>
      <c r="R145" s="30">
        <f>F145+апр!J145</f>
        <v>7075.9669999999996</v>
      </c>
    </row>
    <row r="146" spans="1:18" ht="17.25" customHeight="1">
      <c r="A146" s="8" t="s">
        <v>136</v>
      </c>
      <c r="B146" s="9" t="s">
        <v>77</v>
      </c>
      <c r="C146" s="8" t="s">
        <v>4</v>
      </c>
      <c r="D146" s="10">
        <v>105.29</v>
      </c>
      <c r="E146" s="10">
        <v>76.5</v>
      </c>
      <c r="F146" s="8">
        <v>95.980999999999995</v>
      </c>
      <c r="G146" s="10">
        <f t="shared" si="66"/>
        <v>19.480999999999995</v>
      </c>
      <c r="H146" s="10">
        <f>D146+апр!H146</f>
        <v>526.45000000000005</v>
      </c>
      <c r="I146" s="8">
        <f>E146+апр!I146</f>
        <v>382.5</v>
      </c>
      <c r="J146" s="10">
        <f>F146+апр!J146</f>
        <v>418.4</v>
      </c>
      <c r="K146" s="10">
        <f t="shared" si="68"/>
        <v>35.899999999999977</v>
      </c>
      <c r="L146" s="16">
        <f t="shared" si="49"/>
        <v>9.385620915032673</v>
      </c>
      <c r="M146" s="227"/>
      <c r="N146" s="228"/>
      <c r="P146">
        <f t="shared" si="61"/>
        <v>526.45000000000005</v>
      </c>
      <c r="Q146" s="44">
        <f>E146+апр!I146</f>
        <v>382.5</v>
      </c>
      <c r="R146" s="30">
        <f>F146+апр!J146</f>
        <v>418.4</v>
      </c>
    </row>
    <row r="147" spans="1:18" ht="17.25" customHeight="1">
      <c r="A147" s="8"/>
      <c r="B147" s="9" t="s">
        <v>307</v>
      </c>
      <c r="C147" s="8" t="s">
        <v>4</v>
      </c>
      <c r="D147" s="10">
        <v>84.231999999999999</v>
      </c>
      <c r="E147" s="10">
        <v>63.75</v>
      </c>
      <c r="F147" s="8">
        <v>47.905999999999999</v>
      </c>
      <c r="G147" s="10">
        <f t="shared" si="66"/>
        <v>-15.844000000000001</v>
      </c>
      <c r="H147" s="10">
        <f>D147+апр!H147</f>
        <v>421.15999999999997</v>
      </c>
      <c r="I147" s="8">
        <f>E147+апр!I147</f>
        <v>318.75</v>
      </c>
      <c r="J147" s="10">
        <f>F147+апр!J147</f>
        <v>199.39999999999998</v>
      </c>
      <c r="K147" s="10">
        <f t="shared" si="68"/>
        <v>-119.35000000000002</v>
      </c>
      <c r="L147" s="16">
        <f t="shared" si="49"/>
        <v>-37.44313725490197</v>
      </c>
      <c r="M147" s="94"/>
      <c r="N147" s="95"/>
      <c r="P147">
        <f t="shared" si="61"/>
        <v>421.15999999999997</v>
      </c>
      <c r="Q147" s="44">
        <f>E147+апр!I147</f>
        <v>318.75</v>
      </c>
      <c r="R147" s="30">
        <f>F147+апр!J147</f>
        <v>199.39999999999998</v>
      </c>
    </row>
    <row r="148" spans="1:18" ht="17.25" customHeight="1">
      <c r="A148" s="8"/>
      <c r="B148" s="9" t="s">
        <v>310</v>
      </c>
      <c r="C148" s="8" t="s">
        <v>4</v>
      </c>
      <c r="D148" s="10"/>
      <c r="E148" s="10">
        <v>21.25</v>
      </c>
      <c r="F148" s="8">
        <v>22.681000000000001</v>
      </c>
      <c r="G148" s="10">
        <f t="shared" si="66"/>
        <v>1.4310000000000009</v>
      </c>
      <c r="H148" s="10">
        <f>D148+апр!H148</f>
        <v>0</v>
      </c>
      <c r="I148" s="8">
        <f>E148+апр!I148</f>
        <v>106.25</v>
      </c>
      <c r="J148" s="10">
        <f>F148+апр!J148</f>
        <v>92.013999999999996</v>
      </c>
      <c r="K148" s="10">
        <f t="shared" si="68"/>
        <v>-14.236000000000004</v>
      </c>
      <c r="L148" s="16">
        <f t="shared" si="49"/>
        <v>-13.39858823529412</v>
      </c>
      <c r="M148" s="94"/>
      <c r="N148" s="95"/>
      <c r="P148">
        <f t="shared" si="61"/>
        <v>0</v>
      </c>
      <c r="Q148" s="44">
        <f>E148+апр!I148</f>
        <v>106.25</v>
      </c>
      <c r="R148" s="30">
        <f>F148+апр!J148</f>
        <v>92.013999999999996</v>
      </c>
    </row>
    <row r="149" spans="1:18" ht="17.25" customHeight="1">
      <c r="A149" s="8"/>
      <c r="B149" s="9" t="s">
        <v>315</v>
      </c>
      <c r="C149" s="8" t="s">
        <v>4</v>
      </c>
      <c r="D149" s="10"/>
      <c r="E149" s="10"/>
      <c r="F149" s="10"/>
      <c r="G149" s="10">
        <f t="shared" si="66"/>
        <v>0</v>
      </c>
      <c r="H149" s="10">
        <f>D149+апр!H149</f>
        <v>0</v>
      </c>
      <c r="I149" s="8">
        <f>E149+апр!I149</f>
        <v>0</v>
      </c>
      <c r="J149" s="10">
        <f>F149+апр!J149</f>
        <v>211.14000000000004</v>
      </c>
      <c r="K149" s="10"/>
      <c r="L149" s="16"/>
      <c r="M149" s="94"/>
      <c r="N149" s="95"/>
      <c r="P149">
        <f t="shared" si="61"/>
        <v>0</v>
      </c>
      <c r="Q149" s="44">
        <f>E149+апр!I149</f>
        <v>0</v>
      </c>
      <c r="R149" s="30">
        <f>F149+апр!J149</f>
        <v>211.14000000000004</v>
      </c>
    </row>
    <row r="150" spans="1:18" ht="17.25" customHeight="1">
      <c r="A150" s="8" t="s">
        <v>137</v>
      </c>
      <c r="B150" s="9" t="s">
        <v>138</v>
      </c>
      <c r="C150" s="8" t="s">
        <v>4</v>
      </c>
      <c r="D150" s="10">
        <v>77.58</v>
      </c>
      <c r="E150" s="8">
        <v>77.582999999999998</v>
      </c>
      <c r="F150" s="8">
        <v>146.50200000000001</v>
      </c>
      <c r="G150" s="10">
        <f t="shared" si="66"/>
        <v>68.919000000000011</v>
      </c>
      <c r="H150" s="10">
        <f>D150+апр!H150</f>
        <v>387.9</v>
      </c>
      <c r="I150" s="8">
        <f>E150+апр!I150</f>
        <v>387.91499999999996</v>
      </c>
      <c r="J150" s="10">
        <f>F150+апр!J150</f>
        <v>708.60699999999997</v>
      </c>
      <c r="K150" s="10">
        <f t="shared" si="68"/>
        <v>320.69200000000001</v>
      </c>
      <c r="L150" s="16">
        <f t="shared" si="49"/>
        <v>82.670688166221993</v>
      </c>
      <c r="M150" s="227" t="s">
        <v>301</v>
      </c>
      <c r="N150" s="228"/>
      <c r="P150">
        <f t="shared" si="61"/>
        <v>387.9</v>
      </c>
      <c r="Q150" s="44">
        <f>E150+апр!I150</f>
        <v>387.91499999999996</v>
      </c>
      <c r="R150" s="30">
        <f>F150+апр!J150</f>
        <v>708.60699999999997</v>
      </c>
    </row>
    <row r="151" spans="1:18" ht="17.25" customHeight="1">
      <c r="A151" s="92" t="s">
        <v>139</v>
      </c>
      <c r="B151" s="6" t="s">
        <v>140</v>
      </c>
      <c r="C151" s="92" t="s">
        <v>4</v>
      </c>
      <c r="D151" s="7">
        <f t="shared" ref="D151:F151" si="71">D152+D153</f>
        <v>239.149</v>
      </c>
      <c r="E151" s="92">
        <v>47.832999999999998</v>
      </c>
      <c r="F151" s="7">
        <f t="shared" si="71"/>
        <v>63.035000000000004</v>
      </c>
      <c r="G151" s="10">
        <f t="shared" si="66"/>
        <v>15.202000000000005</v>
      </c>
      <c r="H151" s="7">
        <f t="shared" ref="H151" si="72">H152+H153</f>
        <v>1195.7449999999999</v>
      </c>
      <c r="I151" s="8">
        <f>E151+апр!I151</f>
        <v>239.16499999999999</v>
      </c>
      <c r="J151" s="7">
        <f t="shared" ref="J151" si="73">J152+J153</f>
        <v>240.96600000000001</v>
      </c>
      <c r="K151" s="10">
        <f t="shared" si="68"/>
        <v>1.8010000000000161</v>
      </c>
      <c r="L151" s="16">
        <f t="shared" si="49"/>
        <v>0.75303660652688154</v>
      </c>
      <c r="M151" s="220"/>
      <c r="N151" s="221"/>
      <c r="P151">
        <f t="shared" si="61"/>
        <v>1195.7449999999999</v>
      </c>
      <c r="Q151" s="44">
        <f>E151+апр!I151</f>
        <v>239.16499999999999</v>
      </c>
      <c r="R151" s="30">
        <f>F151+апр!J151</f>
        <v>240.96600000000001</v>
      </c>
    </row>
    <row r="152" spans="1:18" ht="17.25" customHeight="1">
      <c r="A152" s="8" t="s">
        <v>141</v>
      </c>
      <c r="B152" s="9" t="s">
        <v>81</v>
      </c>
      <c r="C152" s="8" t="s">
        <v>4</v>
      </c>
      <c r="D152" s="10">
        <v>8.7579999999999991</v>
      </c>
      <c r="E152" s="8"/>
      <c r="F152" s="8">
        <v>51.06</v>
      </c>
      <c r="G152" s="10">
        <f t="shared" si="66"/>
        <v>51.06</v>
      </c>
      <c r="H152" s="10">
        <f>D152+апр!H152</f>
        <v>43.789999999999992</v>
      </c>
      <c r="I152" s="8"/>
      <c r="J152" s="10">
        <f>F152+апр!J152</f>
        <v>181.09</v>
      </c>
      <c r="K152" s="10">
        <f t="shared" si="68"/>
        <v>181.09</v>
      </c>
      <c r="L152" s="16"/>
      <c r="M152" s="220"/>
      <c r="N152" s="221"/>
      <c r="P152">
        <f t="shared" si="61"/>
        <v>43.789999999999992</v>
      </c>
      <c r="Q152" s="44">
        <f>E152+апр!I152</f>
        <v>0</v>
      </c>
      <c r="R152" s="30">
        <f>F152+апр!J152</f>
        <v>181.09</v>
      </c>
    </row>
    <row r="153" spans="1:18" ht="17.25" customHeight="1">
      <c r="A153" s="8" t="s">
        <v>142</v>
      </c>
      <c r="B153" s="9" t="s">
        <v>143</v>
      </c>
      <c r="C153" s="8"/>
      <c r="D153" s="10">
        <v>230.39099999999999</v>
      </c>
      <c r="E153" s="8"/>
      <c r="F153" s="8">
        <v>11.975</v>
      </c>
      <c r="G153" s="10">
        <f t="shared" si="66"/>
        <v>11.975</v>
      </c>
      <c r="H153" s="10">
        <f>D153+апр!H153</f>
        <v>1151.9549999999999</v>
      </c>
      <c r="I153" s="8"/>
      <c r="J153" s="10">
        <f>F153+апр!J153</f>
        <v>59.876000000000005</v>
      </c>
      <c r="K153" s="10">
        <f t="shared" si="68"/>
        <v>59.876000000000005</v>
      </c>
      <c r="L153" s="16"/>
      <c r="M153" s="220"/>
      <c r="N153" s="221"/>
      <c r="P153">
        <f t="shared" si="61"/>
        <v>1151.9549999999999</v>
      </c>
      <c r="Q153" s="44">
        <f>E153+апр!I153</f>
        <v>0</v>
      </c>
      <c r="R153" s="30">
        <f>F153+апр!J153</f>
        <v>59.876000000000005</v>
      </c>
    </row>
    <row r="154" spans="1:18" ht="75.75" customHeight="1">
      <c r="A154" s="92" t="s">
        <v>144</v>
      </c>
      <c r="B154" s="6" t="s">
        <v>145</v>
      </c>
      <c r="C154" s="92" t="s">
        <v>4</v>
      </c>
      <c r="D154" s="7">
        <f t="shared" ref="D154:J154" si="74">D155</f>
        <v>13.856</v>
      </c>
      <c r="E154" s="7">
        <f t="shared" si="74"/>
        <v>13.833</v>
      </c>
      <c r="F154" s="7">
        <f t="shared" si="74"/>
        <v>5.17</v>
      </c>
      <c r="G154" s="10">
        <f t="shared" si="66"/>
        <v>-8.6630000000000003</v>
      </c>
      <c r="H154" s="7">
        <f t="shared" si="74"/>
        <v>69.28</v>
      </c>
      <c r="I154" s="7">
        <f t="shared" si="74"/>
        <v>69.165000000000006</v>
      </c>
      <c r="J154" s="7">
        <f t="shared" si="74"/>
        <v>140.922</v>
      </c>
      <c r="K154" s="10">
        <f t="shared" si="68"/>
        <v>71.756999999999991</v>
      </c>
      <c r="L154" s="16">
        <f t="shared" ref="L154:L203" si="75">K154/I154*100</f>
        <v>103.74756018217303</v>
      </c>
      <c r="M154" s="220"/>
      <c r="N154" s="221"/>
      <c r="P154">
        <f t="shared" si="61"/>
        <v>69.28</v>
      </c>
      <c r="Q154" s="44">
        <f>E154+апр!I154</f>
        <v>69.165000000000006</v>
      </c>
      <c r="R154" s="30">
        <f>F154+апр!J154</f>
        <v>140.922</v>
      </c>
    </row>
    <row r="155" spans="1:18" ht="17.25" customHeight="1">
      <c r="A155" s="8" t="s">
        <v>146</v>
      </c>
      <c r="B155" s="9" t="s">
        <v>147</v>
      </c>
      <c r="C155" s="8" t="s">
        <v>4</v>
      </c>
      <c r="D155" s="10">
        <v>13.856</v>
      </c>
      <c r="E155" s="8">
        <v>13.833</v>
      </c>
      <c r="F155" s="8">
        <v>5.17</v>
      </c>
      <c r="G155" s="10">
        <f t="shared" si="66"/>
        <v>-8.6630000000000003</v>
      </c>
      <c r="H155" s="10">
        <f>D155+апр!H155</f>
        <v>69.28</v>
      </c>
      <c r="I155" s="8">
        <f>E155+апр!I155</f>
        <v>69.165000000000006</v>
      </c>
      <c r="J155" s="10">
        <f>F155+апр!J155</f>
        <v>140.922</v>
      </c>
      <c r="K155" s="10">
        <f t="shared" si="68"/>
        <v>71.756999999999991</v>
      </c>
      <c r="L155" s="16">
        <f t="shared" si="75"/>
        <v>103.74756018217303</v>
      </c>
      <c r="M155" s="220"/>
      <c r="N155" s="221"/>
      <c r="P155">
        <f t="shared" si="61"/>
        <v>69.28</v>
      </c>
      <c r="Q155" s="44">
        <f>E155+апр!I155</f>
        <v>69.165000000000006</v>
      </c>
      <c r="R155" s="30">
        <f>F155+апр!J155</f>
        <v>140.922</v>
      </c>
    </row>
    <row r="156" spans="1:18" ht="18" customHeight="1">
      <c r="A156" s="92" t="s">
        <v>148</v>
      </c>
      <c r="B156" s="6" t="s">
        <v>149</v>
      </c>
      <c r="C156" s="92" t="s">
        <v>4</v>
      </c>
      <c r="D156" s="27">
        <f t="shared" ref="D156" si="76">D157+D160+D163+D166+D169</f>
        <v>71.188999999999993</v>
      </c>
      <c r="E156" s="92">
        <v>72.417000000000002</v>
      </c>
      <c r="F156" s="27">
        <f>F157+F160+F163+F166+F169</f>
        <v>20.700999999999997</v>
      </c>
      <c r="G156" s="10">
        <f t="shared" si="66"/>
        <v>-51.716000000000008</v>
      </c>
      <c r="H156" s="27">
        <f t="shared" ref="H156" si="77">H157+H160+H163+H166+H169</f>
        <v>355.94499999999994</v>
      </c>
      <c r="I156" s="8">
        <f>E156+апр!I156</f>
        <v>362.08500000000004</v>
      </c>
      <c r="J156" s="27">
        <f>J157+J160+J163+J166+J169</f>
        <v>546.61900000000003</v>
      </c>
      <c r="K156" s="10">
        <f t="shared" si="68"/>
        <v>184.53399999999999</v>
      </c>
      <c r="L156" s="16">
        <f t="shared" si="75"/>
        <v>50.964276343952378</v>
      </c>
      <c r="M156" s="220"/>
      <c r="N156" s="221"/>
      <c r="P156">
        <f t="shared" si="61"/>
        <v>355.94499999999994</v>
      </c>
      <c r="Q156" s="44">
        <f>E156+апр!I156</f>
        <v>362.08500000000004</v>
      </c>
      <c r="R156" s="30">
        <f>F156+апр!J156</f>
        <v>546.61900000000003</v>
      </c>
    </row>
    <row r="157" spans="1:18" ht="17.25" customHeight="1">
      <c r="A157" s="8" t="s">
        <v>150</v>
      </c>
      <c r="B157" s="9" t="s">
        <v>151</v>
      </c>
      <c r="C157" s="8" t="s">
        <v>4</v>
      </c>
      <c r="D157" s="10">
        <v>49.027999999999999</v>
      </c>
      <c r="E157" s="8"/>
      <c r="F157" s="8"/>
      <c r="G157" s="10">
        <f t="shared" si="66"/>
        <v>0</v>
      </c>
      <c r="H157" s="10">
        <f>D157+апр!H157</f>
        <v>245.14</v>
      </c>
      <c r="I157" s="8"/>
      <c r="J157" s="10">
        <f>F157+апр!J157</f>
        <v>483.976</v>
      </c>
      <c r="K157" s="10">
        <f t="shared" si="68"/>
        <v>483.976</v>
      </c>
      <c r="L157" s="16"/>
      <c r="M157" s="220"/>
      <c r="N157" s="221"/>
      <c r="P157">
        <f t="shared" si="61"/>
        <v>245.14</v>
      </c>
      <c r="Q157" s="44">
        <f>E157+апр!I157</f>
        <v>0</v>
      </c>
      <c r="R157" s="30">
        <f>F157+апр!J157</f>
        <v>483.976</v>
      </c>
    </row>
    <row r="158" spans="1:18" ht="17.25" customHeight="1">
      <c r="A158" s="8"/>
      <c r="B158" s="28" t="s">
        <v>13</v>
      </c>
      <c r="C158" s="8" t="s">
        <v>152</v>
      </c>
      <c r="D158" s="10">
        <v>13.144</v>
      </c>
      <c r="E158" s="8"/>
      <c r="F158" s="8"/>
      <c r="G158" s="10">
        <f t="shared" si="66"/>
        <v>0</v>
      </c>
      <c r="H158" s="10">
        <f>D158+апр!H158</f>
        <v>65.72</v>
      </c>
      <c r="I158" s="8"/>
      <c r="J158" s="10">
        <f>F158+апр!J158</f>
        <v>81.87</v>
      </c>
      <c r="K158" s="10">
        <f t="shared" si="68"/>
        <v>81.87</v>
      </c>
      <c r="L158" s="16"/>
      <c r="M158" s="227" t="s">
        <v>302</v>
      </c>
      <c r="N158" s="228"/>
      <c r="P158">
        <f t="shared" si="61"/>
        <v>65.72</v>
      </c>
      <c r="Q158" s="44">
        <f>E158+апр!I158</f>
        <v>0</v>
      </c>
      <c r="R158" s="30">
        <f>F158+апр!J158</f>
        <v>81.87</v>
      </c>
    </row>
    <row r="159" spans="1:18" ht="17.25" customHeight="1">
      <c r="A159" s="8"/>
      <c r="B159" s="28" t="s">
        <v>15</v>
      </c>
      <c r="C159" s="8" t="s">
        <v>16</v>
      </c>
      <c r="D159" s="16">
        <f>D157/D158*1000</f>
        <v>3730.0669506999393</v>
      </c>
      <c r="E159" s="16"/>
      <c r="F159" s="16" t="e">
        <f>F157/F158*1000</f>
        <v>#DIV/0!</v>
      </c>
      <c r="G159" s="10" t="e">
        <f t="shared" si="66"/>
        <v>#DIV/0!</v>
      </c>
      <c r="H159" s="16">
        <f>H157/H158*1000</f>
        <v>3730.0669506999393</v>
      </c>
      <c r="I159" s="8"/>
      <c r="J159" s="16">
        <f>J157/J158*1000</f>
        <v>5911.5182606571389</v>
      </c>
      <c r="K159" s="10">
        <f t="shared" si="68"/>
        <v>5911.5182606571389</v>
      </c>
      <c r="L159" s="16"/>
      <c r="M159" s="220"/>
      <c r="N159" s="221"/>
      <c r="P159">
        <f t="shared" si="61"/>
        <v>18650.334753499697</v>
      </c>
      <c r="Q159" s="44">
        <f>E159+апр!I159</f>
        <v>0</v>
      </c>
      <c r="R159" s="30" t="e">
        <f>F159+апр!J159</f>
        <v>#DIV/0!</v>
      </c>
    </row>
    <row r="160" spans="1:18" ht="17.25" customHeight="1">
      <c r="A160" s="8" t="s">
        <v>153</v>
      </c>
      <c r="B160" s="9" t="s">
        <v>154</v>
      </c>
      <c r="C160" s="8" t="s">
        <v>4</v>
      </c>
      <c r="D160" s="10">
        <v>0.92300000000000004</v>
      </c>
      <c r="E160" s="8"/>
      <c r="F160" s="8"/>
      <c r="G160" s="10">
        <f t="shared" si="66"/>
        <v>0</v>
      </c>
      <c r="H160" s="10">
        <f>D160+апр!H160</f>
        <v>4.6150000000000002</v>
      </c>
      <c r="I160" s="8"/>
      <c r="J160" s="10">
        <f>F160+апр!J160</f>
        <v>0</v>
      </c>
      <c r="K160" s="10">
        <f t="shared" si="68"/>
        <v>0</v>
      </c>
      <c r="L160" s="16"/>
      <c r="M160" s="220"/>
      <c r="N160" s="221"/>
      <c r="P160">
        <f t="shared" si="61"/>
        <v>4.6150000000000002</v>
      </c>
      <c r="Q160" s="44">
        <f>E160+апр!I160</f>
        <v>0</v>
      </c>
      <c r="R160" s="30">
        <f>F160+апр!J160</f>
        <v>0</v>
      </c>
    </row>
    <row r="161" spans="1:18" ht="17.25" customHeight="1">
      <c r="A161" s="8"/>
      <c r="B161" s="28" t="s">
        <v>13</v>
      </c>
      <c r="C161" s="8" t="s">
        <v>155</v>
      </c>
      <c r="D161" s="10">
        <v>0.75</v>
      </c>
      <c r="E161" s="8"/>
      <c r="F161" s="8"/>
      <c r="G161" s="10">
        <f t="shared" si="66"/>
        <v>0</v>
      </c>
      <c r="H161" s="10">
        <f>D161+апр!H161</f>
        <v>3.75</v>
      </c>
      <c r="I161" s="8"/>
      <c r="J161" s="10">
        <f>F161+апр!J161</f>
        <v>0</v>
      </c>
      <c r="K161" s="10">
        <f t="shared" si="68"/>
        <v>0</v>
      </c>
      <c r="L161" s="16"/>
      <c r="M161" s="220"/>
      <c r="N161" s="221"/>
      <c r="P161">
        <f t="shared" si="61"/>
        <v>3.75</v>
      </c>
      <c r="Q161" s="44">
        <f>E161+апр!I161</f>
        <v>0</v>
      </c>
      <c r="R161" s="30">
        <f>F161+апр!J161</f>
        <v>0</v>
      </c>
    </row>
    <row r="162" spans="1:18" ht="17.25" customHeight="1">
      <c r="A162" s="8"/>
      <c r="B162" s="28" t="s">
        <v>15</v>
      </c>
      <c r="C162" s="8" t="s">
        <v>16</v>
      </c>
      <c r="D162" s="16">
        <f>D160/D161*1000</f>
        <v>1230.6666666666667</v>
      </c>
      <c r="E162" s="8"/>
      <c r="F162" s="8"/>
      <c r="G162" s="10">
        <f t="shared" si="66"/>
        <v>0</v>
      </c>
      <c r="H162" s="16">
        <f>H160/H161*1000</f>
        <v>1230.6666666666667</v>
      </c>
      <c r="I162" s="8"/>
      <c r="J162" s="8"/>
      <c r="K162" s="10">
        <f t="shared" si="68"/>
        <v>0</v>
      </c>
      <c r="L162" s="16"/>
      <c r="M162" s="220"/>
      <c r="N162" s="221"/>
      <c r="P162">
        <f t="shared" si="61"/>
        <v>6153.3333333333339</v>
      </c>
      <c r="Q162" s="44">
        <f>E162+апр!I162</f>
        <v>0</v>
      </c>
      <c r="R162" s="30">
        <f>F162+апр!J162</f>
        <v>0</v>
      </c>
    </row>
    <row r="163" spans="1:18" ht="17.25" customHeight="1">
      <c r="A163" s="8" t="s">
        <v>156</v>
      </c>
      <c r="B163" s="9" t="s">
        <v>157</v>
      </c>
      <c r="C163" s="8" t="s">
        <v>4</v>
      </c>
      <c r="D163" s="10">
        <v>2.1800000000000002</v>
      </c>
      <c r="E163" s="8"/>
      <c r="F163" s="8">
        <v>2.625</v>
      </c>
      <c r="G163" s="10">
        <f t="shared" si="66"/>
        <v>2.625</v>
      </c>
      <c r="H163" s="10">
        <f>D163+апр!H163</f>
        <v>10.9</v>
      </c>
      <c r="I163" s="8"/>
      <c r="J163" s="10">
        <f>F163+апр!J163</f>
        <v>15.427999999999999</v>
      </c>
      <c r="K163" s="10">
        <f t="shared" si="68"/>
        <v>15.427999999999999</v>
      </c>
      <c r="L163" s="16"/>
      <c r="M163" s="220"/>
      <c r="N163" s="221"/>
      <c r="P163">
        <f t="shared" si="61"/>
        <v>10.9</v>
      </c>
      <c r="Q163" s="44">
        <f>E163+апр!I163</f>
        <v>0</v>
      </c>
      <c r="R163" s="30">
        <f>F163+апр!J163</f>
        <v>15.427999999999999</v>
      </c>
    </row>
    <row r="164" spans="1:18" ht="17.25" customHeight="1">
      <c r="A164" s="8"/>
      <c r="B164" s="28" t="s">
        <v>13</v>
      </c>
      <c r="C164" s="8" t="s">
        <v>155</v>
      </c>
      <c r="D164" s="14">
        <v>20</v>
      </c>
      <c r="E164" s="8"/>
      <c r="F164" s="8"/>
      <c r="G164" s="10">
        <f t="shared" si="66"/>
        <v>0</v>
      </c>
      <c r="H164" s="10">
        <f>D164+апр!H164</f>
        <v>100</v>
      </c>
      <c r="I164" s="8"/>
      <c r="J164" s="10">
        <f>F164+апр!J164</f>
        <v>99</v>
      </c>
      <c r="K164" s="10">
        <f t="shared" si="68"/>
        <v>99</v>
      </c>
      <c r="L164" s="16"/>
      <c r="M164" s="220"/>
      <c r="N164" s="221"/>
      <c r="P164">
        <f t="shared" si="61"/>
        <v>100</v>
      </c>
      <c r="Q164" s="44">
        <f>E164+апр!I164</f>
        <v>0</v>
      </c>
      <c r="R164" s="30">
        <f>F164+апр!J164</f>
        <v>99</v>
      </c>
    </row>
    <row r="165" spans="1:18" ht="17.25" customHeight="1">
      <c r="A165" s="8"/>
      <c r="B165" s="28" t="s">
        <v>15</v>
      </c>
      <c r="C165" s="8" t="s">
        <v>16</v>
      </c>
      <c r="D165" s="16">
        <f>D163/D164*1000</f>
        <v>109.00000000000001</v>
      </c>
      <c r="E165" s="16"/>
      <c r="F165" s="16" t="e">
        <f t="shared" ref="F165" si="78">F163/F164*1000</f>
        <v>#DIV/0!</v>
      </c>
      <c r="G165" s="10" t="e">
        <f t="shared" si="66"/>
        <v>#DIV/0!</v>
      </c>
      <c r="H165" s="16">
        <f>H163/H164*1000</f>
        <v>109</v>
      </c>
      <c r="I165" s="8"/>
      <c r="J165" s="16">
        <f t="shared" ref="J165" si="79">J163/J164*1000</f>
        <v>155.83838383838383</v>
      </c>
      <c r="K165" s="10">
        <f t="shared" si="68"/>
        <v>155.83838383838383</v>
      </c>
      <c r="L165" s="16"/>
      <c r="M165" s="220"/>
      <c r="N165" s="221"/>
      <c r="P165">
        <f t="shared" si="61"/>
        <v>545.00000000000011</v>
      </c>
      <c r="Q165" s="44">
        <f>E165+апр!I165</f>
        <v>0</v>
      </c>
      <c r="R165" s="30" t="e">
        <f>F165+апр!J165</f>
        <v>#DIV/0!</v>
      </c>
    </row>
    <row r="166" spans="1:18" ht="17.25" customHeight="1">
      <c r="A166" s="8" t="s">
        <v>158</v>
      </c>
      <c r="B166" s="9" t="s">
        <v>159</v>
      </c>
      <c r="C166" s="8" t="s">
        <v>4</v>
      </c>
      <c r="D166" s="10">
        <v>19.058</v>
      </c>
      <c r="E166" s="8"/>
      <c r="F166" s="10">
        <v>16.649999999999999</v>
      </c>
      <c r="G166" s="10">
        <f t="shared" si="66"/>
        <v>16.649999999999999</v>
      </c>
      <c r="H166" s="10">
        <f>D166+апр!H166</f>
        <v>95.289999999999992</v>
      </c>
      <c r="I166" s="8"/>
      <c r="J166" s="10">
        <f>F166+апр!J166</f>
        <v>38.849999999999994</v>
      </c>
      <c r="K166" s="10">
        <f t="shared" si="68"/>
        <v>38.849999999999994</v>
      </c>
      <c r="L166" s="16"/>
      <c r="M166" s="220"/>
      <c r="N166" s="221"/>
      <c r="P166">
        <f t="shared" si="61"/>
        <v>95.289999999999992</v>
      </c>
      <c r="Q166" s="44">
        <f>E166+апр!I166</f>
        <v>0</v>
      </c>
      <c r="R166" s="30">
        <f>F166+апр!J166</f>
        <v>38.849999999999994</v>
      </c>
    </row>
    <row r="167" spans="1:18" ht="17.25" customHeight="1">
      <c r="A167" s="8"/>
      <c r="B167" s="28" t="s">
        <v>13</v>
      </c>
      <c r="C167" s="8" t="s">
        <v>155</v>
      </c>
      <c r="D167" s="14">
        <v>16</v>
      </c>
      <c r="E167" s="8"/>
      <c r="F167" s="8"/>
      <c r="G167" s="10">
        <f t="shared" si="66"/>
        <v>0</v>
      </c>
      <c r="H167" s="10">
        <f>D167+апр!H167</f>
        <v>80</v>
      </c>
      <c r="I167" s="8"/>
      <c r="J167" s="10">
        <f>F167+апр!J167</f>
        <v>6</v>
      </c>
      <c r="K167" s="10">
        <f t="shared" si="68"/>
        <v>6</v>
      </c>
      <c r="L167" s="16"/>
      <c r="M167" s="220"/>
      <c r="N167" s="221"/>
      <c r="P167">
        <f t="shared" si="61"/>
        <v>80</v>
      </c>
      <c r="Q167" s="44">
        <f>E167+апр!I167</f>
        <v>0</v>
      </c>
      <c r="R167" s="30">
        <f>F167+апр!J167</f>
        <v>6</v>
      </c>
    </row>
    <row r="168" spans="1:18" ht="17.25" customHeight="1">
      <c r="A168" s="8"/>
      <c r="B168" s="28" t="s">
        <v>15</v>
      </c>
      <c r="C168" s="8" t="s">
        <v>16</v>
      </c>
      <c r="D168" s="16">
        <f>D166/D167*1000</f>
        <v>1191.125</v>
      </c>
      <c r="E168" s="8"/>
      <c r="F168" s="16" t="e">
        <f>F166/F167*1000</f>
        <v>#DIV/0!</v>
      </c>
      <c r="G168" s="10" t="e">
        <f t="shared" si="66"/>
        <v>#DIV/0!</v>
      </c>
      <c r="H168" s="16">
        <f>H166/H167*1000</f>
        <v>1191.125</v>
      </c>
      <c r="I168" s="8"/>
      <c r="J168" s="16">
        <f>J166/J167*1000</f>
        <v>6474.9999999999991</v>
      </c>
      <c r="K168" s="10">
        <f t="shared" si="68"/>
        <v>6474.9999999999991</v>
      </c>
      <c r="L168" s="16"/>
      <c r="M168" s="220"/>
      <c r="N168" s="221"/>
      <c r="P168">
        <f t="shared" si="61"/>
        <v>5955.625</v>
      </c>
      <c r="Q168" s="44">
        <f>E168+апр!I168</f>
        <v>0</v>
      </c>
      <c r="R168" s="30" t="e">
        <f>F168+апр!J168</f>
        <v>#DIV/0!</v>
      </c>
    </row>
    <row r="169" spans="1:18" ht="17.25" customHeight="1">
      <c r="A169" s="8" t="s">
        <v>158</v>
      </c>
      <c r="B169" s="9" t="s">
        <v>224</v>
      </c>
      <c r="C169" s="8" t="s">
        <v>4</v>
      </c>
      <c r="D169" s="10">
        <v>0</v>
      </c>
      <c r="E169" s="8"/>
      <c r="F169" s="8">
        <v>1.4259999999999999</v>
      </c>
      <c r="G169" s="10">
        <f t="shared" si="66"/>
        <v>1.4259999999999999</v>
      </c>
      <c r="H169" s="10">
        <f>D169+апр!H169</f>
        <v>0</v>
      </c>
      <c r="I169" s="8"/>
      <c r="J169" s="10">
        <f>F169+апр!J169</f>
        <v>8.3650000000000002</v>
      </c>
      <c r="K169" s="10">
        <f t="shared" si="68"/>
        <v>8.3650000000000002</v>
      </c>
      <c r="L169" s="16"/>
      <c r="M169" s="220"/>
      <c r="N169" s="221"/>
      <c r="P169">
        <f t="shared" si="61"/>
        <v>0</v>
      </c>
      <c r="Q169" s="44">
        <f>E169+апр!I169</f>
        <v>0</v>
      </c>
      <c r="R169" s="30">
        <f>F169+апр!J169</f>
        <v>8.3650000000000002</v>
      </c>
    </row>
    <row r="170" spans="1:18" ht="17.25" customHeight="1">
      <c r="A170" s="8"/>
      <c r="B170" s="28" t="s">
        <v>13</v>
      </c>
      <c r="C170" s="8" t="s">
        <v>155</v>
      </c>
      <c r="D170" s="14">
        <v>0</v>
      </c>
      <c r="E170" s="8"/>
      <c r="F170" s="8"/>
      <c r="G170" s="10">
        <f t="shared" si="66"/>
        <v>0</v>
      </c>
      <c r="H170" s="10">
        <f>D170+апр!H170</f>
        <v>0</v>
      </c>
      <c r="I170" s="8"/>
      <c r="J170" s="10">
        <f>F170+апр!J170</f>
        <v>99</v>
      </c>
      <c r="K170" s="10">
        <f t="shared" si="68"/>
        <v>99</v>
      </c>
      <c r="L170" s="16"/>
      <c r="M170" s="220"/>
      <c r="N170" s="221"/>
      <c r="P170">
        <f t="shared" si="61"/>
        <v>0</v>
      </c>
      <c r="Q170" s="44">
        <f>E170+апр!I170</f>
        <v>0</v>
      </c>
      <c r="R170" s="30">
        <f>F170+апр!J170</f>
        <v>99</v>
      </c>
    </row>
    <row r="171" spans="1:18" ht="17.25" customHeight="1">
      <c r="A171" s="8"/>
      <c r="B171" s="28" t="s">
        <v>15</v>
      </c>
      <c r="C171" s="8" t="s">
        <v>16</v>
      </c>
      <c r="D171" s="16" t="e">
        <f>D169/D170*1000</f>
        <v>#DIV/0!</v>
      </c>
      <c r="E171" s="8"/>
      <c r="F171" s="16" t="e">
        <f>F169/F170*1000</f>
        <v>#DIV/0!</v>
      </c>
      <c r="G171" s="10" t="e">
        <f t="shared" si="66"/>
        <v>#DIV/0!</v>
      </c>
      <c r="H171" s="16" t="e">
        <f>H169/H170*1000</f>
        <v>#DIV/0!</v>
      </c>
      <c r="I171" s="8"/>
      <c r="J171" s="16">
        <f>J169/J170*1000</f>
        <v>84.494949494949495</v>
      </c>
      <c r="K171" s="10">
        <f t="shared" si="68"/>
        <v>84.494949494949495</v>
      </c>
      <c r="L171" s="16"/>
      <c r="M171" s="220"/>
      <c r="N171" s="221"/>
      <c r="P171" t="e">
        <f t="shared" si="61"/>
        <v>#DIV/0!</v>
      </c>
      <c r="Q171" s="44">
        <f>E171+апр!I171</f>
        <v>0</v>
      </c>
      <c r="R171" s="30" t="e">
        <f>F171+апр!J171</f>
        <v>#DIV/0!</v>
      </c>
    </row>
    <row r="172" spans="1:18" ht="17.25" customHeight="1">
      <c r="A172" s="16" t="s">
        <v>160</v>
      </c>
      <c r="B172" s="9" t="s">
        <v>108</v>
      </c>
      <c r="C172" s="8" t="s">
        <v>4</v>
      </c>
      <c r="D172" s="10">
        <v>62.704999999999998</v>
      </c>
      <c r="E172" s="8">
        <v>62.667000000000002</v>
      </c>
      <c r="F172" s="10">
        <f>F173+F174+F175</f>
        <v>33.67</v>
      </c>
      <c r="G172" s="10">
        <f t="shared" si="66"/>
        <v>-28.997</v>
      </c>
      <c r="H172" s="10">
        <f>D172+апр!H172</f>
        <v>313.52499999999998</v>
      </c>
      <c r="I172" s="8">
        <f>E172+апр!I172</f>
        <v>313.33500000000004</v>
      </c>
      <c r="J172" s="8">
        <f>J173+J174+J175</f>
        <v>294.221</v>
      </c>
      <c r="K172" s="10">
        <f t="shared" si="68"/>
        <v>-19.114000000000033</v>
      </c>
      <c r="L172" s="16">
        <f t="shared" si="75"/>
        <v>-6.1001803181898069</v>
      </c>
      <c r="M172" s="220"/>
      <c r="N172" s="221"/>
      <c r="P172">
        <f t="shared" si="61"/>
        <v>313.52499999999998</v>
      </c>
      <c r="Q172" s="44">
        <f>E172+апр!I172</f>
        <v>313.33500000000004</v>
      </c>
      <c r="R172" s="30">
        <f>F172+апр!J172</f>
        <v>294.22100000000006</v>
      </c>
    </row>
    <row r="173" spans="1:18" ht="17.25" customHeight="1">
      <c r="A173" s="16"/>
      <c r="B173" s="9" t="s">
        <v>221</v>
      </c>
      <c r="C173" s="8" t="s">
        <v>4</v>
      </c>
      <c r="D173" s="10"/>
      <c r="E173" s="8"/>
      <c r="F173" s="10">
        <v>33.67</v>
      </c>
      <c r="G173" s="10">
        <f t="shared" si="66"/>
        <v>33.67</v>
      </c>
      <c r="H173" s="10"/>
      <c r="I173" s="8"/>
      <c r="J173" s="10">
        <f>F173+апр!J173</f>
        <v>192.40000000000003</v>
      </c>
      <c r="K173" s="10">
        <f t="shared" si="68"/>
        <v>192.40000000000003</v>
      </c>
      <c r="L173" s="16"/>
      <c r="M173" s="220"/>
      <c r="N173" s="221"/>
      <c r="P173">
        <f t="shared" si="61"/>
        <v>0</v>
      </c>
      <c r="Q173" s="44">
        <f>E173+апр!I173</f>
        <v>0</v>
      </c>
      <c r="R173" s="30">
        <f>F173+апр!J173</f>
        <v>192.40000000000003</v>
      </c>
    </row>
    <row r="174" spans="1:18" ht="37.5" customHeight="1">
      <c r="A174" s="16"/>
      <c r="B174" s="9" t="s">
        <v>222</v>
      </c>
      <c r="C174" s="8" t="s">
        <v>4</v>
      </c>
      <c r="D174" s="10"/>
      <c r="E174" s="8"/>
      <c r="F174" s="10"/>
      <c r="G174" s="10">
        <f t="shared" si="66"/>
        <v>0</v>
      </c>
      <c r="H174" s="10"/>
      <c r="I174" s="8"/>
      <c r="J174" s="10">
        <f>F174+апр!J174</f>
        <v>101.821</v>
      </c>
      <c r="K174" s="10">
        <f t="shared" si="68"/>
        <v>101.821</v>
      </c>
      <c r="L174" s="16"/>
      <c r="M174" s="220"/>
      <c r="N174" s="221"/>
      <c r="P174">
        <f t="shared" si="61"/>
        <v>0</v>
      </c>
      <c r="Q174" s="44">
        <f>E174+апр!I174</f>
        <v>0</v>
      </c>
      <c r="R174" s="30">
        <f>F174+апр!J174</f>
        <v>101.821</v>
      </c>
    </row>
    <row r="175" spans="1:18" ht="18.75" customHeight="1">
      <c r="A175" s="16"/>
      <c r="B175" s="9" t="s">
        <v>223</v>
      </c>
      <c r="C175" s="8" t="s">
        <v>4</v>
      </c>
      <c r="D175" s="10"/>
      <c r="E175" s="8"/>
      <c r="F175" s="8"/>
      <c r="G175" s="10">
        <f t="shared" si="66"/>
        <v>0</v>
      </c>
      <c r="H175" s="10"/>
      <c r="I175" s="8"/>
      <c r="J175" s="10">
        <f>F175+апр!J175</f>
        <v>0</v>
      </c>
      <c r="K175" s="10">
        <f t="shared" si="68"/>
        <v>0</v>
      </c>
      <c r="L175" s="16"/>
      <c r="M175" s="220"/>
      <c r="N175" s="221"/>
      <c r="P175">
        <f t="shared" si="61"/>
        <v>0</v>
      </c>
      <c r="Q175" s="44">
        <f>E175+апр!I175</f>
        <v>0</v>
      </c>
      <c r="R175" s="30">
        <f>F175+апр!J175</f>
        <v>0</v>
      </c>
    </row>
    <row r="176" spans="1:18" ht="18.75">
      <c r="A176" s="16" t="s">
        <v>161</v>
      </c>
      <c r="B176" s="9" t="s">
        <v>162</v>
      </c>
      <c r="C176" s="8" t="s">
        <v>4</v>
      </c>
      <c r="D176" s="10">
        <v>64.906000000000006</v>
      </c>
      <c r="E176" s="8">
        <v>64.917000000000002</v>
      </c>
      <c r="F176" s="8">
        <f>8.554+24.973+23.526+13.125+7.798</f>
        <v>77.975999999999999</v>
      </c>
      <c r="G176" s="10">
        <f t="shared" si="66"/>
        <v>13.058999999999997</v>
      </c>
      <c r="H176" s="10">
        <f>D176+апр!H176</f>
        <v>324.53000000000003</v>
      </c>
      <c r="I176" s="8">
        <f>E176+апр!I176</f>
        <v>324.58500000000004</v>
      </c>
      <c r="J176" s="10">
        <f>F176+апр!J176</f>
        <v>383.49299999999999</v>
      </c>
      <c r="K176" s="10">
        <f t="shared" si="68"/>
        <v>58.907999999999959</v>
      </c>
      <c r="L176" s="16">
        <f t="shared" si="75"/>
        <v>18.148712971948783</v>
      </c>
      <c r="M176" s="220"/>
      <c r="N176" s="221"/>
      <c r="P176">
        <f t="shared" si="61"/>
        <v>324.53000000000003</v>
      </c>
      <c r="Q176" s="44">
        <f>E176+апр!I176</f>
        <v>324.58500000000004</v>
      </c>
      <c r="R176" s="30">
        <f>F176+апр!J176</f>
        <v>383.49299999999999</v>
      </c>
    </row>
    <row r="177" spans="1:18" ht="35.25" customHeight="1">
      <c r="A177" s="16" t="s">
        <v>163</v>
      </c>
      <c r="B177" s="9" t="s">
        <v>165</v>
      </c>
      <c r="C177" s="8" t="s">
        <v>4</v>
      </c>
      <c r="D177" s="10">
        <f>D178</f>
        <v>2.2330000000000001</v>
      </c>
      <c r="E177" s="8"/>
      <c r="F177" s="8"/>
      <c r="G177" s="10">
        <f t="shared" si="66"/>
        <v>0</v>
      </c>
      <c r="H177" s="10">
        <f>H178</f>
        <v>11.165000000000001</v>
      </c>
      <c r="I177" s="8"/>
      <c r="J177" s="8"/>
      <c r="K177" s="10">
        <f t="shared" si="68"/>
        <v>0</v>
      </c>
      <c r="L177" s="16"/>
      <c r="M177" s="220"/>
      <c r="N177" s="221"/>
      <c r="P177">
        <f t="shared" si="61"/>
        <v>11.165000000000001</v>
      </c>
      <c r="Q177" s="44">
        <f>E177+апр!I177</f>
        <v>0</v>
      </c>
      <c r="R177" s="30">
        <f>F177+апр!J177</f>
        <v>0</v>
      </c>
    </row>
    <row r="178" spans="1:18" ht="18.75" customHeight="1">
      <c r="A178" s="16"/>
      <c r="B178" s="9" t="s">
        <v>100</v>
      </c>
      <c r="C178" s="8" t="s">
        <v>4</v>
      </c>
      <c r="D178" s="10">
        <v>2.2330000000000001</v>
      </c>
      <c r="E178" s="8"/>
      <c r="F178" s="8"/>
      <c r="G178" s="10">
        <f t="shared" si="66"/>
        <v>0</v>
      </c>
      <c r="H178" s="10">
        <f>D178+апр!H178</f>
        <v>11.165000000000001</v>
      </c>
      <c r="I178" s="8"/>
      <c r="J178" s="10">
        <f>F178+апр!J178</f>
        <v>0</v>
      </c>
      <c r="K178" s="10">
        <f t="shared" si="68"/>
        <v>0</v>
      </c>
      <c r="L178" s="16"/>
      <c r="M178" s="90"/>
      <c r="N178" s="91"/>
      <c r="P178">
        <f t="shared" si="61"/>
        <v>11.165000000000001</v>
      </c>
      <c r="Q178" s="44">
        <f>E178+апр!I178</f>
        <v>0</v>
      </c>
      <c r="R178" s="30">
        <f>F178+апр!J178</f>
        <v>0</v>
      </c>
    </row>
    <row r="179" spans="1:18" ht="17.25" customHeight="1">
      <c r="A179" s="16" t="s">
        <v>164</v>
      </c>
      <c r="B179" s="6" t="s">
        <v>169</v>
      </c>
      <c r="C179" s="92" t="s">
        <v>4</v>
      </c>
      <c r="D179" s="7">
        <f t="shared" ref="D179:F179" si="80">D180+D181+D182</f>
        <v>318.99799999999999</v>
      </c>
      <c r="E179" s="7">
        <f t="shared" si="80"/>
        <v>637.41600000000005</v>
      </c>
      <c r="F179" s="7">
        <f t="shared" si="80"/>
        <v>1726.258</v>
      </c>
      <c r="G179" s="10">
        <f t="shared" si="66"/>
        <v>1088.8420000000001</v>
      </c>
      <c r="H179" s="7">
        <f t="shared" ref="H179:J179" si="81">H180+H181+H182</f>
        <v>1594.9899999999998</v>
      </c>
      <c r="I179" s="7">
        <f t="shared" si="81"/>
        <v>3187.08</v>
      </c>
      <c r="J179" s="7">
        <f t="shared" si="81"/>
        <v>1726.258</v>
      </c>
      <c r="K179" s="10">
        <f t="shared" si="68"/>
        <v>-1460.8219999999999</v>
      </c>
      <c r="L179" s="16">
        <f t="shared" si="75"/>
        <v>-45.835749337951981</v>
      </c>
      <c r="M179" s="220"/>
      <c r="N179" s="221"/>
      <c r="P179">
        <f t="shared" si="61"/>
        <v>1594.99</v>
      </c>
      <c r="Q179" s="44">
        <f>E179+апр!I179</f>
        <v>3187.0800000000004</v>
      </c>
      <c r="R179" s="30">
        <f>F179+апр!J179</f>
        <v>1726.258</v>
      </c>
    </row>
    <row r="180" spans="1:18" ht="17.25" customHeight="1">
      <c r="A180" s="8" t="s">
        <v>166</v>
      </c>
      <c r="B180" s="9" t="s">
        <v>170</v>
      </c>
      <c r="C180" s="8" t="s">
        <v>4</v>
      </c>
      <c r="D180" s="10">
        <v>61.292999999999999</v>
      </c>
      <c r="E180" s="8">
        <v>61.332999999999998</v>
      </c>
      <c r="F180" s="8"/>
      <c r="G180" s="10">
        <f t="shared" si="66"/>
        <v>-61.332999999999998</v>
      </c>
      <c r="H180" s="10">
        <f>D180+апр!H180</f>
        <v>306.46499999999997</v>
      </c>
      <c r="I180" s="8">
        <f>E180+апр!I180</f>
        <v>306.66499999999996</v>
      </c>
      <c r="J180" s="10">
        <f>F180+апр!J180</f>
        <v>0</v>
      </c>
      <c r="K180" s="10">
        <f t="shared" si="68"/>
        <v>-306.66499999999996</v>
      </c>
      <c r="L180" s="16">
        <f t="shared" si="75"/>
        <v>-100</v>
      </c>
      <c r="M180" s="220"/>
      <c r="N180" s="221"/>
      <c r="P180">
        <f t="shared" si="61"/>
        <v>306.46499999999997</v>
      </c>
      <c r="Q180" s="44">
        <f>E180+апр!I180</f>
        <v>306.66499999999996</v>
      </c>
      <c r="R180" s="30">
        <f>F180+апр!J180</f>
        <v>0</v>
      </c>
    </row>
    <row r="181" spans="1:18" ht="17.25" customHeight="1">
      <c r="A181" s="8" t="s">
        <v>167</v>
      </c>
      <c r="B181" s="9" t="s">
        <v>171</v>
      </c>
      <c r="C181" s="8" t="s">
        <v>4</v>
      </c>
      <c r="D181" s="10">
        <v>168.477</v>
      </c>
      <c r="E181" s="8">
        <v>486.83300000000003</v>
      </c>
      <c r="F181" s="8">
        <v>1454.7470000000001</v>
      </c>
      <c r="G181" s="10">
        <f t="shared" si="66"/>
        <v>967.91399999999999</v>
      </c>
      <c r="H181" s="10">
        <f>D181+апр!H181</f>
        <v>842.38499999999999</v>
      </c>
      <c r="I181" s="8">
        <f>E181+апр!I181</f>
        <v>2434.165</v>
      </c>
      <c r="J181" s="10">
        <f>F181+апр!J181</f>
        <v>1454.7470000000001</v>
      </c>
      <c r="K181" s="10">
        <f t="shared" si="68"/>
        <v>-979.41799999999989</v>
      </c>
      <c r="L181" s="16">
        <f t="shared" si="75"/>
        <v>-40.236302797879354</v>
      </c>
      <c r="M181" s="227" t="s">
        <v>300</v>
      </c>
      <c r="N181" s="228"/>
      <c r="P181">
        <f t="shared" si="61"/>
        <v>842.38499999999999</v>
      </c>
      <c r="Q181" s="44">
        <f>E181+апр!I181</f>
        <v>2434.165</v>
      </c>
      <c r="R181" s="30">
        <f>F181+апр!J181</f>
        <v>1454.7470000000001</v>
      </c>
    </row>
    <row r="182" spans="1:18" ht="17.25" customHeight="1">
      <c r="A182" s="8" t="s">
        <v>267</v>
      </c>
      <c r="B182" s="9" t="s">
        <v>172</v>
      </c>
      <c r="C182" s="8" t="s">
        <v>4</v>
      </c>
      <c r="D182" s="10">
        <v>89.227999999999994</v>
      </c>
      <c r="E182" s="10">
        <v>89.25</v>
      </c>
      <c r="F182" s="8">
        <v>271.51100000000002</v>
      </c>
      <c r="G182" s="10">
        <f t="shared" si="66"/>
        <v>182.26100000000002</v>
      </c>
      <c r="H182" s="10">
        <f>D182+апр!H182</f>
        <v>446.14</v>
      </c>
      <c r="I182" s="8">
        <f>E182+апр!I182</f>
        <v>446.25</v>
      </c>
      <c r="J182" s="10">
        <f>F182+апр!J182</f>
        <v>271.51100000000002</v>
      </c>
      <c r="K182" s="10">
        <f t="shared" si="68"/>
        <v>-174.73899999999998</v>
      </c>
      <c r="L182" s="16">
        <f t="shared" si="75"/>
        <v>-39.157198879551814</v>
      </c>
      <c r="M182" s="227" t="s">
        <v>300</v>
      </c>
      <c r="N182" s="228"/>
      <c r="P182">
        <f t="shared" si="61"/>
        <v>446.14</v>
      </c>
      <c r="Q182" s="44">
        <f>E182+апр!I182</f>
        <v>446.25</v>
      </c>
      <c r="R182" s="30">
        <f>F182+апр!J182</f>
        <v>271.51100000000002</v>
      </c>
    </row>
    <row r="183" spans="1:18" ht="53.25" customHeight="1">
      <c r="A183" s="8" t="s">
        <v>168</v>
      </c>
      <c r="B183" s="9" t="s">
        <v>174</v>
      </c>
      <c r="C183" s="8" t="s">
        <v>4</v>
      </c>
      <c r="D183" s="10">
        <v>95.709000000000003</v>
      </c>
      <c r="E183" s="8">
        <v>93.167000000000002</v>
      </c>
      <c r="F183" s="8">
        <v>101.556</v>
      </c>
      <c r="G183" s="10">
        <f t="shared" si="66"/>
        <v>8.3889999999999958</v>
      </c>
      <c r="H183" s="10">
        <f>D183+апр!H183</f>
        <v>478.54500000000002</v>
      </c>
      <c r="I183" s="8">
        <f>E183+апр!I183</f>
        <v>465.83500000000004</v>
      </c>
      <c r="J183" s="10">
        <f>F183+апр!J183</f>
        <v>416.23</v>
      </c>
      <c r="K183" s="10">
        <f t="shared" si="68"/>
        <v>-49.605000000000018</v>
      </c>
      <c r="L183" s="16">
        <f t="shared" si="75"/>
        <v>-10.648620219605657</v>
      </c>
      <c r="M183" s="222" t="s">
        <v>303</v>
      </c>
      <c r="N183" s="223"/>
      <c r="P183">
        <f t="shared" si="61"/>
        <v>478.54500000000002</v>
      </c>
      <c r="Q183" s="44">
        <f>E183+апр!I183</f>
        <v>465.83500000000004</v>
      </c>
      <c r="R183" s="30">
        <f>F183+апр!J183</f>
        <v>416.23</v>
      </c>
    </row>
    <row r="184" spans="1:18" ht="33" customHeight="1">
      <c r="A184" s="92" t="s">
        <v>173</v>
      </c>
      <c r="B184" s="6" t="s">
        <v>176</v>
      </c>
      <c r="C184" s="92" t="s">
        <v>4</v>
      </c>
      <c r="D184" s="7">
        <f t="shared" ref="D184:F184" si="82">D185+D186+D187</f>
        <v>50.518000000000001</v>
      </c>
      <c r="E184" s="7">
        <v>50.5</v>
      </c>
      <c r="F184" s="7">
        <f t="shared" si="82"/>
        <v>0</v>
      </c>
      <c r="G184" s="10">
        <f t="shared" si="66"/>
        <v>-50.5</v>
      </c>
      <c r="H184" s="7">
        <f t="shared" ref="H184" si="83">H185+H186+H187</f>
        <v>252.59</v>
      </c>
      <c r="I184" s="8">
        <f>E184+апр!I184</f>
        <v>252.5</v>
      </c>
      <c r="J184" s="7">
        <f t="shared" ref="J184" si="84">J185+J186+J187</f>
        <v>0</v>
      </c>
      <c r="K184" s="10">
        <f t="shared" si="68"/>
        <v>-252.5</v>
      </c>
      <c r="L184" s="16">
        <f t="shared" si="75"/>
        <v>-100</v>
      </c>
      <c r="M184" s="229" t="s">
        <v>293</v>
      </c>
      <c r="N184" s="230"/>
      <c r="O184" s="7">
        <f t="shared" ref="O184" si="85">O185+O186+O187</f>
        <v>343.50800000000004</v>
      </c>
      <c r="P184">
        <f t="shared" si="61"/>
        <v>252.59</v>
      </c>
      <c r="Q184" s="44">
        <f>E184+апр!I184</f>
        <v>252.5</v>
      </c>
      <c r="R184" s="30">
        <f>F184+апр!J184</f>
        <v>0</v>
      </c>
    </row>
    <row r="185" spans="1:18" ht="17.25" customHeight="1">
      <c r="A185" s="8" t="s">
        <v>268</v>
      </c>
      <c r="B185" s="9" t="s">
        <v>177</v>
      </c>
      <c r="C185" s="8" t="s">
        <v>4</v>
      </c>
      <c r="D185" s="10">
        <v>19.254000000000001</v>
      </c>
      <c r="E185" s="8"/>
      <c r="F185" s="10"/>
      <c r="G185" s="10">
        <f t="shared" si="66"/>
        <v>0</v>
      </c>
      <c r="H185" s="10">
        <f>D185+апр!H185</f>
        <v>96.27000000000001</v>
      </c>
      <c r="I185" s="8">
        <f>E185+апр!I185</f>
        <v>0</v>
      </c>
      <c r="J185" s="10">
        <f>F185+апр!J185</f>
        <v>0</v>
      </c>
      <c r="K185" s="10">
        <f t="shared" si="68"/>
        <v>0</v>
      </c>
      <c r="L185" s="16"/>
      <c r="M185" s="220"/>
      <c r="N185" s="221"/>
      <c r="O185" s="10">
        <v>130.12</v>
      </c>
      <c r="P185">
        <f t="shared" si="61"/>
        <v>96.27000000000001</v>
      </c>
      <c r="Q185" s="44">
        <f>E185+апр!I185</f>
        <v>0</v>
      </c>
      <c r="R185" s="30">
        <f>F185+апр!J185</f>
        <v>0</v>
      </c>
    </row>
    <row r="186" spans="1:18" ht="17.25" customHeight="1">
      <c r="A186" s="8" t="s">
        <v>269</v>
      </c>
      <c r="B186" s="9" t="s">
        <v>178</v>
      </c>
      <c r="C186" s="8" t="s">
        <v>4</v>
      </c>
      <c r="D186" s="10">
        <v>8.7639999999999993</v>
      </c>
      <c r="E186" s="8"/>
      <c r="F186" s="8"/>
      <c r="G186" s="10">
        <f t="shared" si="66"/>
        <v>0</v>
      </c>
      <c r="H186" s="10">
        <f>D186+апр!H186</f>
        <v>43.819999999999993</v>
      </c>
      <c r="I186" s="8">
        <f>E186+апр!I186</f>
        <v>0</v>
      </c>
      <c r="J186" s="10">
        <f>F186+апр!J186</f>
        <v>0</v>
      </c>
      <c r="K186" s="10">
        <f t="shared" si="68"/>
        <v>0</v>
      </c>
      <c r="L186" s="16"/>
      <c r="M186" s="220"/>
      <c r="N186" s="221"/>
      <c r="O186" s="8">
        <v>15.369</v>
      </c>
      <c r="P186">
        <f t="shared" si="61"/>
        <v>43.819999999999993</v>
      </c>
      <c r="Q186" s="44">
        <f>E186+апр!I186</f>
        <v>0</v>
      </c>
      <c r="R186" s="30">
        <f>F186+апр!J186</f>
        <v>0</v>
      </c>
    </row>
    <row r="187" spans="1:18" ht="17.25" customHeight="1">
      <c r="A187" s="8" t="s">
        <v>270</v>
      </c>
      <c r="B187" s="9" t="s">
        <v>179</v>
      </c>
      <c r="C187" s="8" t="s">
        <v>4</v>
      </c>
      <c r="D187" s="10">
        <v>22.5</v>
      </c>
      <c r="E187" s="8"/>
      <c r="F187" s="8"/>
      <c r="G187" s="10">
        <f t="shared" si="66"/>
        <v>0</v>
      </c>
      <c r="H187" s="10">
        <f>D187+апр!H187</f>
        <v>112.5</v>
      </c>
      <c r="I187" s="8">
        <f>E187+апр!I187</f>
        <v>0</v>
      </c>
      <c r="J187" s="10">
        <f>F187+апр!J187</f>
        <v>0</v>
      </c>
      <c r="K187" s="10">
        <f t="shared" si="68"/>
        <v>0</v>
      </c>
      <c r="L187" s="16"/>
      <c r="M187" s="220"/>
      <c r="N187" s="221"/>
      <c r="O187" s="8">
        <v>198.01900000000001</v>
      </c>
      <c r="P187">
        <f t="shared" si="61"/>
        <v>112.5</v>
      </c>
      <c r="Q187" s="44">
        <f>E187+апр!I187</f>
        <v>0</v>
      </c>
      <c r="R187" s="30">
        <f>F187+апр!J187</f>
        <v>0</v>
      </c>
    </row>
    <row r="188" spans="1:18" ht="17.25" customHeight="1">
      <c r="A188" s="92" t="s">
        <v>175</v>
      </c>
      <c r="B188" s="6" t="s">
        <v>180</v>
      </c>
      <c r="C188" s="92" t="s">
        <v>4</v>
      </c>
      <c r="D188" s="7">
        <f>D189+D190+D191+D192+D197+D198+D199+D200+D204</f>
        <v>186.78400000000005</v>
      </c>
      <c r="E188" s="7">
        <f>E189+E190+E191+E192+E197+E198+E199+E200+E204</f>
        <v>193.416</v>
      </c>
      <c r="F188" s="7">
        <f>F189+F190+F191+F192+F197+F198+F199+F200+F204</f>
        <v>22.009</v>
      </c>
      <c r="G188" s="10">
        <f t="shared" si="66"/>
        <v>-171.40699999999998</v>
      </c>
      <c r="H188" s="7">
        <f>H189+H190+H191+H192+H197+H198+H199+H200+H204</f>
        <v>933.92000000000019</v>
      </c>
      <c r="I188" s="7">
        <f>I189+I190+I191+I192+I197+I198+I199+I200+I204</f>
        <v>967.07999999999993</v>
      </c>
      <c r="J188" s="7">
        <f>J189+J190+J191+J192+J197+J198+J199+J200+J204</f>
        <v>447.32400000000007</v>
      </c>
      <c r="K188" s="10">
        <f t="shared" si="68"/>
        <v>-519.75599999999986</v>
      </c>
      <c r="L188" s="16">
        <f t="shared" si="75"/>
        <v>-53.744881498945261</v>
      </c>
      <c r="M188" s="226"/>
      <c r="N188" s="221"/>
      <c r="P188">
        <f t="shared" si="61"/>
        <v>933.9200000000003</v>
      </c>
      <c r="Q188" s="44">
        <f>E188+апр!I188</f>
        <v>967.07999999999993</v>
      </c>
      <c r="R188" s="30">
        <f>F188+апр!J188</f>
        <v>447.32400000000001</v>
      </c>
    </row>
    <row r="189" spans="1:18" ht="17.25" customHeight="1">
      <c r="A189" s="18" t="s">
        <v>271</v>
      </c>
      <c r="B189" s="9" t="s">
        <v>181</v>
      </c>
      <c r="C189" s="8" t="s">
        <v>4</v>
      </c>
      <c r="D189" s="10">
        <v>0</v>
      </c>
      <c r="E189" s="8"/>
      <c r="F189" s="8"/>
      <c r="G189" s="10">
        <f t="shared" si="66"/>
        <v>0</v>
      </c>
      <c r="H189" s="10">
        <f>D189+апр!H189</f>
        <v>0</v>
      </c>
      <c r="I189" s="8">
        <f>E189+апр!I189</f>
        <v>0</v>
      </c>
      <c r="J189" s="10">
        <f>F189+апр!J189</f>
        <v>0</v>
      </c>
      <c r="K189" s="10">
        <f t="shared" si="68"/>
        <v>0</v>
      </c>
      <c r="L189" s="16"/>
      <c r="M189" s="220"/>
      <c r="N189" s="221"/>
      <c r="P189">
        <f t="shared" si="61"/>
        <v>0</v>
      </c>
      <c r="Q189" s="44">
        <f>E189+апр!I189</f>
        <v>0</v>
      </c>
      <c r="R189" s="30">
        <f>F189+апр!J189</f>
        <v>0</v>
      </c>
    </row>
    <row r="190" spans="1:18" ht="17.25" customHeight="1">
      <c r="A190" s="18" t="s">
        <v>272</v>
      </c>
      <c r="B190" s="9" t="s">
        <v>182</v>
      </c>
      <c r="C190" s="8" t="s">
        <v>4</v>
      </c>
      <c r="D190" s="10">
        <v>15.651</v>
      </c>
      <c r="E190" s="10">
        <v>22.25</v>
      </c>
      <c r="F190" s="8">
        <v>21.152000000000001</v>
      </c>
      <c r="G190" s="10">
        <f t="shared" si="66"/>
        <v>-1.097999999999999</v>
      </c>
      <c r="H190" s="10">
        <f>D190+апр!H190</f>
        <v>78.254999999999995</v>
      </c>
      <c r="I190" s="8">
        <f>E190+апр!I190</f>
        <v>111.25</v>
      </c>
      <c r="J190" s="10">
        <f>F190+апр!J190</f>
        <v>152.50700000000001</v>
      </c>
      <c r="K190" s="10">
        <f t="shared" si="68"/>
        <v>41.257000000000005</v>
      </c>
      <c r="L190" s="16">
        <f t="shared" si="75"/>
        <v>37.084943820224723</v>
      </c>
      <c r="M190" s="220"/>
      <c r="N190" s="221"/>
      <c r="P190">
        <f t="shared" si="61"/>
        <v>78.254999999999995</v>
      </c>
      <c r="Q190" s="44">
        <f>E190+апр!I190</f>
        <v>111.25</v>
      </c>
      <c r="R190" s="30">
        <f>F190+апр!J190</f>
        <v>152.50700000000001</v>
      </c>
    </row>
    <row r="191" spans="1:18" ht="33.75" customHeight="1">
      <c r="A191" s="18" t="s">
        <v>273</v>
      </c>
      <c r="B191" s="9" t="s">
        <v>237</v>
      </c>
      <c r="C191" s="8" t="s">
        <v>4</v>
      </c>
      <c r="D191" s="10">
        <v>1.4910000000000001</v>
      </c>
      <c r="E191" s="10">
        <v>1.5</v>
      </c>
      <c r="F191" s="10">
        <v>0.5</v>
      </c>
      <c r="G191" s="10">
        <f t="shared" si="66"/>
        <v>-1</v>
      </c>
      <c r="H191" s="10">
        <f>D191+апр!H191</f>
        <v>7.4550000000000001</v>
      </c>
      <c r="I191" s="8">
        <f>E191+апр!I191</f>
        <v>7.5</v>
      </c>
      <c r="J191" s="10">
        <f>F191+апр!J191</f>
        <v>9.59</v>
      </c>
      <c r="K191" s="10">
        <f t="shared" si="68"/>
        <v>2.09</v>
      </c>
      <c r="L191" s="16">
        <f t="shared" si="75"/>
        <v>27.866666666666667</v>
      </c>
      <c r="M191" s="220"/>
      <c r="N191" s="221"/>
      <c r="P191">
        <f t="shared" si="61"/>
        <v>7.4550000000000001</v>
      </c>
      <c r="Q191" s="44">
        <f>E191+апр!I191</f>
        <v>7.5</v>
      </c>
      <c r="R191" s="30">
        <f>F191+апр!J191</f>
        <v>9.59</v>
      </c>
    </row>
    <row r="192" spans="1:18" ht="36.75" customHeight="1">
      <c r="A192" s="18" t="s">
        <v>274</v>
      </c>
      <c r="B192" s="9" t="s">
        <v>183</v>
      </c>
      <c r="C192" s="8" t="s">
        <v>4</v>
      </c>
      <c r="D192" s="10">
        <f t="shared" ref="D192:F192" si="86">D193+D194+D195+D196</f>
        <v>149.55900000000003</v>
      </c>
      <c r="E192" s="10">
        <f t="shared" si="86"/>
        <v>149.583</v>
      </c>
      <c r="F192" s="10">
        <f t="shared" si="86"/>
        <v>0</v>
      </c>
      <c r="G192" s="10">
        <f t="shared" si="66"/>
        <v>-149.583</v>
      </c>
      <c r="H192" s="10">
        <f t="shared" ref="H192:J192" si="87">H193+H194+H195+H196</f>
        <v>747.79500000000007</v>
      </c>
      <c r="I192" s="10">
        <f t="shared" si="87"/>
        <v>747.91499999999996</v>
      </c>
      <c r="J192" s="10">
        <f t="shared" si="87"/>
        <v>274.28100000000001</v>
      </c>
      <c r="K192" s="10">
        <f t="shared" si="68"/>
        <v>-473.63399999999996</v>
      </c>
      <c r="L192" s="16">
        <f t="shared" si="75"/>
        <v>-63.327249754316995</v>
      </c>
      <c r="M192" s="220"/>
      <c r="N192" s="221"/>
      <c r="P192">
        <f t="shared" si="61"/>
        <v>747.79500000000007</v>
      </c>
      <c r="Q192" s="44">
        <f>E192+апр!I192</f>
        <v>747.91499999999996</v>
      </c>
      <c r="R192" s="30">
        <f>F192+апр!J192</f>
        <v>274.28100000000001</v>
      </c>
    </row>
    <row r="193" spans="1:18" ht="74.25" customHeight="1">
      <c r="A193" s="8" t="s">
        <v>275</v>
      </c>
      <c r="B193" s="9" t="s">
        <v>184</v>
      </c>
      <c r="C193" s="8" t="s">
        <v>4</v>
      </c>
      <c r="D193" s="10">
        <v>33.363999999999997</v>
      </c>
      <c r="E193" s="8">
        <v>33.332999999999998</v>
      </c>
      <c r="F193" s="8"/>
      <c r="G193" s="10">
        <f t="shared" si="66"/>
        <v>-33.332999999999998</v>
      </c>
      <c r="H193" s="10">
        <f>D193+апр!H193</f>
        <v>166.82</v>
      </c>
      <c r="I193" s="8">
        <f>E193+апр!I193</f>
        <v>166.66499999999999</v>
      </c>
      <c r="J193" s="10">
        <f>F193+апр!J193</f>
        <v>189.47499999999999</v>
      </c>
      <c r="K193" s="10">
        <f t="shared" si="68"/>
        <v>22.810000000000002</v>
      </c>
      <c r="L193" s="16">
        <f t="shared" si="75"/>
        <v>13.686136861368617</v>
      </c>
      <c r="M193" s="220"/>
      <c r="N193" s="221"/>
      <c r="P193">
        <f t="shared" si="61"/>
        <v>166.82</v>
      </c>
      <c r="Q193" s="44">
        <f>E193+апр!I193</f>
        <v>166.66499999999999</v>
      </c>
      <c r="R193" s="30">
        <f>F193+апр!J193</f>
        <v>189.47499999999999</v>
      </c>
    </row>
    <row r="194" spans="1:18" ht="93" customHeight="1">
      <c r="A194" s="8" t="s">
        <v>276</v>
      </c>
      <c r="B194" s="9" t="s">
        <v>238</v>
      </c>
      <c r="C194" s="8" t="s">
        <v>4</v>
      </c>
      <c r="D194" s="10">
        <v>89.792000000000002</v>
      </c>
      <c r="E194" s="8">
        <v>89.832999999999998</v>
      </c>
      <c r="F194" s="8"/>
      <c r="G194" s="10">
        <f t="shared" si="66"/>
        <v>-89.832999999999998</v>
      </c>
      <c r="H194" s="10">
        <f>D194+апр!H194</f>
        <v>448.96000000000004</v>
      </c>
      <c r="I194" s="8">
        <f>E194+апр!I194</f>
        <v>449.16499999999996</v>
      </c>
      <c r="J194" s="10">
        <f>F194+апр!J194</f>
        <v>0</v>
      </c>
      <c r="K194" s="10">
        <f t="shared" si="68"/>
        <v>-449.16499999999996</v>
      </c>
      <c r="L194" s="16">
        <f t="shared" si="75"/>
        <v>-100</v>
      </c>
      <c r="M194" s="220"/>
      <c r="N194" s="221"/>
      <c r="P194">
        <f t="shared" si="61"/>
        <v>448.96000000000004</v>
      </c>
      <c r="Q194" s="44">
        <f>E194+апр!I194</f>
        <v>449.16499999999996</v>
      </c>
      <c r="R194" s="30">
        <f>F194+апр!J194</f>
        <v>0</v>
      </c>
    </row>
    <row r="195" spans="1:18" ht="90.75" customHeight="1">
      <c r="A195" s="8" t="s">
        <v>277</v>
      </c>
      <c r="B195" s="9" t="s">
        <v>185</v>
      </c>
      <c r="C195" s="8" t="s">
        <v>4</v>
      </c>
      <c r="D195" s="10">
        <v>7.9660000000000002</v>
      </c>
      <c r="E195" s="8">
        <v>8</v>
      </c>
      <c r="F195" s="8"/>
      <c r="G195" s="10">
        <f t="shared" si="66"/>
        <v>-8</v>
      </c>
      <c r="H195" s="10">
        <f>D195+апр!H195</f>
        <v>39.83</v>
      </c>
      <c r="I195" s="8">
        <f>E195+апр!I195</f>
        <v>40</v>
      </c>
      <c r="J195" s="10">
        <f>F195+апр!J195</f>
        <v>15.260999999999999</v>
      </c>
      <c r="K195" s="10">
        <f t="shared" si="68"/>
        <v>-24.739000000000001</v>
      </c>
      <c r="L195" s="16">
        <f t="shared" si="75"/>
        <v>-61.847499999999997</v>
      </c>
      <c r="M195" s="220"/>
      <c r="N195" s="221"/>
      <c r="P195">
        <f t="shared" si="61"/>
        <v>39.83</v>
      </c>
      <c r="Q195" s="44">
        <f>E195+апр!I195</f>
        <v>40</v>
      </c>
      <c r="R195" s="30">
        <f>F195+апр!J195</f>
        <v>15.260999999999999</v>
      </c>
    </row>
    <row r="196" spans="1:18" ht="37.5" customHeight="1">
      <c r="A196" s="8" t="s">
        <v>278</v>
      </c>
      <c r="B196" s="9" t="s">
        <v>186</v>
      </c>
      <c r="C196" s="8" t="s">
        <v>4</v>
      </c>
      <c r="D196" s="10">
        <v>18.437000000000001</v>
      </c>
      <c r="E196" s="8">
        <v>18.417000000000002</v>
      </c>
      <c r="F196" s="8"/>
      <c r="G196" s="10">
        <f t="shared" si="66"/>
        <v>-18.417000000000002</v>
      </c>
      <c r="H196" s="10">
        <f>D196+апр!H196</f>
        <v>92.185000000000002</v>
      </c>
      <c r="I196" s="8">
        <f>E196+апр!I196</f>
        <v>92.085000000000008</v>
      </c>
      <c r="J196" s="10">
        <f>F196+апр!J196</f>
        <v>69.545000000000002</v>
      </c>
      <c r="K196" s="10">
        <f t="shared" si="68"/>
        <v>-22.540000000000006</v>
      </c>
      <c r="L196" s="16">
        <f t="shared" si="75"/>
        <v>-24.477385024705438</v>
      </c>
      <c r="M196" s="220"/>
      <c r="N196" s="221"/>
      <c r="P196">
        <f t="shared" si="61"/>
        <v>92.185000000000002</v>
      </c>
      <c r="Q196" s="44">
        <f>E196+апр!I196</f>
        <v>92.085000000000008</v>
      </c>
      <c r="R196" s="30">
        <f>F196+апр!J196</f>
        <v>69.545000000000002</v>
      </c>
    </row>
    <row r="197" spans="1:18" ht="17.25" customHeight="1">
      <c r="A197" s="18" t="s">
        <v>279</v>
      </c>
      <c r="B197" s="26" t="s">
        <v>187</v>
      </c>
      <c r="C197" s="8" t="s">
        <v>4</v>
      </c>
      <c r="D197" s="10">
        <v>15.818</v>
      </c>
      <c r="E197" s="8">
        <v>15.833</v>
      </c>
      <c r="F197" s="8"/>
      <c r="G197" s="10">
        <f t="shared" si="66"/>
        <v>-15.833</v>
      </c>
      <c r="H197" s="10">
        <f>D197+апр!H197</f>
        <v>79.09</v>
      </c>
      <c r="I197" s="8">
        <f>E197+апр!I197</f>
        <v>79.165000000000006</v>
      </c>
      <c r="J197" s="10">
        <f>F197+апр!J197</f>
        <v>0</v>
      </c>
      <c r="K197" s="10">
        <f t="shared" si="68"/>
        <v>-79.165000000000006</v>
      </c>
      <c r="L197" s="16">
        <f t="shared" si="75"/>
        <v>-100</v>
      </c>
      <c r="M197" s="220"/>
      <c r="N197" s="221"/>
      <c r="P197">
        <f t="shared" si="61"/>
        <v>79.09</v>
      </c>
      <c r="Q197" s="44">
        <f>E197+апр!I197</f>
        <v>79.165000000000006</v>
      </c>
      <c r="R197" s="30">
        <f>F197+апр!J197</f>
        <v>0</v>
      </c>
    </row>
    <row r="198" spans="1:18" ht="17.25" customHeight="1">
      <c r="A198" s="18"/>
      <c r="B198" s="26" t="s">
        <v>125</v>
      </c>
      <c r="C198" s="8" t="s">
        <v>4</v>
      </c>
      <c r="D198" s="10">
        <v>0.34200000000000003</v>
      </c>
      <c r="E198" s="8">
        <v>0.33300000000000002</v>
      </c>
      <c r="F198" s="8"/>
      <c r="G198" s="10">
        <f t="shared" si="66"/>
        <v>-0.33300000000000002</v>
      </c>
      <c r="H198" s="10">
        <f>D198+апр!H198</f>
        <v>1.7100000000000002</v>
      </c>
      <c r="I198" s="8">
        <f>E198+апр!I198</f>
        <v>1.665</v>
      </c>
      <c r="J198" s="10">
        <f>F198+апр!J198</f>
        <v>0</v>
      </c>
      <c r="K198" s="10">
        <f t="shared" si="68"/>
        <v>-1.665</v>
      </c>
      <c r="L198" s="16">
        <f t="shared" si="75"/>
        <v>-100</v>
      </c>
      <c r="M198" s="220"/>
      <c r="N198" s="221"/>
      <c r="P198">
        <f t="shared" si="61"/>
        <v>1.7100000000000002</v>
      </c>
      <c r="Q198" s="44">
        <f>E198+апр!I198</f>
        <v>1.665</v>
      </c>
      <c r="R198" s="30">
        <f>F198+апр!J198</f>
        <v>0</v>
      </c>
    </row>
    <row r="199" spans="1:18" ht="17.25" customHeight="1">
      <c r="A199" s="18" t="s">
        <v>280</v>
      </c>
      <c r="B199" s="26" t="s">
        <v>188</v>
      </c>
      <c r="C199" s="8" t="s">
        <v>4</v>
      </c>
      <c r="D199" s="10">
        <v>0</v>
      </c>
      <c r="E199" s="8"/>
      <c r="F199" s="8"/>
      <c r="G199" s="10">
        <f t="shared" si="66"/>
        <v>0</v>
      </c>
      <c r="H199" s="10">
        <f>D199+апр!H199</f>
        <v>0</v>
      </c>
      <c r="I199" s="8">
        <f>E199+апр!I199</f>
        <v>0</v>
      </c>
      <c r="J199" s="10">
        <f>F199+апр!J199</f>
        <v>0</v>
      </c>
      <c r="K199" s="10">
        <f t="shared" si="68"/>
        <v>0</v>
      </c>
      <c r="L199" s="16"/>
      <c r="M199" s="220"/>
      <c r="N199" s="221"/>
      <c r="P199">
        <f t="shared" si="61"/>
        <v>0</v>
      </c>
      <c r="Q199" s="44">
        <f>E199+апр!I199</f>
        <v>0</v>
      </c>
      <c r="R199" s="30">
        <f>F199+апр!J199</f>
        <v>0</v>
      </c>
    </row>
    <row r="200" spans="1:18" ht="27" customHeight="1">
      <c r="A200" s="18" t="s">
        <v>281</v>
      </c>
      <c r="B200" s="26" t="s">
        <v>189</v>
      </c>
      <c r="C200" s="8" t="s">
        <v>4</v>
      </c>
      <c r="D200" s="10">
        <v>3.923</v>
      </c>
      <c r="E200" s="8">
        <v>3.9169999999999998</v>
      </c>
      <c r="F200" s="10">
        <v>0.35699999999999998</v>
      </c>
      <c r="G200" s="10">
        <f t="shared" si="66"/>
        <v>-3.5599999999999996</v>
      </c>
      <c r="H200" s="10">
        <f>D200+апр!H200</f>
        <v>19.615000000000002</v>
      </c>
      <c r="I200" s="8">
        <f>E200+апр!I200</f>
        <v>19.585000000000001</v>
      </c>
      <c r="J200" s="10">
        <f>F200+апр!J200</f>
        <v>10.946</v>
      </c>
      <c r="K200" s="10">
        <f t="shared" si="68"/>
        <v>-8.6390000000000011</v>
      </c>
      <c r="L200" s="16">
        <f t="shared" si="75"/>
        <v>-44.110288486086297</v>
      </c>
      <c r="M200" s="222" t="s">
        <v>289</v>
      </c>
      <c r="N200" s="223"/>
      <c r="P200">
        <f t="shared" si="61"/>
        <v>19.615000000000002</v>
      </c>
      <c r="Q200" s="44">
        <f>E200+апр!I200</f>
        <v>19.585000000000001</v>
      </c>
      <c r="R200" s="30">
        <f>F200+апр!J200</f>
        <v>10.946</v>
      </c>
    </row>
    <row r="201" spans="1:18" ht="17.25" hidden="1" customHeight="1">
      <c r="A201" s="18" t="s">
        <v>282</v>
      </c>
      <c r="B201" s="26" t="s">
        <v>225</v>
      </c>
      <c r="C201" s="8" t="s">
        <v>4</v>
      </c>
      <c r="D201" s="10">
        <v>0</v>
      </c>
      <c r="E201" s="8"/>
      <c r="F201" s="8"/>
      <c r="G201" s="10">
        <f t="shared" si="66"/>
        <v>0</v>
      </c>
      <c r="H201" s="10">
        <f>D201+апр!H201</f>
        <v>0</v>
      </c>
      <c r="I201" s="8">
        <f>E201+апр!I201</f>
        <v>0</v>
      </c>
      <c r="J201" s="10">
        <f>F201+апр!J201</f>
        <v>0</v>
      </c>
      <c r="K201" s="10">
        <f t="shared" si="68"/>
        <v>0</v>
      </c>
      <c r="L201" s="16" t="e">
        <f t="shared" si="75"/>
        <v>#DIV/0!</v>
      </c>
      <c r="M201" s="222" t="s">
        <v>290</v>
      </c>
      <c r="N201" s="223"/>
      <c r="P201">
        <f t="shared" ref="P201:P218" si="88">D201*5</f>
        <v>0</v>
      </c>
      <c r="Q201" s="44">
        <f>E201+апр!I201</f>
        <v>0</v>
      </c>
      <c r="R201" s="30">
        <f>F201+апр!J201</f>
        <v>0</v>
      </c>
    </row>
    <row r="202" spans="1:18" ht="17.25" hidden="1" customHeight="1">
      <c r="A202" s="18" t="s">
        <v>283</v>
      </c>
      <c r="B202" s="26" t="s">
        <v>228</v>
      </c>
      <c r="C202" s="8" t="s">
        <v>4</v>
      </c>
      <c r="D202" s="10">
        <v>0</v>
      </c>
      <c r="E202" s="8"/>
      <c r="F202" s="8"/>
      <c r="G202" s="10">
        <f t="shared" si="66"/>
        <v>0</v>
      </c>
      <c r="H202" s="10">
        <f>D202+апр!H202</f>
        <v>0</v>
      </c>
      <c r="I202" s="8">
        <f>E202+апр!I202</f>
        <v>0</v>
      </c>
      <c r="J202" s="10">
        <f>F202+апр!J202</f>
        <v>0</v>
      </c>
      <c r="K202" s="10">
        <f t="shared" si="68"/>
        <v>0</v>
      </c>
      <c r="L202" s="16" t="e">
        <f t="shared" si="75"/>
        <v>#DIV/0!</v>
      </c>
      <c r="M202" s="222" t="s">
        <v>290</v>
      </c>
      <c r="N202" s="223"/>
      <c r="P202">
        <f t="shared" si="88"/>
        <v>0</v>
      </c>
      <c r="Q202" s="44">
        <f>E202+апр!I202</f>
        <v>0</v>
      </c>
      <c r="R202" s="30">
        <f>F202+апр!J202</f>
        <v>0</v>
      </c>
    </row>
    <row r="203" spans="1:18" ht="34.5" hidden="1" customHeight="1">
      <c r="A203" s="18" t="s">
        <v>284</v>
      </c>
      <c r="B203" s="26" t="s">
        <v>231</v>
      </c>
      <c r="C203" s="8" t="s">
        <v>4</v>
      </c>
      <c r="D203" s="10">
        <v>0</v>
      </c>
      <c r="E203" s="8"/>
      <c r="F203" s="8"/>
      <c r="G203" s="10">
        <f t="shared" si="66"/>
        <v>0</v>
      </c>
      <c r="H203" s="10">
        <f>D203+апр!H203</f>
        <v>0</v>
      </c>
      <c r="I203" s="8">
        <f>E203+апр!I203</f>
        <v>0</v>
      </c>
      <c r="J203" s="10">
        <f>F203+апр!J203</f>
        <v>0</v>
      </c>
      <c r="K203" s="10">
        <f t="shared" si="68"/>
        <v>0</v>
      </c>
      <c r="L203" s="16" t="e">
        <f t="shared" si="75"/>
        <v>#DIV/0!</v>
      </c>
      <c r="M203" s="222" t="s">
        <v>290</v>
      </c>
      <c r="N203" s="223"/>
      <c r="P203">
        <f t="shared" si="88"/>
        <v>0</v>
      </c>
      <c r="Q203" s="44">
        <f>E203+апр!I203</f>
        <v>0</v>
      </c>
      <c r="R203" s="30">
        <f>F203+апр!J203</f>
        <v>0</v>
      </c>
    </row>
    <row r="204" spans="1:18" ht="17.25" customHeight="1">
      <c r="A204" s="18" t="s">
        <v>282</v>
      </c>
      <c r="B204" s="26" t="s">
        <v>230</v>
      </c>
      <c r="C204" s="8" t="s">
        <v>4</v>
      </c>
      <c r="D204" s="10">
        <v>0</v>
      </c>
      <c r="E204" s="8"/>
      <c r="F204" s="8"/>
      <c r="G204" s="10">
        <f t="shared" si="66"/>
        <v>0</v>
      </c>
      <c r="H204" s="10">
        <f>D204+апр!H204</f>
        <v>0</v>
      </c>
      <c r="I204" s="8">
        <f>E204+апр!I204</f>
        <v>0</v>
      </c>
      <c r="J204" s="10">
        <f>F204+апр!J204</f>
        <v>0</v>
      </c>
      <c r="K204" s="10">
        <f t="shared" si="68"/>
        <v>0</v>
      </c>
      <c r="L204" s="16"/>
      <c r="M204" s="220"/>
      <c r="N204" s="221"/>
      <c r="P204">
        <f t="shared" si="88"/>
        <v>0</v>
      </c>
      <c r="Q204" s="44">
        <f>E204+апр!I204</f>
        <v>0</v>
      </c>
      <c r="R204" s="30">
        <f>F204+апр!J204</f>
        <v>0</v>
      </c>
    </row>
    <row r="205" spans="1:18" ht="21" customHeight="1">
      <c r="A205" s="92" t="s">
        <v>190</v>
      </c>
      <c r="B205" s="6" t="s">
        <v>191</v>
      </c>
      <c r="C205" s="92" t="s">
        <v>4</v>
      </c>
      <c r="D205" s="7">
        <f>D8+D138</f>
        <v>76555.231</v>
      </c>
      <c r="E205" s="21">
        <f>E8+E138</f>
        <v>71086.831999999995</v>
      </c>
      <c r="F205" s="7">
        <f>F8+F138</f>
        <v>81933.885500000004</v>
      </c>
      <c r="G205" s="10">
        <f t="shared" ref="G205:G213" si="89">F205-E205</f>
        <v>10847.053500000009</v>
      </c>
      <c r="H205" s="7">
        <f>H8+H138</f>
        <v>382776.15500000003</v>
      </c>
      <c r="I205" s="7">
        <f>I8+I138</f>
        <v>355432.82699999999</v>
      </c>
      <c r="J205" s="7">
        <f>J8+J138</f>
        <v>364918.53399999999</v>
      </c>
      <c r="K205" s="10">
        <f t="shared" ref="K205:K213" si="90">J205-I205</f>
        <v>9485.7069999999949</v>
      </c>
      <c r="L205" s="16">
        <f t="shared" ref="L205:L213" si="91">K205/I205*100</f>
        <v>2.6687762861025766</v>
      </c>
      <c r="M205" s="220"/>
      <c r="N205" s="221"/>
      <c r="O205" s="30"/>
      <c r="P205">
        <f t="shared" si="88"/>
        <v>382776.15500000003</v>
      </c>
      <c r="Q205" s="44">
        <f>E205+апр!I205</f>
        <v>355434.16</v>
      </c>
      <c r="R205" s="30">
        <f>F205+апр!J205</f>
        <v>364918.53399999987</v>
      </c>
    </row>
    <row r="206" spans="1:18" ht="17.25" customHeight="1">
      <c r="A206" s="92" t="s">
        <v>192</v>
      </c>
      <c r="B206" s="6" t="s">
        <v>193</v>
      </c>
      <c r="C206" s="92" t="s">
        <v>4</v>
      </c>
      <c r="D206" s="7">
        <v>1469.992</v>
      </c>
      <c r="E206" s="92">
        <v>1470.0830000000001</v>
      </c>
      <c r="F206" s="21">
        <f>F209-F205</f>
        <v>17998.946819999997</v>
      </c>
      <c r="G206" s="16">
        <f t="shared" si="89"/>
        <v>16528.863819999999</v>
      </c>
      <c r="H206" s="10">
        <f>D206+апр!H206</f>
        <v>7349.96</v>
      </c>
      <c r="I206" s="8">
        <f>E206+апр!I206</f>
        <v>7350.4150000000009</v>
      </c>
      <c r="J206" s="10">
        <f>F206+апр!J206</f>
        <v>25661.666359999974</v>
      </c>
      <c r="K206" s="10">
        <f t="shared" si="90"/>
        <v>18311.251359999973</v>
      </c>
      <c r="L206" s="16">
        <f t="shared" si="91"/>
        <v>249.11860568416847</v>
      </c>
      <c r="M206" s="220"/>
      <c r="N206" s="221"/>
      <c r="P206">
        <f>D206*5</f>
        <v>7349.96</v>
      </c>
      <c r="Q206" s="44">
        <f>E206+апр!I206</f>
        <v>7350.4150000000009</v>
      </c>
      <c r="R206" s="30">
        <f>F206+апр!J206</f>
        <v>25661.666359999974</v>
      </c>
    </row>
    <row r="207" spans="1:18" ht="17.25" customHeight="1">
      <c r="A207" s="92" t="s">
        <v>194</v>
      </c>
      <c r="B207" s="6" t="s">
        <v>195</v>
      </c>
      <c r="C207" s="92" t="s">
        <v>4</v>
      </c>
      <c r="D207" s="7">
        <f>D205+D206</f>
        <v>78025.222999999998</v>
      </c>
      <c r="E207" s="21">
        <f>E205+E206</f>
        <v>72556.914999999994</v>
      </c>
      <c r="F207" s="7">
        <f>F205+F206</f>
        <v>99932.832320000001</v>
      </c>
      <c r="G207" s="16">
        <f t="shared" si="89"/>
        <v>27375.917320000008</v>
      </c>
      <c r="H207" s="7">
        <f>H205+H206</f>
        <v>390126.11500000005</v>
      </c>
      <c r="I207" s="7">
        <f>I205+I206</f>
        <v>362783.24199999997</v>
      </c>
      <c r="J207" s="7">
        <f>J205+J206</f>
        <v>390580.20035999996</v>
      </c>
      <c r="K207" s="10">
        <f t="shared" si="90"/>
        <v>27796.95835999999</v>
      </c>
      <c r="L207" s="16">
        <f t="shared" si="91"/>
        <v>7.6621395758958428</v>
      </c>
      <c r="M207" s="220"/>
      <c r="N207" s="221"/>
      <c r="P207">
        <f t="shared" si="88"/>
        <v>390126.11499999999</v>
      </c>
      <c r="Q207" s="44">
        <f>E207+апр!I207</f>
        <v>362784.57499999995</v>
      </c>
      <c r="R207" s="30">
        <f>F207+апр!J207</f>
        <v>390580.20035999984</v>
      </c>
    </row>
    <row r="208" spans="1:18" ht="17.25" customHeight="1">
      <c r="A208" s="224" t="s">
        <v>196</v>
      </c>
      <c r="B208" s="225" t="s">
        <v>197</v>
      </c>
      <c r="C208" s="92" t="s">
        <v>114</v>
      </c>
      <c r="D208" s="7">
        <v>559.39200000000005</v>
      </c>
      <c r="E208" s="92">
        <v>523.61</v>
      </c>
      <c r="F208" s="92">
        <v>724.57100000000003</v>
      </c>
      <c r="G208" s="10">
        <f t="shared" si="89"/>
        <v>200.96100000000001</v>
      </c>
      <c r="H208" s="10">
        <f>D208+апр!H208</f>
        <v>2796.96</v>
      </c>
      <c r="I208" s="10">
        <f>E208+апр!I208</f>
        <v>2618.0500000000002</v>
      </c>
      <c r="J208" s="10">
        <f>F208+апр!J208</f>
        <v>2831.933</v>
      </c>
      <c r="K208" s="10">
        <f t="shared" si="90"/>
        <v>213.88299999999981</v>
      </c>
      <c r="L208" s="16">
        <f t="shared" si="91"/>
        <v>8.1695536754454565</v>
      </c>
      <c r="M208" s="220"/>
      <c r="N208" s="221"/>
      <c r="P208">
        <f t="shared" si="88"/>
        <v>2796.96</v>
      </c>
      <c r="Q208" s="44">
        <f>E208+апр!I208</f>
        <v>2618.0500000000002</v>
      </c>
      <c r="R208" s="30">
        <f>F208+апр!J208</f>
        <v>2831.933</v>
      </c>
    </row>
    <row r="209" spans="1:19" ht="17.25" customHeight="1">
      <c r="A209" s="224"/>
      <c r="B209" s="225"/>
      <c r="C209" s="92" t="s">
        <v>4</v>
      </c>
      <c r="D209" s="7">
        <f>D207</f>
        <v>78025.222999999998</v>
      </c>
      <c r="E209" s="21">
        <f>E207</f>
        <v>72556.914999999994</v>
      </c>
      <c r="F209" s="92">
        <f>F213*F208</f>
        <v>99932.832320000001</v>
      </c>
      <c r="G209" s="16">
        <f t="shared" si="89"/>
        <v>27375.917320000008</v>
      </c>
      <c r="H209" s="10">
        <f>D209+апр!H209</f>
        <v>390126.11499999999</v>
      </c>
      <c r="I209" s="7">
        <f>I207</f>
        <v>362783.24199999997</v>
      </c>
      <c r="J209" s="92">
        <f>J213*J208</f>
        <v>390580.20035999996</v>
      </c>
      <c r="K209" s="10">
        <f t="shared" si="90"/>
        <v>27796.95835999999</v>
      </c>
      <c r="L209" s="16">
        <f t="shared" si="91"/>
        <v>7.6621395758958428</v>
      </c>
      <c r="M209" s="220"/>
      <c r="N209" s="221"/>
      <c r="P209">
        <f t="shared" si="88"/>
        <v>390126.11499999999</v>
      </c>
      <c r="Q209" s="44">
        <f>E209+апр!I209</f>
        <v>362784.57499999995</v>
      </c>
      <c r="R209" s="30">
        <f>F209+апр!J209</f>
        <v>390580.20035999984</v>
      </c>
    </row>
    <row r="210" spans="1:19" ht="17.25" customHeight="1">
      <c r="A210" s="92" t="s">
        <v>198</v>
      </c>
      <c r="B210" s="93" t="s">
        <v>199</v>
      </c>
      <c r="C210" s="92" t="s">
        <v>114</v>
      </c>
      <c r="D210" s="7">
        <v>761.69899999999996</v>
      </c>
      <c r="E210" s="21">
        <v>713</v>
      </c>
      <c r="F210" s="7">
        <v>856.43100000000004</v>
      </c>
      <c r="G210" s="10">
        <f t="shared" si="89"/>
        <v>143.43100000000004</v>
      </c>
      <c r="H210" s="10">
        <f>D210+апр!H210</f>
        <v>3808.4949999999999</v>
      </c>
      <c r="I210" s="10">
        <f>E210+апр!I210</f>
        <v>3565</v>
      </c>
      <c r="J210" s="10">
        <f>F210+апр!J210</f>
        <v>3510.1130000000003</v>
      </c>
      <c r="K210" s="10">
        <f t="shared" si="90"/>
        <v>-54.886999999999716</v>
      </c>
      <c r="L210" s="16">
        <f t="shared" si="91"/>
        <v>-1.5396072931276217</v>
      </c>
      <c r="M210" s="220"/>
      <c r="N210" s="221"/>
      <c r="P210">
        <f t="shared" si="88"/>
        <v>3808.4949999999999</v>
      </c>
      <c r="Q210" s="44">
        <f>E210+апр!I210</f>
        <v>3565</v>
      </c>
      <c r="R210" s="30">
        <f>F210+апр!J210</f>
        <v>3510.1130000000003</v>
      </c>
    </row>
    <row r="211" spans="1:19" ht="17.25" customHeight="1">
      <c r="A211" s="224" t="s">
        <v>200</v>
      </c>
      <c r="B211" s="225" t="s">
        <v>201</v>
      </c>
      <c r="C211" s="92" t="s">
        <v>202</v>
      </c>
      <c r="D211" s="21">
        <f>D212/D210*100</f>
        <v>26.559966600980168</v>
      </c>
      <c r="E211" s="21">
        <f>E212/E210*100</f>
        <v>26.562412342215985</v>
      </c>
      <c r="F211" s="21">
        <f>F212/F210*100</f>
        <v>15.396453421233003</v>
      </c>
      <c r="G211" s="10">
        <f t="shared" si="89"/>
        <v>-11.165958920982982</v>
      </c>
      <c r="H211" s="21">
        <f>H212/H210*100</f>
        <v>26.559966600980172</v>
      </c>
      <c r="I211" s="21">
        <f>I212/I210*100</f>
        <v>26.562412342215985</v>
      </c>
      <c r="J211" s="21">
        <f>J212/J210*100</f>
        <v>19.320745514460651</v>
      </c>
      <c r="K211" s="10">
        <f t="shared" si="90"/>
        <v>-7.2416668277553349</v>
      </c>
      <c r="L211" s="16">
        <f t="shared" si="91"/>
        <v>-27.262835673422853</v>
      </c>
      <c r="M211" s="220"/>
      <c r="N211" s="221"/>
      <c r="P211">
        <f t="shared" si="88"/>
        <v>132.79983300490085</v>
      </c>
      <c r="Q211" s="44">
        <f>E211+апр!I211</f>
        <v>53.124824684431971</v>
      </c>
      <c r="R211" s="30">
        <f>F211+апр!J211</f>
        <v>35.983697861222424</v>
      </c>
    </row>
    <row r="212" spans="1:19" ht="17.25" customHeight="1">
      <c r="A212" s="224"/>
      <c r="B212" s="225"/>
      <c r="C212" s="92" t="s">
        <v>114</v>
      </c>
      <c r="D212" s="7">
        <f>D210-D208</f>
        <v>202.3069999999999</v>
      </c>
      <c r="E212" s="7">
        <f>E210-E208</f>
        <v>189.39</v>
      </c>
      <c r="F212" s="7">
        <f>F210-F208</f>
        <v>131.86000000000001</v>
      </c>
      <c r="G212" s="10">
        <f t="shared" si="89"/>
        <v>-57.529999999999973</v>
      </c>
      <c r="H212" s="7">
        <f>H210-H208</f>
        <v>1011.5349999999999</v>
      </c>
      <c r="I212" s="7">
        <f>I210-I208</f>
        <v>946.94999999999982</v>
      </c>
      <c r="J212" s="7">
        <f>J210-J208</f>
        <v>678.18000000000029</v>
      </c>
      <c r="K212" s="10">
        <f t="shared" si="90"/>
        <v>-268.76999999999953</v>
      </c>
      <c r="L212" s="16">
        <f t="shared" si="91"/>
        <v>-28.382702360209048</v>
      </c>
      <c r="M212" s="220"/>
      <c r="N212" s="221"/>
      <c r="P212">
        <f t="shared" si="88"/>
        <v>1011.5349999999995</v>
      </c>
      <c r="Q212" s="44">
        <f>E212+апр!I212</f>
        <v>946.94999999999993</v>
      </c>
      <c r="R212" s="30">
        <f>F212+апр!J212</f>
        <v>678.18000000000018</v>
      </c>
    </row>
    <row r="213" spans="1:19" s="1" customFormat="1" ht="21" customHeight="1">
      <c r="A213" s="92" t="s">
        <v>203</v>
      </c>
      <c r="B213" s="6" t="s">
        <v>204</v>
      </c>
      <c r="C213" s="92" t="s">
        <v>205</v>
      </c>
      <c r="D213" s="21">
        <f>D207/D208</f>
        <v>139.48219316686686</v>
      </c>
      <c r="E213" s="21">
        <f>E209/E208</f>
        <v>138.57052959263572</v>
      </c>
      <c r="F213" s="92">
        <v>137.91999999999999</v>
      </c>
      <c r="G213" s="10">
        <f t="shared" si="89"/>
        <v>-0.65052959263573484</v>
      </c>
      <c r="H213" s="21">
        <f>H207/H208</f>
        <v>139.48219316686689</v>
      </c>
      <c r="I213" s="21">
        <f>I207/I208</f>
        <v>138.57002043505659</v>
      </c>
      <c r="J213" s="21">
        <f>J207/J208</f>
        <v>137.92000035311568</v>
      </c>
      <c r="K213" s="10">
        <f t="shared" si="90"/>
        <v>-0.65002008194090877</v>
      </c>
      <c r="L213" s="16">
        <f t="shared" si="91"/>
        <v>-0.469091423888151</v>
      </c>
      <c r="M213" s="220"/>
      <c r="N213" s="221"/>
      <c r="O213"/>
      <c r="P213">
        <f t="shared" si="88"/>
        <v>697.41096583433432</v>
      </c>
      <c r="Q213" s="44">
        <f>E213+апр!I213</f>
        <v>277.14105918527144</v>
      </c>
      <c r="R213" s="30">
        <f>F213+апр!J213</f>
        <v>275.84000047452685</v>
      </c>
      <c r="S213"/>
    </row>
    <row r="214" spans="1:19" ht="17.25" customHeight="1">
      <c r="A214" s="8"/>
      <c r="B214" s="9" t="s">
        <v>206</v>
      </c>
      <c r="C214" s="8"/>
      <c r="D214" s="21"/>
      <c r="E214" s="8"/>
      <c r="F214" s="8"/>
      <c r="G214" s="8"/>
      <c r="H214" s="21"/>
      <c r="I214" s="8"/>
      <c r="J214" s="8"/>
      <c r="K214" s="8"/>
      <c r="L214" s="16"/>
      <c r="M214" s="220"/>
      <c r="N214" s="221"/>
      <c r="P214">
        <f t="shared" si="88"/>
        <v>0</v>
      </c>
      <c r="Q214" s="44">
        <f>E214+апр!I214</f>
        <v>0</v>
      </c>
      <c r="R214" s="30">
        <f>F214+апр!J214</f>
        <v>0</v>
      </c>
    </row>
    <row r="215" spans="1:19" ht="35.25" customHeight="1">
      <c r="A215" s="8">
        <v>7</v>
      </c>
      <c r="B215" s="9" t="s">
        <v>207</v>
      </c>
      <c r="C215" s="8" t="s">
        <v>208</v>
      </c>
      <c r="D215" s="14">
        <f>D216+D217</f>
        <v>253</v>
      </c>
      <c r="E215" s="14">
        <f t="shared" ref="E215:G215" si="92">E216+E217</f>
        <v>0</v>
      </c>
      <c r="F215" s="14">
        <f t="shared" si="92"/>
        <v>0</v>
      </c>
      <c r="G215" s="14">
        <f t="shared" si="92"/>
        <v>0</v>
      </c>
      <c r="H215" s="14">
        <f>H216+H217</f>
        <v>253</v>
      </c>
      <c r="I215" s="14">
        <f t="shared" ref="I215:K215" si="93">I216+I217</f>
        <v>0</v>
      </c>
      <c r="J215" s="14">
        <f t="shared" si="93"/>
        <v>172</v>
      </c>
      <c r="K215" s="14">
        <f t="shared" si="93"/>
        <v>0</v>
      </c>
      <c r="L215" s="16"/>
      <c r="M215" s="220"/>
      <c r="N215" s="221"/>
      <c r="P215">
        <f t="shared" si="88"/>
        <v>1265</v>
      </c>
      <c r="Q215" s="44">
        <f>E215+апр!I215</f>
        <v>0</v>
      </c>
      <c r="R215" s="30">
        <f>F215+апр!J215</f>
        <v>172</v>
      </c>
    </row>
    <row r="216" spans="1:19" ht="17.25" customHeight="1">
      <c r="A216" s="18" t="s">
        <v>209</v>
      </c>
      <c r="B216" s="9" t="s">
        <v>210</v>
      </c>
      <c r="C216" s="8" t="s">
        <v>208</v>
      </c>
      <c r="D216" s="14">
        <v>236</v>
      </c>
      <c r="E216" s="8"/>
      <c r="F216" s="8"/>
      <c r="G216" s="8"/>
      <c r="H216" s="14">
        <v>236</v>
      </c>
      <c r="I216" s="8"/>
      <c r="J216" s="8">
        <v>164</v>
      </c>
      <c r="K216" s="8"/>
      <c r="L216" s="16"/>
      <c r="M216" s="220"/>
      <c r="N216" s="221"/>
      <c r="P216">
        <f t="shared" si="88"/>
        <v>1180</v>
      </c>
      <c r="Q216" s="44">
        <f>E216+апр!I216</f>
        <v>0</v>
      </c>
      <c r="R216" s="30">
        <f>F216+апр!J216</f>
        <v>164</v>
      </c>
    </row>
    <row r="217" spans="1:19" ht="17.25" customHeight="1">
      <c r="A217" s="18" t="s">
        <v>211</v>
      </c>
      <c r="B217" s="9" t="s">
        <v>212</v>
      </c>
      <c r="C217" s="8" t="s">
        <v>208</v>
      </c>
      <c r="D217" s="14">
        <v>17</v>
      </c>
      <c r="E217" s="8"/>
      <c r="F217" s="8"/>
      <c r="G217" s="8"/>
      <c r="H217" s="14">
        <v>17</v>
      </c>
      <c r="I217" s="8"/>
      <c r="J217" s="8">
        <v>8</v>
      </c>
      <c r="K217" s="8"/>
      <c r="L217" s="16"/>
      <c r="M217" s="220"/>
      <c r="N217" s="221"/>
      <c r="P217">
        <f t="shared" si="88"/>
        <v>85</v>
      </c>
      <c r="Q217" s="44">
        <f>E217+апр!I217</f>
        <v>0</v>
      </c>
      <c r="R217" s="30">
        <f>F217+апр!J217</f>
        <v>8</v>
      </c>
    </row>
    <row r="218" spans="1:19" ht="36" customHeight="1">
      <c r="A218" s="18" t="s">
        <v>213</v>
      </c>
      <c r="B218" s="9" t="s">
        <v>214</v>
      </c>
      <c r="C218" s="8" t="s">
        <v>16</v>
      </c>
      <c r="D218" s="14">
        <f>(D88+D145)/D215*1000</f>
        <v>86746.573122529648</v>
      </c>
      <c r="E218" s="8"/>
      <c r="F218" s="8"/>
      <c r="G218" s="8"/>
      <c r="H218" s="14">
        <f>(H88+H145)/H215*1000/5</f>
        <v>86746.573122529633</v>
      </c>
      <c r="I218" s="8"/>
      <c r="J218" s="14">
        <f>(J88+J145)/J215*1000/5</f>
        <v>113408.21744186047</v>
      </c>
      <c r="K218" s="8"/>
      <c r="L218" s="16"/>
      <c r="M218" s="220"/>
      <c r="N218" s="221"/>
      <c r="P218">
        <f t="shared" si="88"/>
        <v>433732.86561264825</v>
      </c>
      <c r="Q218" s="44">
        <f>E218+апр!I218</f>
        <v>0</v>
      </c>
      <c r="R218" s="30">
        <f>F218+апр!J218</f>
        <v>113361.80523255812</v>
      </c>
    </row>
    <row r="219" spans="1:19" ht="17.25" customHeight="1">
      <c r="A219" s="18" t="s">
        <v>215</v>
      </c>
      <c r="B219" s="9" t="s">
        <v>210</v>
      </c>
      <c r="C219" s="8" t="s">
        <v>16</v>
      </c>
      <c r="D219" s="14">
        <f>D88/D216*1000</f>
        <v>84883.580508474581</v>
      </c>
      <c r="E219" s="8"/>
      <c r="F219" s="8"/>
      <c r="G219" s="8"/>
      <c r="H219" s="14">
        <f>H88/H216*1000/5</f>
        <v>84883.580508474581</v>
      </c>
      <c r="I219" s="8"/>
      <c r="J219" s="14">
        <f>J88/J216*1000/5</f>
        <v>110311.09756097561</v>
      </c>
      <c r="K219" s="8"/>
      <c r="L219" s="16"/>
      <c r="M219" s="220"/>
      <c r="N219" s="221"/>
      <c r="Q219" s="44">
        <f>E219+апр!I219</f>
        <v>0</v>
      </c>
      <c r="R219" s="30">
        <f>F219+апр!J219</f>
        <v>110632.42835365853</v>
      </c>
    </row>
    <row r="220" spans="1:19" ht="17.25" customHeight="1">
      <c r="A220" s="18" t="s">
        <v>216</v>
      </c>
      <c r="B220" s="9" t="s">
        <v>212</v>
      </c>
      <c r="C220" s="8" t="s">
        <v>16</v>
      </c>
      <c r="D220" s="14">
        <f>D145/D217*1000</f>
        <v>112609.29411764705</v>
      </c>
      <c r="E220" s="8"/>
      <c r="F220" s="8"/>
      <c r="G220" s="8"/>
      <c r="H220" s="14">
        <f>H145/H217*1000/5</f>
        <v>112609.29411764706</v>
      </c>
      <c r="I220" s="8"/>
      <c r="J220" s="14">
        <f>J145/J217*1000/5</f>
        <v>176899.17499999999</v>
      </c>
      <c r="K220" s="8"/>
      <c r="L220" s="16"/>
      <c r="M220" s="220"/>
      <c r="N220" s="221"/>
      <c r="Q220" s="44">
        <f>E220+апр!I220</f>
        <v>0</v>
      </c>
      <c r="R220" s="30">
        <f>F220+апр!J220</f>
        <v>169314.03125</v>
      </c>
    </row>
    <row r="221" spans="1:19" ht="18.75">
      <c r="A221" s="29"/>
      <c r="B221" s="29"/>
      <c r="C221" s="29"/>
      <c r="D221" s="29"/>
      <c r="E221" s="29"/>
      <c r="F221" s="29"/>
      <c r="G221" s="29"/>
      <c r="H221" s="29">
        <f>H220*I217*12/1000</f>
        <v>0</v>
      </c>
      <c r="I221" s="29">
        <f>H218*I216*12/1000</f>
        <v>0</v>
      </c>
      <c r="J221" s="29"/>
      <c r="K221" s="29"/>
      <c r="L221" s="29"/>
      <c r="M221" s="29"/>
      <c r="N221" s="29">
        <f>H221+I221</f>
        <v>0</v>
      </c>
    </row>
    <row r="222" spans="1:19" ht="18.75">
      <c r="A222" s="29"/>
      <c r="B222" s="29"/>
      <c r="C222" s="29"/>
      <c r="D222" s="29"/>
      <c r="E222" s="29"/>
      <c r="F222" s="29"/>
      <c r="G222" s="29"/>
      <c r="H222" s="29">
        <v>607.40800000000002</v>
      </c>
      <c r="I222" s="29">
        <v>9999.5409999999993</v>
      </c>
      <c r="J222" s="29"/>
      <c r="K222" s="29"/>
      <c r="L222" s="29"/>
      <c r="M222" s="29"/>
      <c r="N222" s="29"/>
    </row>
    <row r="223" spans="1:19" ht="18.75">
      <c r="A223" s="29"/>
      <c r="B223" s="29"/>
      <c r="C223" s="29"/>
      <c r="D223" s="29"/>
      <c r="E223" s="29"/>
      <c r="F223" s="29"/>
      <c r="G223" s="29"/>
      <c r="H223" s="29">
        <v>953.40200000000004</v>
      </c>
      <c r="I223" s="29">
        <v>10043.467000000001</v>
      </c>
      <c r="J223" s="29"/>
      <c r="K223" s="29"/>
      <c r="L223" s="29"/>
      <c r="M223" s="29"/>
      <c r="N223" s="29"/>
    </row>
    <row r="224" spans="1:19" ht="18.75">
      <c r="A224" s="29"/>
      <c r="B224" s="29"/>
      <c r="C224" s="29"/>
      <c r="D224" s="29"/>
      <c r="E224" s="29"/>
      <c r="F224" s="29"/>
      <c r="G224" s="29"/>
      <c r="H224" s="29"/>
      <c r="I224" s="29">
        <f>888.772+371.175+148.47</f>
        <v>1408.4170000000001</v>
      </c>
      <c r="J224" s="29"/>
      <c r="K224" s="29"/>
      <c r="L224" s="29"/>
      <c r="M224" s="29"/>
      <c r="N224" s="29"/>
    </row>
    <row r="225" spans="1:14" ht="18.75">
      <c r="A225" s="29"/>
      <c r="B225" s="29"/>
      <c r="C225" s="29"/>
      <c r="D225" s="29"/>
      <c r="E225" s="29"/>
      <c r="F225" s="29"/>
      <c r="G225" s="29"/>
      <c r="H225" s="29">
        <f>SUM(H221:H223)</f>
        <v>1560.81</v>
      </c>
      <c r="I225" s="29">
        <f>SUM(I221:I224)</f>
        <v>21451.425000000003</v>
      </c>
      <c r="J225" s="29"/>
      <c r="K225" s="29"/>
      <c r="L225" s="29"/>
      <c r="M225" s="29"/>
      <c r="N225" s="29">
        <f>SUM(H225:M225)</f>
        <v>23012.235000000004</v>
      </c>
    </row>
    <row r="226" spans="1:14" ht="72.75" customHeight="1">
      <c r="A226" s="29"/>
      <c r="B226" s="29" t="s">
        <v>295</v>
      </c>
      <c r="C226" s="29"/>
      <c r="D226" s="29"/>
      <c r="E226" s="29"/>
      <c r="F226" s="29"/>
      <c r="G226" s="29"/>
      <c r="H226" s="29"/>
      <c r="I226" s="29" t="s">
        <v>296</v>
      </c>
      <c r="J226" s="29"/>
      <c r="K226" s="29"/>
      <c r="L226" s="29"/>
      <c r="M226" s="29"/>
      <c r="N226" s="29"/>
    </row>
    <row r="227" spans="1:14" ht="9" customHeigh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</row>
    <row r="228" spans="1:14" ht="52.5" hidden="1" customHeight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</row>
    <row r="229" spans="1:14" ht="15.75" hidden="1" customHeight="1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</row>
    <row r="230" spans="1:14" ht="27" hidden="1" customHeight="1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</row>
    <row r="231" spans="1:14" ht="30" customHeight="1">
      <c r="A231" s="29"/>
      <c r="B231" s="29" t="s">
        <v>233</v>
      </c>
      <c r="C231" s="29"/>
      <c r="D231" s="29"/>
      <c r="E231" s="29"/>
      <c r="F231" s="29"/>
      <c r="G231" s="29"/>
      <c r="H231" s="29"/>
      <c r="I231" s="29" t="s">
        <v>234</v>
      </c>
      <c r="J231" s="29"/>
      <c r="K231" s="29"/>
      <c r="L231" s="29"/>
      <c r="M231" s="29"/>
      <c r="N231" s="29"/>
    </row>
    <row r="232" spans="1:14" ht="28.5" customHeight="1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</row>
    <row r="233" spans="1:14" ht="4.5" hidden="1" customHeight="1">
      <c r="B233" s="3" t="s">
        <v>233</v>
      </c>
      <c r="C233" s="3"/>
      <c r="D233" s="3"/>
      <c r="E233" s="3"/>
      <c r="F233" s="3"/>
      <c r="G233" s="3"/>
      <c r="H233" t="s">
        <v>234</v>
      </c>
    </row>
    <row r="234" spans="1:14" ht="16.5" customHeight="1">
      <c r="B234" s="4"/>
      <c r="C234" s="2"/>
      <c r="D234" s="2"/>
      <c r="E234" s="2"/>
      <c r="F234" s="2"/>
      <c r="G234" s="2"/>
    </row>
    <row r="235" spans="1:14" ht="15.75">
      <c r="A235" s="2"/>
      <c r="B235" s="2"/>
      <c r="C235" s="2"/>
      <c r="D235" s="2"/>
      <c r="E235" s="2"/>
      <c r="F235" s="2"/>
      <c r="G235" s="2"/>
    </row>
    <row r="236" spans="1:14" ht="15.75">
      <c r="A236" s="2"/>
      <c r="B236" s="2"/>
      <c r="C236" s="2"/>
      <c r="D236" s="2"/>
      <c r="E236" s="2"/>
      <c r="F236" s="2"/>
      <c r="G236" s="2"/>
    </row>
    <row r="237" spans="1:14" ht="15.75">
      <c r="A237" s="2"/>
      <c r="B237" s="2"/>
      <c r="C237" s="2"/>
      <c r="D237" s="2"/>
      <c r="E237" s="2"/>
      <c r="F237" s="2"/>
      <c r="G237" s="2"/>
    </row>
    <row r="238" spans="1:14" ht="15.75">
      <c r="A238" s="4" t="s">
        <v>235</v>
      </c>
      <c r="B238" s="2"/>
      <c r="C238" s="2"/>
      <c r="D238" s="2"/>
      <c r="E238" s="2"/>
      <c r="F238" s="2"/>
      <c r="G238" s="2"/>
    </row>
    <row r="239" spans="1:14" ht="15.75">
      <c r="A239" s="2"/>
      <c r="B239" s="2"/>
      <c r="C239" s="2"/>
      <c r="D239" s="2"/>
      <c r="E239" s="2"/>
      <c r="F239" s="2"/>
      <c r="G239" s="2"/>
    </row>
  </sheetData>
  <mergeCells count="222">
    <mergeCell ref="E5:E6"/>
    <mergeCell ref="F5:F6"/>
    <mergeCell ref="G5:G6"/>
    <mergeCell ref="H5:H6"/>
    <mergeCell ref="I5:I6"/>
    <mergeCell ref="J5:J6"/>
    <mergeCell ref="A1:N1"/>
    <mergeCell ref="A2:N2"/>
    <mergeCell ref="A3:C3"/>
    <mergeCell ref="A4:A6"/>
    <mergeCell ref="B4:B6"/>
    <mergeCell ref="C4:C6"/>
    <mergeCell ref="D4:G4"/>
    <mergeCell ref="H4:L4"/>
    <mergeCell ref="M4:N6"/>
    <mergeCell ref="D5:D6"/>
    <mergeCell ref="M11:N11"/>
    <mergeCell ref="M12:N12"/>
    <mergeCell ref="M13:N13"/>
    <mergeCell ref="M14:N14"/>
    <mergeCell ref="M15:N15"/>
    <mergeCell ref="M16:N16"/>
    <mergeCell ref="K5:K6"/>
    <mergeCell ref="L5:L6"/>
    <mergeCell ref="M7:N7"/>
    <mergeCell ref="M8:N8"/>
    <mergeCell ref="M9:N9"/>
    <mergeCell ref="M10:N10"/>
    <mergeCell ref="M23:N23"/>
    <mergeCell ref="M24:N24"/>
    <mergeCell ref="M25:N25"/>
    <mergeCell ref="M26:N26"/>
    <mergeCell ref="M27:N27"/>
    <mergeCell ref="M28:N28"/>
    <mergeCell ref="M17:N17"/>
    <mergeCell ref="M18:N18"/>
    <mergeCell ref="M19:N19"/>
    <mergeCell ref="M20:N20"/>
    <mergeCell ref="M21:N21"/>
    <mergeCell ref="M22:N22"/>
    <mergeCell ref="M35:N35"/>
    <mergeCell ref="M36:N36"/>
    <mergeCell ref="M37:N37"/>
    <mergeCell ref="M38:N38"/>
    <mergeCell ref="M39:N39"/>
    <mergeCell ref="M40:N40"/>
    <mergeCell ref="M29:N29"/>
    <mergeCell ref="M30:N30"/>
    <mergeCell ref="M31:N31"/>
    <mergeCell ref="M32:N32"/>
    <mergeCell ref="M33:N33"/>
    <mergeCell ref="M34:N34"/>
    <mergeCell ref="M48:N48"/>
    <mergeCell ref="M49:N49"/>
    <mergeCell ref="M50:N50"/>
    <mergeCell ref="M51:N51"/>
    <mergeCell ref="M52:N52"/>
    <mergeCell ref="M53:N53"/>
    <mergeCell ref="M41:N41"/>
    <mergeCell ref="M42:N43"/>
    <mergeCell ref="M44:N44"/>
    <mergeCell ref="M45:N45"/>
    <mergeCell ref="M46:N46"/>
    <mergeCell ref="M47:N47"/>
    <mergeCell ref="M62:N62"/>
    <mergeCell ref="M63:N63"/>
    <mergeCell ref="M64:N64"/>
    <mergeCell ref="M65:N65"/>
    <mergeCell ref="M66:N66"/>
    <mergeCell ref="M67:N67"/>
    <mergeCell ref="M54:N54"/>
    <mergeCell ref="M55:N55"/>
    <mergeCell ref="M56:N56"/>
    <mergeCell ref="M57:N58"/>
    <mergeCell ref="M59:N59"/>
    <mergeCell ref="M60:N61"/>
    <mergeCell ref="M75:N75"/>
    <mergeCell ref="M76:N76"/>
    <mergeCell ref="M77:N77"/>
    <mergeCell ref="M78:N78"/>
    <mergeCell ref="M79:N79"/>
    <mergeCell ref="M80:N80"/>
    <mergeCell ref="M68:N68"/>
    <mergeCell ref="M69:N70"/>
    <mergeCell ref="M71:N71"/>
    <mergeCell ref="M72:N72"/>
    <mergeCell ref="M73:N73"/>
    <mergeCell ref="M74:N74"/>
    <mergeCell ref="M88:N88"/>
    <mergeCell ref="M89:N89"/>
    <mergeCell ref="M93:N93"/>
    <mergeCell ref="M94:N94"/>
    <mergeCell ref="M95:N95"/>
    <mergeCell ref="M96:N96"/>
    <mergeCell ref="M81:N81"/>
    <mergeCell ref="M82:N82"/>
    <mergeCell ref="M83:N83"/>
    <mergeCell ref="M84:N85"/>
    <mergeCell ref="M86:N86"/>
    <mergeCell ref="M87:N87"/>
    <mergeCell ref="M103:N103"/>
    <mergeCell ref="M104:N104"/>
    <mergeCell ref="M105:N105"/>
    <mergeCell ref="M106:N106"/>
    <mergeCell ref="M107:N107"/>
    <mergeCell ref="M108:N108"/>
    <mergeCell ref="M97:N97"/>
    <mergeCell ref="M98:N98"/>
    <mergeCell ref="M99:N99"/>
    <mergeCell ref="M100:N100"/>
    <mergeCell ref="M101:N101"/>
    <mergeCell ref="M102:N102"/>
    <mergeCell ref="M115:N115"/>
    <mergeCell ref="M116:N116"/>
    <mergeCell ref="M117:N117"/>
    <mergeCell ref="M118:N118"/>
    <mergeCell ref="M119:N119"/>
    <mergeCell ref="M120:N120"/>
    <mergeCell ref="M109:N109"/>
    <mergeCell ref="M110:N110"/>
    <mergeCell ref="M111:N111"/>
    <mergeCell ref="M112:N112"/>
    <mergeCell ref="M113:N113"/>
    <mergeCell ref="M114:N114"/>
    <mergeCell ref="M127:N127"/>
    <mergeCell ref="M128:N128"/>
    <mergeCell ref="M129:N129"/>
    <mergeCell ref="M130:N130"/>
    <mergeCell ref="M131:N131"/>
    <mergeCell ref="M132:N132"/>
    <mergeCell ref="M121:N121"/>
    <mergeCell ref="M122:N122"/>
    <mergeCell ref="M123:N123"/>
    <mergeCell ref="M124:N124"/>
    <mergeCell ref="M125:N125"/>
    <mergeCell ref="M126:N126"/>
    <mergeCell ref="M141:N141"/>
    <mergeCell ref="M142:N142"/>
    <mergeCell ref="M143:N143"/>
    <mergeCell ref="M144:N144"/>
    <mergeCell ref="M145:N145"/>
    <mergeCell ref="M146:N146"/>
    <mergeCell ref="M133:N133"/>
    <mergeCell ref="M134:N134"/>
    <mergeCell ref="M135:N135"/>
    <mergeCell ref="M138:N138"/>
    <mergeCell ref="M139:N139"/>
    <mergeCell ref="M140:N140"/>
    <mergeCell ref="M156:N156"/>
    <mergeCell ref="M157:N157"/>
    <mergeCell ref="M158:N158"/>
    <mergeCell ref="M159:N159"/>
    <mergeCell ref="M160:N160"/>
    <mergeCell ref="M161:N161"/>
    <mergeCell ref="M150:N150"/>
    <mergeCell ref="M151:N151"/>
    <mergeCell ref="M152:N152"/>
    <mergeCell ref="M153:N153"/>
    <mergeCell ref="M154:N154"/>
    <mergeCell ref="M155:N155"/>
    <mergeCell ref="M168:N168"/>
    <mergeCell ref="M169:N169"/>
    <mergeCell ref="M170:N170"/>
    <mergeCell ref="M171:N171"/>
    <mergeCell ref="M172:N172"/>
    <mergeCell ref="M173:N173"/>
    <mergeCell ref="M162:N162"/>
    <mergeCell ref="M163:N163"/>
    <mergeCell ref="M164:N164"/>
    <mergeCell ref="M165:N165"/>
    <mergeCell ref="M166:N166"/>
    <mergeCell ref="M167:N167"/>
    <mergeCell ref="M181:N181"/>
    <mergeCell ref="M182:N182"/>
    <mergeCell ref="M183:N183"/>
    <mergeCell ref="M184:N184"/>
    <mergeCell ref="M185:N185"/>
    <mergeCell ref="M186:N186"/>
    <mergeCell ref="M174:N174"/>
    <mergeCell ref="M175:N175"/>
    <mergeCell ref="M176:N176"/>
    <mergeCell ref="M177:N177"/>
    <mergeCell ref="M179:N179"/>
    <mergeCell ref="M180:N180"/>
    <mergeCell ref="M193:N193"/>
    <mergeCell ref="M194:N194"/>
    <mergeCell ref="M195:N195"/>
    <mergeCell ref="M196:N196"/>
    <mergeCell ref="M197:N197"/>
    <mergeCell ref="M198:N198"/>
    <mergeCell ref="M187:N187"/>
    <mergeCell ref="M188:N188"/>
    <mergeCell ref="M189:N189"/>
    <mergeCell ref="M190:N190"/>
    <mergeCell ref="M191:N191"/>
    <mergeCell ref="M192:N192"/>
    <mergeCell ref="M205:N205"/>
    <mergeCell ref="M206:N206"/>
    <mergeCell ref="M207:N207"/>
    <mergeCell ref="A208:A209"/>
    <mergeCell ref="B208:B209"/>
    <mergeCell ref="M208:N208"/>
    <mergeCell ref="M209:N209"/>
    <mergeCell ref="M199:N199"/>
    <mergeCell ref="M200:N200"/>
    <mergeCell ref="M201:N201"/>
    <mergeCell ref="M202:N202"/>
    <mergeCell ref="M203:N203"/>
    <mergeCell ref="M204:N204"/>
    <mergeCell ref="M220:N220"/>
    <mergeCell ref="M214:N214"/>
    <mergeCell ref="M215:N215"/>
    <mergeCell ref="M216:N216"/>
    <mergeCell ref="M217:N217"/>
    <mergeCell ref="M218:N218"/>
    <mergeCell ref="M219:N219"/>
    <mergeCell ref="M210:N210"/>
    <mergeCell ref="A211:A212"/>
    <mergeCell ref="B211:B212"/>
    <mergeCell ref="M211:N211"/>
    <mergeCell ref="M212:N212"/>
    <mergeCell ref="M213:N213"/>
  </mergeCells>
  <pageMargins left="0" right="0" top="0.94488188976377963" bottom="0.39370078740157483" header="0.31496062992125984" footer="0.31496062992125984"/>
  <pageSetup paperSize="9" scale="78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V241"/>
  <sheetViews>
    <sheetView workbookViewId="0">
      <pane xSplit="10" ySplit="15" topLeftCell="K198" activePane="bottomRight" state="frozen"/>
      <selection pane="topRight" activeCell="J1" sqref="J1"/>
      <selection pane="bottomLeft" activeCell="A16" sqref="A16"/>
      <selection pane="bottomRight" activeCell="H199" sqref="H199"/>
    </sheetView>
  </sheetViews>
  <sheetFormatPr defaultRowHeight="15"/>
  <cols>
    <col min="1" max="1" width="8.85546875" customWidth="1"/>
    <col min="2" max="2" width="38.42578125" customWidth="1"/>
    <col min="3" max="3" width="13.140625" customWidth="1"/>
    <col min="4" max="4" width="14.5703125" customWidth="1"/>
    <col min="5" max="5" width="13" customWidth="1"/>
    <col min="6" max="6" width="14.5703125" style="60" customWidth="1"/>
    <col min="7" max="8" width="15" customWidth="1"/>
    <col min="9" max="9" width="14.7109375" style="60" customWidth="1"/>
    <col min="10" max="10" width="15.85546875" customWidth="1"/>
    <col min="11" max="11" width="16.140625" customWidth="1"/>
    <col min="12" max="12" width="13.85546875" customWidth="1"/>
    <col min="13" max="13" width="14.85546875" customWidth="1"/>
    <col min="14" max="14" width="2" customWidth="1"/>
    <col min="15" max="15" width="15" customWidth="1"/>
    <col min="16" max="17" width="11.140625" customWidth="1"/>
    <col min="18" max="18" width="13.42578125" customWidth="1"/>
    <col min="19" max="19" width="12.85546875" customWidth="1"/>
    <col min="20" max="20" width="13.28515625" customWidth="1"/>
    <col min="21" max="21" width="13.7109375" customWidth="1"/>
    <col min="22" max="22" width="11.85546875" customWidth="1"/>
  </cols>
  <sheetData>
    <row r="1" spans="1:22" ht="54" customHeight="1">
      <c r="A1" s="241" t="s">
        <v>226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109"/>
      <c r="P1" s="109"/>
      <c r="Q1" s="109"/>
    </row>
    <row r="2" spans="1:22" ht="42.75" customHeight="1">
      <c r="A2" s="242" t="s">
        <v>326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110"/>
      <c r="P2" s="110"/>
      <c r="Q2" s="110"/>
      <c r="T2" s="30"/>
    </row>
    <row r="3" spans="1:22" ht="1.5" customHeight="1">
      <c r="A3" s="243"/>
      <c r="B3" s="243"/>
      <c r="C3" s="243"/>
      <c r="D3" s="103"/>
      <c r="E3" s="103"/>
      <c r="F3" s="103"/>
      <c r="G3" s="103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22" ht="18.75">
      <c r="A4" s="244" t="s">
        <v>0</v>
      </c>
      <c r="B4" s="247" t="s">
        <v>1</v>
      </c>
      <c r="C4" s="244" t="s">
        <v>217</v>
      </c>
      <c r="D4" s="250" t="s">
        <v>304</v>
      </c>
      <c r="E4" s="251"/>
      <c r="F4" s="251"/>
      <c r="G4" s="252"/>
      <c r="H4" s="250" t="s">
        <v>227</v>
      </c>
      <c r="I4" s="251"/>
      <c r="J4" s="251"/>
      <c r="K4" s="251"/>
      <c r="L4" s="252"/>
      <c r="M4" s="253" t="s">
        <v>239</v>
      </c>
      <c r="N4" s="254"/>
      <c r="O4" s="121"/>
      <c r="P4" s="121"/>
      <c r="Q4" s="112"/>
    </row>
    <row r="5" spans="1:22" ht="15" customHeight="1">
      <c r="A5" s="245"/>
      <c r="B5" s="248"/>
      <c r="C5" s="245"/>
      <c r="D5" s="237" t="s">
        <v>305</v>
      </c>
      <c r="E5" s="237" t="s">
        <v>306</v>
      </c>
      <c r="F5" s="237" t="s">
        <v>229</v>
      </c>
      <c r="G5" s="237" t="s">
        <v>219</v>
      </c>
      <c r="H5" s="237" t="s">
        <v>305</v>
      </c>
      <c r="I5" s="237" t="s">
        <v>306</v>
      </c>
      <c r="J5" s="237" t="s">
        <v>229</v>
      </c>
      <c r="K5" s="237" t="s">
        <v>332</v>
      </c>
      <c r="L5" s="237" t="s">
        <v>333</v>
      </c>
      <c r="M5" s="255"/>
      <c r="N5" s="256"/>
      <c r="O5" s="237" t="s">
        <v>329</v>
      </c>
      <c r="P5" s="237" t="s">
        <v>330</v>
      </c>
      <c r="Q5" s="112"/>
      <c r="T5" s="30">
        <f>F78+F81+F84</f>
        <v>24293.616000000002</v>
      </c>
    </row>
    <row r="6" spans="1:22" ht="41.25" customHeight="1">
      <c r="A6" s="246"/>
      <c r="B6" s="249"/>
      <c r="C6" s="246"/>
      <c r="D6" s="238"/>
      <c r="E6" s="238"/>
      <c r="F6" s="238"/>
      <c r="G6" s="238"/>
      <c r="H6" s="238"/>
      <c r="I6" s="238"/>
      <c r="J6" s="238"/>
      <c r="K6" s="238"/>
      <c r="L6" s="238"/>
      <c r="M6" s="257"/>
      <c r="N6" s="258"/>
      <c r="O6" s="238"/>
      <c r="P6" s="238"/>
      <c r="Q6" s="112"/>
    </row>
    <row r="7" spans="1:22" ht="15.75" customHeight="1">
      <c r="A7" s="35">
        <v>1</v>
      </c>
      <c r="B7" s="35">
        <v>2</v>
      </c>
      <c r="C7" s="35">
        <v>3</v>
      </c>
      <c r="D7" s="35"/>
      <c r="E7" s="35"/>
      <c r="F7" s="35"/>
      <c r="G7" s="35"/>
      <c r="H7" s="35">
        <v>4</v>
      </c>
      <c r="I7" s="35">
        <v>5</v>
      </c>
      <c r="J7" s="35">
        <v>6</v>
      </c>
      <c r="K7" s="35"/>
      <c r="L7" s="35">
        <v>7</v>
      </c>
      <c r="M7" s="239">
        <v>8</v>
      </c>
      <c r="N7" s="240"/>
      <c r="O7" s="119"/>
      <c r="P7" s="120"/>
      <c r="Q7" s="113"/>
      <c r="R7" s="30">
        <f>J8-R8</f>
        <v>160892.84949999995</v>
      </c>
      <c r="S7">
        <v>272681.63099999999</v>
      </c>
      <c r="T7" s="30">
        <f>J8-S7</f>
        <v>161533.30449999997</v>
      </c>
    </row>
    <row r="8" spans="1:22" ht="39" customHeight="1">
      <c r="A8" s="99" t="s">
        <v>2</v>
      </c>
      <c r="B8" s="6" t="s">
        <v>3</v>
      </c>
      <c r="C8" s="99" t="s">
        <v>4</v>
      </c>
      <c r="D8" s="7">
        <f>D9+D87+D93+D95+D97</f>
        <v>73170.115000000005</v>
      </c>
      <c r="E8" s="21">
        <f>E9+E87+E93+E95+E97</f>
        <v>68097.582999999999</v>
      </c>
      <c r="F8" s="7">
        <f>F9+F87+F93+F95+F97</f>
        <v>82800.036500000017</v>
      </c>
      <c r="G8" s="7">
        <f>F8-E8</f>
        <v>14702.453500000018</v>
      </c>
      <c r="H8" s="7">
        <f>H9+H87+H93+H95+H97</f>
        <v>439020.69</v>
      </c>
      <c r="I8" s="21">
        <f>I9+I87+I93+I95+I97</f>
        <v>408584.16499999998</v>
      </c>
      <c r="J8" s="7">
        <f>J9+J87+J93+J95+J97</f>
        <v>434214.93549999996</v>
      </c>
      <c r="K8" s="71">
        <f>J8-I8</f>
        <v>25630.770499999984</v>
      </c>
      <c r="L8" s="21">
        <f>K8/I8*100</f>
        <v>6.2730699561007182</v>
      </c>
      <c r="M8" s="220"/>
      <c r="N8" s="221"/>
      <c r="O8" s="122">
        <f>J8-H8</f>
        <v>-4805.7545000000391</v>
      </c>
      <c r="P8" s="123">
        <f>O8/H8*100</f>
        <v>-1.0946533066585173</v>
      </c>
      <c r="Q8" s="118"/>
      <c r="R8">
        <f>640.455+272681.631</f>
        <v>273322.08600000001</v>
      </c>
      <c r="S8">
        <f>D8*5</f>
        <v>365850.57500000001</v>
      </c>
      <c r="T8" s="44">
        <f>E8+апр!I8</f>
        <v>340487.91499999998</v>
      </c>
      <c r="U8" s="30">
        <f>F8+апр!J8</f>
        <v>356611.48899999994</v>
      </c>
      <c r="V8" s="30">
        <f>J8-U8</f>
        <v>77603.44650000002</v>
      </c>
    </row>
    <row r="9" spans="1:22" ht="17.25" customHeight="1">
      <c r="A9" s="99" t="s">
        <v>5</v>
      </c>
      <c r="B9" s="6" t="s">
        <v>6</v>
      </c>
      <c r="C9" s="99" t="s">
        <v>4</v>
      </c>
      <c r="D9" s="7">
        <f>D10+D37+D72</f>
        <v>35732.106</v>
      </c>
      <c r="E9" s="21">
        <f>E10+E37+E72</f>
        <v>32135.084000000003</v>
      </c>
      <c r="F9" s="7">
        <f>F10+F37+F72</f>
        <v>41242.108</v>
      </c>
      <c r="G9" s="7">
        <f>F9-E9</f>
        <v>9107.0239999999976</v>
      </c>
      <c r="H9" s="7">
        <f>H10+H37+H72</f>
        <v>214392.636</v>
      </c>
      <c r="I9" s="21">
        <f>I10+I37+I72</f>
        <v>192810.50400000002</v>
      </c>
      <c r="J9" s="7">
        <f>J10+J37+J72</f>
        <v>221645.39999999997</v>
      </c>
      <c r="K9" s="21">
        <f>J9-I9</f>
        <v>28834.89599999995</v>
      </c>
      <c r="L9" s="21">
        <f>K9/I9*100</f>
        <v>14.955044150499159</v>
      </c>
      <c r="M9" s="220"/>
      <c r="N9" s="221"/>
      <c r="O9" s="122">
        <f t="shared" ref="O9:O72" si="0">J9-H9</f>
        <v>7252.7639999999665</v>
      </c>
      <c r="P9" s="123">
        <f t="shared" ref="P9:P72" si="1">O9/H9*100</f>
        <v>3.3829352235773462</v>
      </c>
      <c r="Q9" s="114"/>
      <c r="S9">
        <f t="shared" ref="S9:S72" si="2">D9*5</f>
        <v>178660.53</v>
      </c>
      <c r="T9" s="44">
        <f>E9+апр!I9</f>
        <v>160675.42000000001</v>
      </c>
      <c r="U9" s="30">
        <f>F9+апр!J9</f>
        <v>180209.13</v>
      </c>
    </row>
    <row r="10" spans="1:22" ht="17.25" customHeight="1">
      <c r="A10" s="8" t="s">
        <v>7</v>
      </c>
      <c r="B10" s="9" t="s">
        <v>8</v>
      </c>
      <c r="C10" s="8" t="s">
        <v>4</v>
      </c>
      <c r="D10" s="10">
        <f>D11+D30+D35</f>
        <v>7601.0440000000008</v>
      </c>
      <c r="E10" s="10">
        <f>E11+E30+E35</f>
        <v>5895.3339999999998</v>
      </c>
      <c r="F10" s="10">
        <f>F11+F30+F35</f>
        <v>13369.665999999999</v>
      </c>
      <c r="G10" s="10">
        <f>F10-E10</f>
        <v>7474.3319999999994</v>
      </c>
      <c r="H10" s="10">
        <f>H11+H30+H35</f>
        <v>45606.264000000003</v>
      </c>
      <c r="I10" s="10">
        <f>I11+I30+I35</f>
        <v>35372.003999999994</v>
      </c>
      <c r="J10" s="10">
        <f>J11+J30+J35</f>
        <v>42795.150999999998</v>
      </c>
      <c r="K10" s="10">
        <f>J10-I10</f>
        <v>7423.1470000000045</v>
      </c>
      <c r="L10" s="16">
        <f>K10/I10*100</f>
        <v>20.985938484005619</v>
      </c>
      <c r="M10" s="220"/>
      <c r="N10" s="221"/>
      <c r="O10" s="122">
        <f t="shared" si="0"/>
        <v>-2811.1130000000048</v>
      </c>
      <c r="P10" s="123">
        <f t="shared" si="1"/>
        <v>-6.1638747694834306</v>
      </c>
      <c r="Q10" s="114"/>
      <c r="S10">
        <f t="shared" si="2"/>
        <v>38005.22</v>
      </c>
      <c r="T10" s="44">
        <f>E10+апр!I10</f>
        <v>29476.67</v>
      </c>
      <c r="U10" s="30">
        <f>F10+апр!J10</f>
        <v>36072.377999999997</v>
      </c>
    </row>
    <row r="11" spans="1:22" ht="17.25" customHeight="1">
      <c r="A11" s="8" t="s">
        <v>9</v>
      </c>
      <c r="B11" s="9" t="s">
        <v>10</v>
      </c>
      <c r="C11" s="8" t="s">
        <v>4</v>
      </c>
      <c r="D11" s="10">
        <f>D12+D15+D18+D21+D24+D27</f>
        <v>5032.2450000000008</v>
      </c>
      <c r="E11" s="8">
        <v>4970.0829999999996</v>
      </c>
      <c r="F11" s="10">
        <f>F12+F15+F18+F21+F24+F27</f>
        <v>5841.0529999999999</v>
      </c>
      <c r="G11" s="10">
        <f t="shared" ref="G11:G74" si="3">F11-E11</f>
        <v>870.97000000000025</v>
      </c>
      <c r="H11" s="10">
        <f>H12+H15+H18+H21+H24+H27</f>
        <v>30193.47</v>
      </c>
      <c r="I11" s="8">
        <f>E11+май!I11</f>
        <v>29820.497999999996</v>
      </c>
      <c r="J11" s="10">
        <f>J12+J15+J18+J21+J24+J27</f>
        <v>23752.722000000002</v>
      </c>
      <c r="K11" s="10">
        <f t="shared" ref="K11:K74" si="4">J11-I11</f>
        <v>-6067.7759999999944</v>
      </c>
      <c r="L11" s="16">
        <f t="shared" ref="L11:L72" si="5">K11/I11*100</f>
        <v>-20.347668238136045</v>
      </c>
      <c r="M11" s="220"/>
      <c r="N11" s="221"/>
      <c r="O11" s="122">
        <f t="shared" si="0"/>
        <v>-6440.7479999999996</v>
      </c>
      <c r="P11" s="123">
        <f t="shared" si="1"/>
        <v>-21.331592559583246</v>
      </c>
      <c r="Q11" s="114"/>
      <c r="S11">
        <f t="shared" si="2"/>
        <v>25161.225000000006</v>
      </c>
      <c r="T11" s="44">
        <f>E11+апр!I11</f>
        <v>24850.414999999997</v>
      </c>
      <c r="U11" s="30">
        <f>F11+апр!J11</f>
        <v>17587.468000000001</v>
      </c>
    </row>
    <row r="12" spans="1:22" ht="18.75" customHeight="1">
      <c r="A12" s="8" t="s">
        <v>11</v>
      </c>
      <c r="B12" s="9" t="s">
        <v>12</v>
      </c>
      <c r="C12" s="8" t="s">
        <v>4</v>
      </c>
      <c r="D12" s="10">
        <v>852.13199999999995</v>
      </c>
      <c r="E12" s="8"/>
      <c r="F12" s="54">
        <v>1323.9110000000001</v>
      </c>
      <c r="G12" s="10">
        <f t="shared" si="3"/>
        <v>1323.9110000000001</v>
      </c>
      <c r="H12" s="10">
        <f>D12+май!H12</f>
        <v>5112.7919999999995</v>
      </c>
      <c r="I12" s="8"/>
      <c r="J12" s="10">
        <f>F12+май!J12</f>
        <v>4899.8870000000006</v>
      </c>
      <c r="K12" s="10">
        <f t="shared" si="4"/>
        <v>4899.8870000000006</v>
      </c>
      <c r="L12" s="16"/>
      <c r="M12" s="222" t="s">
        <v>297</v>
      </c>
      <c r="N12" s="223"/>
      <c r="O12" s="122">
        <f t="shared" si="0"/>
        <v>-212.90499999999884</v>
      </c>
      <c r="P12" s="123">
        <f t="shared" si="1"/>
        <v>-4.1641631421735683</v>
      </c>
      <c r="Q12" s="115"/>
      <c r="S12">
        <f t="shared" si="2"/>
        <v>4260.66</v>
      </c>
      <c r="T12" s="44">
        <f>E12+апр!I12</f>
        <v>0</v>
      </c>
      <c r="U12" s="30">
        <f>F12+апр!J12</f>
        <v>3643.5010000000002</v>
      </c>
    </row>
    <row r="13" spans="1:22" ht="17.25" customHeight="1">
      <c r="A13" s="8"/>
      <c r="B13" s="12" t="s">
        <v>13</v>
      </c>
      <c r="C13" s="13" t="s">
        <v>14</v>
      </c>
      <c r="D13" s="14">
        <v>3667</v>
      </c>
      <c r="E13" s="13"/>
      <c r="F13" s="8">
        <v>4223</v>
      </c>
      <c r="G13" s="10">
        <f t="shared" si="3"/>
        <v>4223</v>
      </c>
      <c r="H13" s="10">
        <f>D13+май!H13</f>
        <v>22002</v>
      </c>
      <c r="I13" s="8"/>
      <c r="J13" s="10">
        <f>F13+май!J13</f>
        <v>15908</v>
      </c>
      <c r="K13" s="10">
        <f t="shared" si="4"/>
        <v>15908</v>
      </c>
      <c r="L13" s="16"/>
      <c r="M13" s="220"/>
      <c r="N13" s="221"/>
      <c r="O13" s="122">
        <f t="shared" si="0"/>
        <v>-6094</v>
      </c>
      <c r="P13" s="123">
        <f t="shared" si="1"/>
        <v>-27.697482047086631</v>
      </c>
      <c r="Q13" s="114"/>
      <c r="S13">
        <f t="shared" si="2"/>
        <v>18335</v>
      </c>
      <c r="T13" s="44">
        <f>E13+апр!I13</f>
        <v>0</v>
      </c>
      <c r="U13" s="30">
        <f>F13+апр!J13</f>
        <v>11864</v>
      </c>
    </row>
    <row r="14" spans="1:22" ht="17.25" customHeight="1">
      <c r="A14" s="15"/>
      <c r="B14" s="12" t="s">
        <v>15</v>
      </c>
      <c r="C14" s="13" t="s">
        <v>16</v>
      </c>
      <c r="D14" s="16">
        <f>D12/D13*1000</f>
        <v>232.37851104445048</v>
      </c>
      <c r="E14" s="16"/>
      <c r="F14" s="16">
        <f t="shared" ref="F14" si="6">F12/F13*1000</f>
        <v>313.50011839924224</v>
      </c>
      <c r="G14" s="10">
        <f t="shared" si="3"/>
        <v>313.50011839924224</v>
      </c>
      <c r="H14" s="16">
        <f>H12/H13*1000</f>
        <v>232.37851104445048</v>
      </c>
      <c r="I14" s="16"/>
      <c r="J14" s="16">
        <f t="shared" ref="J14" si="7">J12/J13*1000</f>
        <v>308.01401810409862</v>
      </c>
      <c r="K14" s="10">
        <f t="shared" si="4"/>
        <v>308.01401810409862</v>
      </c>
      <c r="L14" s="16"/>
      <c r="M14" s="220"/>
      <c r="N14" s="221"/>
      <c r="O14" s="122">
        <f t="shared" si="0"/>
        <v>75.635507059648148</v>
      </c>
      <c r="P14" s="123">
        <f t="shared" si="1"/>
        <v>32.548408508039813</v>
      </c>
      <c r="Q14" s="114"/>
      <c r="S14">
        <f t="shared" si="2"/>
        <v>1161.8925552222524</v>
      </c>
      <c r="T14" s="44">
        <f>E14+апр!I14</f>
        <v>0</v>
      </c>
      <c r="U14" s="30">
        <f>F14+апр!J14</f>
        <v>617.07164045132959</v>
      </c>
    </row>
    <row r="15" spans="1:22" ht="17.25" customHeight="1">
      <c r="A15" s="8" t="s">
        <v>17</v>
      </c>
      <c r="B15" s="9" t="s">
        <v>18</v>
      </c>
      <c r="C15" s="8" t="s">
        <v>4</v>
      </c>
      <c r="D15" s="10">
        <v>2808.576</v>
      </c>
      <c r="E15" s="8"/>
      <c r="F15" s="54">
        <v>3001.2420000000002</v>
      </c>
      <c r="G15" s="10">
        <f t="shared" si="3"/>
        <v>3001.2420000000002</v>
      </c>
      <c r="H15" s="10">
        <f>D15+май!H15</f>
        <v>16851.456000000002</v>
      </c>
      <c r="I15" s="8"/>
      <c r="J15" s="10">
        <f>F15+май!J15</f>
        <v>11178.941000000001</v>
      </c>
      <c r="K15" s="10">
        <f t="shared" si="4"/>
        <v>11178.941000000001</v>
      </c>
      <c r="L15" s="16"/>
      <c r="M15" s="220"/>
      <c r="N15" s="221"/>
      <c r="O15" s="122">
        <f t="shared" si="0"/>
        <v>-5672.5150000000012</v>
      </c>
      <c r="P15" s="123">
        <f t="shared" si="1"/>
        <v>-33.661868742973908</v>
      </c>
      <c r="Q15" s="114"/>
      <c r="S15">
        <f t="shared" si="2"/>
        <v>14042.880000000001</v>
      </c>
      <c r="T15" s="44">
        <f>E15+апр!I15</f>
        <v>0</v>
      </c>
      <c r="U15" s="30">
        <f>F15+апр!J15</f>
        <v>7972.0470000000005</v>
      </c>
    </row>
    <row r="16" spans="1:22" ht="17.25" customHeight="1">
      <c r="A16" s="8"/>
      <c r="B16" s="12" t="s">
        <v>13</v>
      </c>
      <c r="C16" s="13" t="s">
        <v>14</v>
      </c>
      <c r="D16" s="14">
        <v>15000</v>
      </c>
      <c r="E16" s="13"/>
      <c r="F16" s="8">
        <v>23744</v>
      </c>
      <c r="G16" s="10">
        <f t="shared" si="3"/>
        <v>23744</v>
      </c>
      <c r="H16" s="10">
        <f>D16+май!H16</f>
        <v>90000</v>
      </c>
      <c r="I16" s="8"/>
      <c r="J16" s="10">
        <f>F16+май!J16</f>
        <v>88441</v>
      </c>
      <c r="K16" s="10">
        <f t="shared" si="4"/>
        <v>88441</v>
      </c>
      <c r="L16" s="16"/>
      <c r="M16" s="220"/>
      <c r="N16" s="221"/>
      <c r="O16" s="122">
        <f t="shared" si="0"/>
        <v>-1559</v>
      </c>
      <c r="P16" s="123">
        <f t="shared" si="1"/>
        <v>-1.7322222222222221</v>
      </c>
      <c r="Q16" s="114"/>
      <c r="S16">
        <f t="shared" si="2"/>
        <v>75000</v>
      </c>
      <c r="T16" s="44">
        <f>E16+апр!I16</f>
        <v>0</v>
      </c>
      <c r="U16" s="30">
        <f>F16+апр!J16</f>
        <v>63070</v>
      </c>
    </row>
    <row r="17" spans="1:21" ht="17.25" customHeight="1">
      <c r="A17" s="8"/>
      <c r="B17" s="12" t="s">
        <v>15</v>
      </c>
      <c r="C17" s="13" t="s">
        <v>16</v>
      </c>
      <c r="D17" s="16">
        <f>D15/D16*1000</f>
        <v>187.23840000000001</v>
      </c>
      <c r="E17" s="16"/>
      <c r="F17" s="16">
        <f t="shared" ref="F17" si="8">F15/F16*1000</f>
        <v>126.40001684636121</v>
      </c>
      <c r="G17" s="10">
        <f t="shared" si="3"/>
        <v>126.40001684636121</v>
      </c>
      <c r="H17" s="16">
        <f>H15/H16*1000</f>
        <v>187.23840000000001</v>
      </c>
      <c r="I17" s="8"/>
      <c r="J17" s="13"/>
      <c r="K17" s="10">
        <f t="shared" si="4"/>
        <v>0</v>
      </c>
      <c r="L17" s="16"/>
      <c r="M17" s="220"/>
      <c r="N17" s="221"/>
      <c r="O17" s="122">
        <f t="shared" si="0"/>
        <v>-187.23840000000001</v>
      </c>
      <c r="P17" s="123">
        <f t="shared" si="1"/>
        <v>-100</v>
      </c>
      <c r="Q17" s="114"/>
      <c r="S17">
        <f t="shared" si="2"/>
        <v>936.19200000000001</v>
      </c>
      <c r="T17" s="44">
        <f>E17+апр!I17</f>
        <v>0</v>
      </c>
      <c r="U17" s="30">
        <f>F17+апр!J17</f>
        <v>126.40001684636121</v>
      </c>
    </row>
    <row r="18" spans="1:21" ht="17.25" customHeight="1">
      <c r="A18" s="8" t="s">
        <v>19</v>
      </c>
      <c r="B18" s="9" t="s">
        <v>20</v>
      </c>
      <c r="C18" s="8" t="s">
        <v>4</v>
      </c>
      <c r="D18" s="10">
        <v>241.64599999999999</v>
      </c>
      <c r="E18" s="8"/>
      <c r="F18" s="54">
        <v>52.5</v>
      </c>
      <c r="G18" s="10">
        <f t="shared" si="3"/>
        <v>52.5</v>
      </c>
      <c r="H18" s="10">
        <f>D18+май!H18</f>
        <v>1449.876</v>
      </c>
      <c r="I18" s="8"/>
      <c r="J18" s="10">
        <f>F18+май!J18</f>
        <v>198.46</v>
      </c>
      <c r="K18" s="10">
        <f t="shared" si="4"/>
        <v>198.46</v>
      </c>
      <c r="L18" s="16"/>
      <c r="M18" s="220"/>
      <c r="N18" s="221"/>
      <c r="O18" s="122">
        <f t="shared" si="0"/>
        <v>-1251.4159999999999</v>
      </c>
      <c r="P18" s="123">
        <f t="shared" si="1"/>
        <v>-86.311932882536155</v>
      </c>
      <c r="Q18" s="114"/>
      <c r="S18">
        <f t="shared" si="2"/>
        <v>1208.23</v>
      </c>
      <c r="T18" s="44">
        <f>E18+апр!I18</f>
        <v>0</v>
      </c>
      <c r="U18" s="30">
        <f>F18+апр!J18</f>
        <v>198.46</v>
      </c>
    </row>
    <row r="19" spans="1:21" ht="17.25" customHeight="1">
      <c r="A19" s="8"/>
      <c r="B19" s="12" t="s">
        <v>13</v>
      </c>
      <c r="C19" s="13" t="s">
        <v>14</v>
      </c>
      <c r="D19" s="14">
        <v>1025</v>
      </c>
      <c r="E19" s="13"/>
      <c r="F19" s="8">
        <v>150</v>
      </c>
      <c r="G19" s="10">
        <f t="shared" si="3"/>
        <v>150</v>
      </c>
      <c r="H19" s="10">
        <f>D19+май!H19</f>
        <v>6150</v>
      </c>
      <c r="I19" s="8"/>
      <c r="J19" s="10">
        <f>F19+май!J19</f>
        <v>440</v>
      </c>
      <c r="K19" s="10">
        <f t="shared" si="4"/>
        <v>440</v>
      </c>
      <c r="L19" s="16"/>
      <c r="M19" s="220"/>
      <c r="N19" s="221"/>
      <c r="O19" s="122">
        <f t="shared" si="0"/>
        <v>-5710</v>
      </c>
      <c r="P19" s="123">
        <f t="shared" si="1"/>
        <v>-92.845528455284551</v>
      </c>
      <c r="Q19" s="114"/>
      <c r="S19">
        <f t="shared" si="2"/>
        <v>5125</v>
      </c>
      <c r="T19" s="44">
        <f>E19+апр!I19</f>
        <v>0</v>
      </c>
      <c r="U19" s="30">
        <f>F19+апр!J19</f>
        <v>440</v>
      </c>
    </row>
    <row r="20" spans="1:21" ht="17.25" customHeight="1">
      <c r="A20" s="8"/>
      <c r="B20" s="12" t="s">
        <v>15</v>
      </c>
      <c r="C20" s="13" t="s">
        <v>16</v>
      </c>
      <c r="D20" s="16">
        <f>D18/D19*1000</f>
        <v>235.75219512195119</v>
      </c>
      <c r="E20" s="16"/>
      <c r="F20" s="16">
        <f>F18/F19*1000</f>
        <v>350</v>
      </c>
      <c r="G20" s="10">
        <f t="shared" si="3"/>
        <v>350</v>
      </c>
      <c r="H20" s="16">
        <f>H18/H19*1000</f>
        <v>235.75219512195122</v>
      </c>
      <c r="I20" s="8"/>
      <c r="J20" s="58"/>
      <c r="K20" s="10">
        <f t="shared" si="4"/>
        <v>0</v>
      </c>
      <c r="L20" s="16"/>
      <c r="M20" s="220"/>
      <c r="N20" s="221"/>
      <c r="O20" s="122">
        <f t="shared" si="0"/>
        <v>-235.75219512195122</v>
      </c>
      <c r="P20" s="123">
        <f t="shared" si="1"/>
        <v>-100</v>
      </c>
      <c r="Q20" s="114"/>
      <c r="S20">
        <f t="shared" si="2"/>
        <v>1178.7609756097559</v>
      </c>
      <c r="T20" s="44">
        <f>E20+апр!I20</f>
        <v>0</v>
      </c>
      <c r="U20" s="30">
        <f>F20+апр!J20</f>
        <v>350</v>
      </c>
    </row>
    <row r="21" spans="1:21" ht="17.25" customHeight="1">
      <c r="A21" s="8" t="s">
        <v>21</v>
      </c>
      <c r="B21" s="9" t="s">
        <v>22</v>
      </c>
      <c r="C21" s="8" t="s">
        <v>4</v>
      </c>
      <c r="D21" s="10">
        <v>750.73</v>
      </c>
      <c r="E21" s="8"/>
      <c r="F21" s="54">
        <v>995.4</v>
      </c>
      <c r="G21" s="10">
        <f t="shared" si="3"/>
        <v>995.4</v>
      </c>
      <c r="H21" s="10">
        <f>D21+май!H21</f>
        <v>4504.38</v>
      </c>
      <c r="I21" s="8"/>
      <c r="J21" s="10">
        <f>F21+май!J21</f>
        <v>5873.619999999999</v>
      </c>
      <c r="K21" s="10">
        <f t="shared" si="4"/>
        <v>5873.619999999999</v>
      </c>
      <c r="L21" s="16"/>
      <c r="M21" s="220"/>
      <c r="N21" s="221"/>
      <c r="O21" s="122">
        <f t="shared" si="0"/>
        <v>1369.2399999999989</v>
      </c>
      <c r="P21" s="123">
        <f t="shared" si="1"/>
        <v>30.397968199841017</v>
      </c>
      <c r="Q21" s="114"/>
      <c r="S21">
        <f t="shared" si="2"/>
        <v>3753.65</v>
      </c>
      <c r="T21" s="44">
        <f>E21+апр!I21</f>
        <v>0</v>
      </c>
      <c r="U21" s="30">
        <f>F21+апр!J21</f>
        <v>4889.62</v>
      </c>
    </row>
    <row r="22" spans="1:21" ht="17.25" customHeight="1">
      <c r="A22" s="8"/>
      <c r="B22" s="12" t="s">
        <v>13</v>
      </c>
      <c r="C22" s="13" t="s">
        <v>14</v>
      </c>
      <c r="D22" s="14">
        <v>5883</v>
      </c>
      <c r="E22" s="13"/>
      <c r="F22" s="8">
        <v>6300</v>
      </c>
      <c r="G22" s="10">
        <f t="shared" si="3"/>
        <v>6300</v>
      </c>
      <c r="H22" s="10">
        <f>D22+май!H22</f>
        <v>35298</v>
      </c>
      <c r="I22" s="8"/>
      <c r="J22" s="10">
        <f>F22+май!J22</f>
        <v>35090</v>
      </c>
      <c r="K22" s="10">
        <f t="shared" si="4"/>
        <v>35090</v>
      </c>
      <c r="L22" s="16"/>
      <c r="M22" s="220"/>
      <c r="N22" s="221"/>
      <c r="O22" s="122">
        <f t="shared" si="0"/>
        <v>-208</v>
      </c>
      <c r="P22" s="123">
        <f t="shared" si="1"/>
        <v>-0.58926851379681566</v>
      </c>
      <c r="Q22" s="114"/>
      <c r="S22">
        <f t="shared" si="2"/>
        <v>29415</v>
      </c>
      <c r="T22" s="44">
        <f>E22+апр!I22</f>
        <v>0</v>
      </c>
      <c r="U22" s="30">
        <f>F22+апр!J22</f>
        <v>29090</v>
      </c>
    </row>
    <row r="23" spans="1:21" ht="17.25" customHeight="1">
      <c r="A23" s="8"/>
      <c r="B23" s="12" t="s">
        <v>15</v>
      </c>
      <c r="C23" s="13" t="s">
        <v>16</v>
      </c>
      <c r="D23" s="16">
        <f>D21/D22*1000</f>
        <v>127.61006289308177</v>
      </c>
      <c r="E23" s="16" t="e">
        <f t="shared" ref="E23:F23" si="9">E21/E22*1000</f>
        <v>#DIV/0!</v>
      </c>
      <c r="F23" s="16">
        <f t="shared" si="9"/>
        <v>158</v>
      </c>
      <c r="G23" s="10" t="e">
        <f t="shared" si="3"/>
        <v>#DIV/0!</v>
      </c>
      <c r="H23" s="16">
        <f>H21/H22*1000</f>
        <v>127.61006289308177</v>
      </c>
      <c r="I23" s="8"/>
      <c r="J23" s="13"/>
      <c r="K23" s="10">
        <f t="shared" si="4"/>
        <v>0</v>
      </c>
      <c r="L23" s="16"/>
      <c r="M23" s="220"/>
      <c r="N23" s="221"/>
      <c r="O23" s="122">
        <f t="shared" si="0"/>
        <v>-127.61006289308177</v>
      </c>
      <c r="P23" s="123">
        <f t="shared" si="1"/>
        <v>-100</v>
      </c>
      <c r="Q23" s="114"/>
      <c r="S23">
        <f t="shared" si="2"/>
        <v>638.05031446540886</v>
      </c>
      <c r="T23" s="44" t="e">
        <f>E23+апр!I23</f>
        <v>#DIV/0!</v>
      </c>
      <c r="U23" s="30">
        <f>F23+апр!J23</f>
        <v>158</v>
      </c>
    </row>
    <row r="24" spans="1:21" ht="17.25" customHeight="1">
      <c r="A24" s="8" t="s">
        <v>23</v>
      </c>
      <c r="B24" s="9" t="s">
        <v>24</v>
      </c>
      <c r="C24" s="8" t="s">
        <v>4</v>
      </c>
      <c r="D24" s="10">
        <v>165.005</v>
      </c>
      <c r="E24" s="8"/>
      <c r="F24" s="54"/>
      <c r="G24" s="10">
        <f t="shared" si="3"/>
        <v>0</v>
      </c>
      <c r="H24" s="10">
        <f>D24+май!H24</f>
        <v>990.03</v>
      </c>
      <c r="I24" s="8"/>
      <c r="J24" s="10">
        <f>F24+май!J24</f>
        <v>483.41399999999999</v>
      </c>
      <c r="K24" s="10">
        <f t="shared" si="4"/>
        <v>483.41399999999999</v>
      </c>
      <c r="L24" s="16"/>
      <c r="M24" s="220"/>
      <c r="N24" s="221"/>
      <c r="O24" s="122">
        <f t="shared" si="0"/>
        <v>-506.61599999999999</v>
      </c>
      <c r="P24" s="123">
        <f t="shared" si="1"/>
        <v>-51.171782673252331</v>
      </c>
      <c r="Q24" s="114"/>
      <c r="S24">
        <f t="shared" si="2"/>
        <v>825.02499999999998</v>
      </c>
      <c r="T24" s="44">
        <f>E24+апр!I24</f>
        <v>0</v>
      </c>
      <c r="U24" s="30">
        <f>F24+апр!J24</f>
        <v>415.84</v>
      </c>
    </row>
    <row r="25" spans="1:21" ht="17.25" customHeight="1">
      <c r="A25" s="8"/>
      <c r="B25" s="12" t="s">
        <v>13</v>
      </c>
      <c r="C25" s="13" t="s">
        <v>14</v>
      </c>
      <c r="D25" s="14">
        <v>251</v>
      </c>
      <c r="E25" s="13"/>
      <c r="F25" s="8"/>
      <c r="G25" s="10">
        <f t="shared" si="3"/>
        <v>0</v>
      </c>
      <c r="H25" s="10">
        <f>D25+май!H25</f>
        <v>1506</v>
      </c>
      <c r="I25" s="8"/>
      <c r="J25" s="10">
        <f>F25+май!J25</f>
        <v>930</v>
      </c>
      <c r="K25" s="10">
        <f t="shared" si="4"/>
        <v>930</v>
      </c>
      <c r="L25" s="16"/>
      <c r="M25" s="220"/>
      <c r="N25" s="221"/>
      <c r="O25" s="122">
        <f t="shared" si="0"/>
        <v>-576</v>
      </c>
      <c r="P25" s="123">
        <f t="shared" si="1"/>
        <v>-38.247011952191237</v>
      </c>
      <c r="Q25" s="114"/>
      <c r="S25">
        <f t="shared" si="2"/>
        <v>1255</v>
      </c>
      <c r="T25" s="44">
        <f>E25+апр!I25</f>
        <v>0</v>
      </c>
      <c r="U25" s="30">
        <f>F25+апр!J25</f>
        <v>800</v>
      </c>
    </row>
    <row r="26" spans="1:21" ht="17.25" customHeight="1">
      <c r="A26" s="8"/>
      <c r="B26" s="12" t="s">
        <v>15</v>
      </c>
      <c r="C26" s="13" t="s">
        <v>16</v>
      </c>
      <c r="D26" s="16">
        <f>D24/D25*1000</f>
        <v>657.39043824701196</v>
      </c>
      <c r="E26" s="16" t="e">
        <f t="shared" ref="E26:F26" si="10">E24/E25*1000</f>
        <v>#DIV/0!</v>
      </c>
      <c r="F26" s="16" t="e">
        <f t="shared" si="10"/>
        <v>#DIV/0!</v>
      </c>
      <c r="G26" s="10" t="e">
        <f t="shared" si="3"/>
        <v>#DIV/0!</v>
      </c>
      <c r="H26" s="16">
        <f>H24/H25*1000</f>
        <v>657.39043824701196</v>
      </c>
      <c r="I26" s="16"/>
      <c r="J26" s="16">
        <f t="shared" ref="J26" si="11">J24/J25*1000</f>
        <v>519.80000000000007</v>
      </c>
      <c r="K26" s="16"/>
      <c r="L26" s="16"/>
      <c r="M26" s="220"/>
      <c r="N26" s="221"/>
      <c r="O26" s="122">
        <f t="shared" si="0"/>
        <v>-137.59043824701189</v>
      </c>
      <c r="P26" s="123">
        <f t="shared" si="1"/>
        <v>-20.929790006363433</v>
      </c>
      <c r="Q26" s="114"/>
      <c r="S26">
        <f t="shared" si="2"/>
        <v>3286.9521912350597</v>
      </c>
      <c r="T26" s="44" t="e">
        <f>E26+апр!I26</f>
        <v>#DIV/0!</v>
      </c>
      <c r="U26" s="30" t="e">
        <f>F26+апр!J26</f>
        <v>#DIV/0!</v>
      </c>
    </row>
    <row r="27" spans="1:21" ht="17.25" customHeight="1">
      <c r="A27" s="8" t="s">
        <v>23</v>
      </c>
      <c r="B27" s="9" t="s">
        <v>25</v>
      </c>
      <c r="C27" s="8" t="s">
        <v>4</v>
      </c>
      <c r="D27" s="10">
        <v>214.15600000000001</v>
      </c>
      <c r="E27" s="8"/>
      <c r="F27" s="54">
        <v>468</v>
      </c>
      <c r="G27" s="10">
        <f t="shared" si="3"/>
        <v>468</v>
      </c>
      <c r="H27" s="10">
        <f>D27+май!H27</f>
        <v>1284.9359999999999</v>
      </c>
      <c r="I27" s="8"/>
      <c r="J27" s="10">
        <f>F27+май!J27</f>
        <v>1118.4000000000001</v>
      </c>
      <c r="K27" s="10">
        <f t="shared" si="4"/>
        <v>1118.4000000000001</v>
      </c>
      <c r="L27" s="16"/>
      <c r="M27" s="220"/>
      <c r="N27" s="221"/>
      <c r="O27" s="122">
        <f t="shared" si="0"/>
        <v>-166.53599999999983</v>
      </c>
      <c r="P27" s="123">
        <f t="shared" si="1"/>
        <v>-12.960645510749162</v>
      </c>
      <c r="Q27" s="114"/>
      <c r="S27">
        <f t="shared" si="2"/>
        <v>1070.78</v>
      </c>
      <c r="T27" s="44">
        <f>E27+апр!I27</f>
        <v>0</v>
      </c>
      <c r="U27" s="30">
        <f>F27+апр!J27</f>
        <v>468</v>
      </c>
    </row>
    <row r="28" spans="1:21" ht="17.25" customHeight="1">
      <c r="A28" s="8"/>
      <c r="B28" s="12" t="s">
        <v>13</v>
      </c>
      <c r="C28" s="13" t="s">
        <v>14</v>
      </c>
      <c r="D28" s="14">
        <v>238</v>
      </c>
      <c r="E28" s="13"/>
      <c r="F28" s="8">
        <v>585</v>
      </c>
      <c r="G28" s="10">
        <f t="shared" si="3"/>
        <v>585</v>
      </c>
      <c r="H28" s="10">
        <f>D28+май!H28</f>
        <v>1428</v>
      </c>
      <c r="I28" s="8"/>
      <c r="J28" s="10">
        <f>F28+май!J28</f>
        <v>1398</v>
      </c>
      <c r="K28" s="10">
        <f t="shared" si="4"/>
        <v>1398</v>
      </c>
      <c r="L28" s="16"/>
      <c r="M28" s="220"/>
      <c r="N28" s="221"/>
      <c r="O28" s="122">
        <f t="shared" si="0"/>
        <v>-30</v>
      </c>
      <c r="P28" s="123">
        <f t="shared" si="1"/>
        <v>-2.1008403361344539</v>
      </c>
      <c r="Q28" s="114"/>
      <c r="S28">
        <f t="shared" si="2"/>
        <v>1190</v>
      </c>
      <c r="T28" s="44">
        <f>E28+апр!I28</f>
        <v>0</v>
      </c>
      <c r="U28" s="30">
        <f>F28+апр!J28</f>
        <v>585</v>
      </c>
    </row>
    <row r="29" spans="1:21" ht="17.25" customHeight="1">
      <c r="A29" s="8"/>
      <c r="B29" s="12" t="s">
        <v>15</v>
      </c>
      <c r="C29" s="13" t="s">
        <v>16</v>
      </c>
      <c r="D29" s="16">
        <f>D27/D28*1000</f>
        <v>899.81512605042019</v>
      </c>
      <c r="E29" s="13"/>
      <c r="F29" s="16">
        <f t="shared" ref="F29" si="12">F27/F28*1000</f>
        <v>800</v>
      </c>
      <c r="G29" s="10">
        <f t="shared" si="3"/>
        <v>800</v>
      </c>
      <c r="H29" s="16">
        <f>H27/H28*1000</f>
        <v>899.81512605042008</v>
      </c>
      <c r="I29" s="16"/>
      <c r="J29" s="16">
        <f t="shared" ref="J29" si="13">J27/J28*1000</f>
        <v>800</v>
      </c>
      <c r="K29" s="10">
        <f t="shared" si="4"/>
        <v>800</v>
      </c>
      <c r="L29" s="16"/>
      <c r="M29" s="220"/>
      <c r="N29" s="221"/>
      <c r="O29" s="122">
        <f t="shared" si="0"/>
        <v>-99.815126050420076</v>
      </c>
      <c r="P29" s="123">
        <f t="shared" si="1"/>
        <v>-11.09284820411288</v>
      </c>
      <c r="Q29" s="114"/>
      <c r="S29">
        <f t="shared" si="2"/>
        <v>4499.0756302521013</v>
      </c>
      <c r="T29" s="44">
        <f>E29+апр!I29</f>
        <v>0</v>
      </c>
      <c r="U29" s="30" t="e">
        <f>F29+апр!J29</f>
        <v>#DIV/0!</v>
      </c>
    </row>
    <row r="30" spans="1:21" ht="17.25" customHeight="1">
      <c r="A30" s="18" t="s">
        <v>26</v>
      </c>
      <c r="B30" s="9" t="s">
        <v>27</v>
      </c>
      <c r="C30" s="8" t="s">
        <v>4</v>
      </c>
      <c r="D30" s="10">
        <f t="shared" ref="D30" si="14">D31+D32+D33+D34</f>
        <v>2406.0839999999998</v>
      </c>
      <c r="E30" s="8">
        <v>762.50099999999998</v>
      </c>
      <c r="F30" s="10">
        <f>F31+F32+F33+F34</f>
        <v>6831.6729999999998</v>
      </c>
      <c r="G30" s="10">
        <f t="shared" si="3"/>
        <v>6069.1719999999996</v>
      </c>
      <c r="H30" s="10">
        <f t="shared" ref="H30" si="15">H31+H32+H33+H34</f>
        <v>14436.504000000003</v>
      </c>
      <c r="I30" s="8">
        <f>E30+май!I30</f>
        <v>4575.0060000000003</v>
      </c>
      <c r="J30" s="10">
        <f t="shared" ref="J30" si="16">J31+J32+J33+J34</f>
        <v>16530.982999999997</v>
      </c>
      <c r="K30" s="10">
        <f t="shared" si="4"/>
        <v>11955.976999999995</v>
      </c>
      <c r="L30" s="16">
        <f t="shared" si="5"/>
        <v>261.33248786996114</v>
      </c>
      <c r="M30" s="220"/>
      <c r="N30" s="221"/>
      <c r="O30" s="122">
        <f t="shared" si="0"/>
        <v>2094.4789999999939</v>
      </c>
      <c r="P30" s="123">
        <f t="shared" si="1"/>
        <v>14.508214731211888</v>
      </c>
      <c r="Q30" s="114"/>
      <c r="S30">
        <f t="shared" si="2"/>
        <v>12030.419999999998</v>
      </c>
      <c r="T30" s="44">
        <f>E30+апр!I30</f>
        <v>3812.5050000000001</v>
      </c>
      <c r="U30" s="30">
        <f>F30+апр!J30</f>
        <v>16004.421999999999</v>
      </c>
    </row>
    <row r="31" spans="1:21" ht="35.25" customHeight="1">
      <c r="A31" s="18" t="s">
        <v>28</v>
      </c>
      <c r="B31" s="9" t="s">
        <v>29</v>
      </c>
      <c r="C31" s="8" t="s">
        <v>4</v>
      </c>
      <c r="D31" s="10">
        <v>2288.5219999999999</v>
      </c>
      <c r="E31" s="8"/>
      <c r="F31" s="55">
        <v>6381.04</v>
      </c>
      <c r="G31" s="10">
        <f t="shared" si="3"/>
        <v>6381.04</v>
      </c>
      <c r="H31" s="10">
        <f>D31+май!H31</f>
        <v>13731.132000000001</v>
      </c>
      <c r="I31" s="8"/>
      <c r="J31" s="10">
        <f>F31+май!J31</f>
        <v>15564.213</v>
      </c>
      <c r="K31" s="10">
        <f t="shared" si="4"/>
        <v>15564.213</v>
      </c>
      <c r="L31" s="16"/>
      <c r="M31" s="220"/>
      <c r="N31" s="221"/>
      <c r="O31" s="122">
        <f t="shared" si="0"/>
        <v>1833.0809999999983</v>
      </c>
      <c r="P31" s="123">
        <f t="shared" si="1"/>
        <v>13.349817043489191</v>
      </c>
      <c r="Q31" s="114"/>
      <c r="S31">
        <f t="shared" si="2"/>
        <v>11442.61</v>
      </c>
      <c r="T31" s="44">
        <f>E31+апр!I31</f>
        <v>0</v>
      </c>
      <c r="U31" s="30">
        <f>F31+апр!J31</f>
        <v>15154.474999999999</v>
      </c>
    </row>
    <row r="32" spans="1:21" ht="51.75" customHeight="1">
      <c r="A32" s="18" t="s">
        <v>30</v>
      </c>
      <c r="B32" s="9" t="s">
        <v>31</v>
      </c>
      <c r="C32" s="8" t="s">
        <v>4</v>
      </c>
      <c r="D32" s="10">
        <v>60.337000000000003</v>
      </c>
      <c r="E32" s="8"/>
      <c r="F32" s="54">
        <v>430.255</v>
      </c>
      <c r="G32" s="10">
        <f t="shared" si="3"/>
        <v>430.255</v>
      </c>
      <c r="H32" s="10">
        <f>D32+май!H32</f>
        <v>362.02199999999999</v>
      </c>
      <c r="I32" s="8"/>
      <c r="J32" s="10">
        <f>F32+май!J32</f>
        <v>742.36199999999997</v>
      </c>
      <c r="K32" s="10">
        <f t="shared" si="4"/>
        <v>742.36199999999997</v>
      </c>
      <c r="L32" s="16"/>
      <c r="M32" s="222" t="s">
        <v>285</v>
      </c>
      <c r="N32" s="223"/>
      <c r="O32" s="122">
        <f t="shared" si="0"/>
        <v>380.34</v>
      </c>
      <c r="P32" s="123">
        <f t="shared" si="1"/>
        <v>105.05991348592075</v>
      </c>
      <c r="Q32" s="115"/>
      <c r="S32">
        <f t="shared" si="2"/>
        <v>301.685</v>
      </c>
      <c r="T32" s="44">
        <f>E32+апр!I32</f>
        <v>0</v>
      </c>
      <c r="U32" s="30">
        <f>F32+апр!J32</f>
        <v>698.28499999999997</v>
      </c>
    </row>
    <row r="33" spans="1:21" ht="17.25" customHeight="1">
      <c r="A33" s="18" t="s">
        <v>32</v>
      </c>
      <c r="B33" s="9" t="s">
        <v>33</v>
      </c>
      <c r="C33" s="8" t="s">
        <v>4</v>
      </c>
      <c r="D33" s="10">
        <v>19.736999999999998</v>
      </c>
      <c r="E33" s="8"/>
      <c r="F33" s="55">
        <v>19.407</v>
      </c>
      <c r="G33" s="10">
        <f t="shared" si="3"/>
        <v>19.407</v>
      </c>
      <c r="H33" s="10">
        <f>D33+май!H33</f>
        <v>118.42199999999998</v>
      </c>
      <c r="I33" s="8"/>
      <c r="J33" s="10">
        <f>F33+май!J33</f>
        <v>139.00200000000001</v>
      </c>
      <c r="K33" s="10">
        <f t="shared" si="4"/>
        <v>139.00200000000001</v>
      </c>
      <c r="L33" s="16"/>
      <c r="M33" s="220"/>
      <c r="N33" s="221"/>
      <c r="O33" s="122">
        <f t="shared" si="0"/>
        <v>20.580000000000027</v>
      </c>
      <c r="P33" s="123">
        <f t="shared" si="1"/>
        <v>17.378527638445583</v>
      </c>
      <c r="Q33" s="114"/>
      <c r="S33">
        <f t="shared" si="2"/>
        <v>98.684999999999988</v>
      </c>
      <c r="T33" s="44">
        <f>E33+апр!I33</f>
        <v>0</v>
      </c>
      <c r="U33" s="30">
        <f>F33+апр!J33</f>
        <v>68.932999999999993</v>
      </c>
    </row>
    <row r="34" spans="1:21" ht="33" customHeight="1">
      <c r="A34" s="18" t="s">
        <v>34</v>
      </c>
      <c r="B34" s="9" t="s">
        <v>35</v>
      </c>
      <c r="C34" s="8" t="s">
        <v>4</v>
      </c>
      <c r="D34" s="10">
        <v>37.488</v>
      </c>
      <c r="E34" s="8"/>
      <c r="F34" s="55">
        <v>0.97099999999999997</v>
      </c>
      <c r="G34" s="10">
        <f t="shared" si="3"/>
        <v>0.97099999999999997</v>
      </c>
      <c r="H34" s="10">
        <f>D34+май!H34</f>
        <v>224.928</v>
      </c>
      <c r="I34" s="8"/>
      <c r="J34" s="10">
        <f>F34+май!J34</f>
        <v>85.40600000000002</v>
      </c>
      <c r="K34" s="10">
        <f t="shared" si="4"/>
        <v>85.40600000000002</v>
      </c>
      <c r="L34" s="16"/>
      <c r="M34" s="220"/>
      <c r="N34" s="221"/>
      <c r="O34" s="122">
        <f t="shared" si="0"/>
        <v>-139.52199999999999</v>
      </c>
      <c r="P34" s="123">
        <f t="shared" si="1"/>
        <v>-62.029627258500497</v>
      </c>
      <c r="Q34" s="114"/>
      <c r="S34">
        <f t="shared" si="2"/>
        <v>187.44</v>
      </c>
      <c r="T34" s="44">
        <f>E34+апр!I34</f>
        <v>0</v>
      </c>
      <c r="U34" s="30">
        <f>F34+апр!J34</f>
        <v>82.729000000000013</v>
      </c>
    </row>
    <row r="35" spans="1:21" ht="17.25" customHeight="1">
      <c r="A35" s="18" t="s">
        <v>36</v>
      </c>
      <c r="B35" s="9" t="s">
        <v>37</v>
      </c>
      <c r="C35" s="8" t="s">
        <v>4</v>
      </c>
      <c r="D35" s="10">
        <f t="shared" ref="D35:J35" si="17">D36</f>
        <v>162.715</v>
      </c>
      <c r="E35" s="10">
        <f t="shared" si="17"/>
        <v>162.75</v>
      </c>
      <c r="F35" s="10">
        <f t="shared" si="17"/>
        <v>696.94</v>
      </c>
      <c r="G35" s="10">
        <f t="shared" si="3"/>
        <v>534.19000000000005</v>
      </c>
      <c r="H35" s="10">
        <f t="shared" si="17"/>
        <v>976.29000000000008</v>
      </c>
      <c r="I35" s="10">
        <f t="shared" si="17"/>
        <v>976.5</v>
      </c>
      <c r="J35" s="10">
        <f t="shared" si="17"/>
        <v>2511.4459999999999</v>
      </c>
      <c r="K35" s="10">
        <f t="shared" si="4"/>
        <v>1534.9459999999999</v>
      </c>
      <c r="L35" s="16">
        <f t="shared" si="5"/>
        <v>157.18853046594981</v>
      </c>
      <c r="M35" s="220"/>
      <c r="N35" s="221"/>
      <c r="O35" s="122">
        <f t="shared" si="0"/>
        <v>1535.1559999999999</v>
      </c>
      <c r="P35" s="123">
        <f t="shared" si="1"/>
        <v>157.24385172438517</v>
      </c>
      <c r="Q35" s="114"/>
      <c r="S35">
        <f t="shared" si="2"/>
        <v>813.57500000000005</v>
      </c>
      <c r="T35" s="44">
        <f>E35+апр!I35</f>
        <v>813.75</v>
      </c>
      <c r="U35" s="30">
        <f>F35+апр!J35</f>
        <v>2480.4880000000003</v>
      </c>
    </row>
    <row r="36" spans="1:21" ht="17.25" customHeight="1">
      <c r="A36" s="8" t="s">
        <v>38</v>
      </c>
      <c r="B36" s="9" t="s">
        <v>39</v>
      </c>
      <c r="C36" s="8" t="s">
        <v>4</v>
      </c>
      <c r="D36" s="10">
        <v>162.715</v>
      </c>
      <c r="E36" s="8">
        <v>162.75</v>
      </c>
      <c r="F36" s="54">
        <v>696.94</v>
      </c>
      <c r="G36" s="10">
        <f t="shared" si="3"/>
        <v>534.19000000000005</v>
      </c>
      <c r="H36" s="10">
        <f>D36+май!H36</f>
        <v>976.29000000000008</v>
      </c>
      <c r="I36" s="8">
        <f>E36+май!I36</f>
        <v>976.5</v>
      </c>
      <c r="J36" s="10">
        <f>F36+май!J36</f>
        <v>2511.4459999999999</v>
      </c>
      <c r="K36" s="10">
        <f t="shared" si="4"/>
        <v>1534.9459999999999</v>
      </c>
      <c r="L36" s="16">
        <f t="shared" si="5"/>
        <v>157.18853046594981</v>
      </c>
      <c r="M36" s="220"/>
      <c r="N36" s="221"/>
      <c r="O36" s="122">
        <f t="shared" si="0"/>
        <v>1535.1559999999999</v>
      </c>
      <c r="P36" s="123">
        <f t="shared" si="1"/>
        <v>157.24385172438517</v>
      </c>
      <c r="Q36" s="114"/>
      <c r="S36">
        <f t="shared" si="2"/>
        <v>813.57500000000005</v>
      </c>
      <c r="T36" s="44">
        <f>E36+апр!I36</f>
        <v>813.75</v>
      </c>
      <c r="U36" s="30">
        <f>F36+апр!J36</f>
        <v>2480.4880000000003</v>
      </c>
    </row>
    <row r="37" spans="1:21" ht="17.25" customHeight="1">
      <c r="A37" s="18" t="s">
        <v>40</v>
      </c>
      <c r="B37" s="9" t="s">
        <v>41</v>
      </c>
      <c r="C37" s="8" t="s">
        <v>4</v>
      </c>
      <c r="D37" s="10">
        <f>D38+D41+D48+D51</f>
        <v>1613.3909999999998</v>
      </c>
      <c r="E37" s="8">
        <v>1933.0830000000001</v>
      </c>
      <c r="F37" s="10">
        <f>F38+F41+F48+F51</f>
        <v>1910.319</v>
      </c>
      <c r="G37" s="10">
        <f t="shared" si="3"/>
        <v>-22.764000000000124</v>
      </c>
      <c r="H37" s="10">
        <f>H38+H41+H48+H51</f>
        <v>9680.3460000000014</v>
      </c>
      <c r="I37" s="8">
        <f>E37+май!I37</f>
        <v>11598.498000000001</v>
      </c>
      <c r="J37" s="10">
        <f>J38+J41+J48+J51</f>
        <v>13076.434999999999</v>
      </c>
      <c r="K37" s="10">
        <f t="shared" si="4"/>
        <v>1477.9369999999981</v>
      </c>
      <c r="L37" s="16">
        <f t="shared" si="5"/>
        <v>12.742486139153517</v>
      </c>
      <c r="M37" s="220"/>
      <c r="N37" s="221"/>
      <c r="O37" s="122">
        <f t="shared" si="0"/>
        <v>3396.0889999999981</v>
      </c>
      <c r="P37" s="123">
        <f t="shared" si="1"/>
        <v>35.082310074453929</v>
      </c>
      <c r="Q37" s="114"/>
      <c r="S37">
        <f t="shared" si="2"/>
        <v>8066.954999999999</v>
      </c>
      <c r="T37" s="44">
        <f>E37+апр!I37</f>
        <v>9665.4150000000009</v>
      </c>
      <c r="U37" s="30">
        <f>F37+апр!J37</f>
        <v>11962.050999999999</v>
      </c>
    </row>
    <row r="38" spans="1:21" ht="17.25" customHeight="1">
      <c r="A38" s="18" t="s">
        <v>42</v>
      </c>
      <c r="B38" s="9" t="s">
        <v>43</v>
      </c>
      <c r="C38" s="8" t="s">
        <v>4</v>
      </c>
      <c r="D38" s="10">
        <v>707.32500000000005</v>
      </c>
      <c r="E38" s="8">
        <v>707.33299999999997</v>
      </c>
      <c r="F38" s="8"/>
      <c r="G38" s="10">
        <f t="shared" si="3"/>
        <v>-707.33299999999997</v>
      </c>
      <c r="H38" s="10">
        <f>D38+май!H38</f>
        <v>4243.95</v>
      </c>
      <c r="I38" s="8">
        <f>E38+май!I38</f>
        <v>4243.9979999999996</v>
      </c>
      <c r="J38" s="10">
        <f>F38+май!J38</f>
        <v>5653.2079999999996</v>
      </c>
      <c r="K38" s="10">
        <f t="shared" si="4"/>
        <v>1409.21</v>
      </c>
      <c r="L38" s="16">
        <f t="shared" si="5"/>
        <v>33.204775308565182</v>
      </c>
      <c r="M38" s="220"/>
      <c r="N38" s="221"/>
      <c r="O38" s="122">
        <f t="shared" si="0"/>
        <v>1409.2579999999998</v>
      </c>
      <c r="P38" s="123">
        <f t="shared" si="1"/>
        <v>33.206281883622566</v>
      </c>
      <c r="Q38" s="114"/>
      <c r="S38">
        <f t="shared" si="2"/>
        <v>3536.625</v>
      </c>
      <c r="T38" s="44">
        <f>E38+апр!I38</f>
        <v>3536.665</v>
      </c>
      <c r="U38" s="30">
        <f>F38+апр!J38</f>
        <v>5547.366</v>
      </c>
    </row>
    <row r="39" spans="1:21" ht="17.25" customHeight="1">
      <c r="A39" s="8"/>
      <c r="B39" s="12" t="s">
        <v>13</v>
      </c>
      <c r="C39" s="13" t="s">
        <v>44</v>
      </c>
      <c r="D39" s="14">
        <v>87</v>
      </c>
      <c r="E39" s="13"/>
      <c r="F39" s="8"/>
      <c r="G39" s="10">
        <f t="shared" si="3"/>
        <v>0</v>
      </c>
      <c r="H39" s="10">
        <f>D39+май!H39</f>
        <v>522</v>
      </c>
      <c r="I39" s="8"/>
      <c r="J39" s="10">
        <f>F39+май!J39</f>
        <v>908</v>
      </c>
      <c r="K39" s="10">
        <f t="shared" si="4"/>
        <v>908</v>
      </c>
      <c r="L39" s="16"/>
      <c r="M39" s="220"/>
      <c r="N39" s="221"/>
      <c r="O39" s="122">
        <f t="shared" si="0"/>
        <v>386</v>
      </c>
      <c r="P39" s="123">
        <f t="shared" si="1"/>
        <v>73.946360153256705</v>
      </c>
      <c r="Q39" s="114"/>
      <c r="S39">
        <f t="shared" si="2"/>
        <v>435</v>
      </c>
      <c r="T39" s="44">
        <f>E39+апр!I39</f>
        <v>0</v>
      </c>
      <c r="U39" s="30">
        <f>F39+апр!J39</f>
        <v>891</v>
      </c>
    </row>
    <row r="40" spans="1:21" ht="17.25" customHeight="1">
      <c r="A40" s="8"/>
      <c r="B40" s="12" t="s">
        <v>15</v>
      </c>
      <c r="C40" s="13" t="s">
        <v>16</v>
      </c>
      <c r="D40" s="16">
        <f>D38/D39*1000</f>
        <v>8130.1724137931051</v>
      </c>
      <c r="E40" s="16"/>
      <c r="F40" s="16" t="e">
        <f t="shared" ref="F40" si="18">F38/F39*1000</f>
        <v>#DIV/0!</v>
      </c>
      <c r="G40" s="10" t="e">
        <f t="shared" si="3"/>
        <v>#DIV/0!</v>
      </c>
      <c r="H40" s="16">
        <f>H38/H39*1000</f>
        <v>8130.1724137931033</v>
      </c>
      <c r="I40" s="16"/>
      <c r="J40" s="16">
        <f t="shared" ref="J40" si="19">J38/J39*1000</f>
        <v>6226</v>
      </c>
      <c r="K40" s="10">
        <f t="shared" si="4"/>
        <v>6226</v>
      </c>
      <c r="L40" s="16"/>
      <c r="M40" s="220"/>
      <c r="N40" s="221"/>
      <c r="O40" s="122">
        <f t="shared" si="0"/>
        <v>-1904.1724137931033</v>
      </c>
      <c r="P40" s="123">
        <f t="shared" si="1"/>
        <v>-23.421058212278652</v>
      </c>
      <c r="Q40" s="114"/>
      <c r="S40">
        <f t="shared" si="2"/>
        <v>40650.862068965522</v>
      </c>
      <c r="T40" s="44">
        <f>E40+апр!I40</f>
        <v>0</v>
      </c>
      <c r="U40" s="30" t="e">
        <f>F40+апр!J40</f>
        <v>#DIV/0!</v>
      </c>
    </row>
    <row r="41" spans="1:21" ht="17.25" customHeight="1">
      <c r="A41" s="18" t="s">
        <v>45</v>
      </c>
      <c r="B41" s="9" t="s">
        <v>46</v>
      </c>
      <c r="C41" s="8" t="s">
        <v>4</v>
      </c>
      <c r="D41" s="10">
        <f t="shared" ref="D41:F41" si="20">D42+D45</f>
        <v>315.00200000000001</v>
      </c>
      <c r="E41" s="10">
        <f t="shared" si="20"/>
        <v>0</v>
      </c>
      <c r="F41" s="10">
        <f t="shared" si="20"/>
        <v>345.86599999999999</v>
      </c>
      <c r="G41" s="10">
        <f t="shared" si="3"/>
        <v>345.86599999999999</v>
      </c>
      <c r="H41" s="10">
        <f t="shared" ref="H41:J41" si="21">H42+H45</f>
        <v>1890.0119999999999</v>
      </c>
      <c r="I41" s="10">
        <f t="shared" si="21"/>
        <v>0</v>
      </c>
      <c r="J41" s="10">
        <f t="shared" si="21"/>
        <v>2076.0119999999997</v>
      </c>
      <c r="K41" s="10">
        <f t="shared" si="4"/>
        <v>2076.0119999999997</v>
      </c>
      <c r="L41" s="16"/>
      <c r="M41" s="220"/>
      <c r="N41" s="221"/>
      <c r="O41" s="122">
        <f t="shared" si="0"/>
        <v>185.99999999999977</v>
      </c>
      <c r="P41" s="123">
        <f t="shared" si="1"/>
        <v>9.8412073574135928</v>
      </c>
      <c r="Q41" s="114"/>
      <c r="S41">
        <f t="shared" si="2"/>
        <v>1575.01</v>
      </c>
      <c r="T41" s="44">
        <f>E41+апр!I41</f>
        <v>0</v>
      </c>
      <c r="U41" s="30">
        <f>F41+апр!J41</f>
        <v>1782.924</v>
      </c>
    </row>
    <row r="42" spans="1:21" ht="16.5" customHeight="1">
      <c r="A42" s="8"/>
      <c r="B42" s="9" t="s">
        <v>47</v>
      </c>
      <c r="C42" s="8" t="s">
        <v>4</v>
      </c>
      <c r="D42" s="10">
        <v>152.298</v>
      </c>
      <c r="E42" s="8"/>
      <c r="F42" s="8"/>
      <c r="G42" s="10">
        <f t="shared" si="3"/>
        <v>0</v>
      </c>
      <c r="H42" s="10">
        <f>D42+май!H42</f>
        <v>913.78800000000001</v>
      </c>
      <c r="I42" s="8"/>
      <c r="J42" s="10">
        <f>F42+май!J42</f>
        <v>0</v>
      </c>
      <c r="K42" s="10">
        <f t="shared" si="4"/>
        <v>0</v>
      </c>
      <c r="L42" s="16"/>
      <c r="M42" s="233" t="s">
        <v>286</v>
      </c>
      <c r="N42" s="234"/>
      <c r="O42" s="122">
        <f t="shared" si="0"/>
        <v>-913.78800000000001</v>
      </c>
      <c r="P42" s="123">
        <f t="shared" si="1"/>
        <v>-100</v>
      </c>
      <c r="Q42" s="115"/>
      <c r="S42">
        <f t="shared" si="2"/>
        <v>761.49</v>
      </c>
      <c r="T42" s="44">
        <f>E42+апр!I42</f>
        <v>0</v>
      </c>
      <c r="U42" s="30">
        <f>F42+апр!J42</f>
        <v>0</v>
      </c>
    </row>
    <row r="43" spans="1:21" ht="17.25" customHeight="1">
      <c r="A43" s="8"/>
      <c r="B43" s="12" t="s">
        <v>48</v>
      </c>
      <c r="C43" s="13" t="s">
        <v>49</v>
      </c>
      <c r="D43" s="14">
        <v>1917</v>
      </c>
      <c r="E43" s="13"/>
      <c r="F43" s="8"/>
      <c r="G43" s="10">
        <f t="shared" si="3"/>
        <v>0</v>
      </c>
      <c r="H43" s="10">
        <f>D43+май!H43</f>
        <v>11502</v>
      </c>
      <c r="I43" s="8"/>
      <c r="J43" s="10">
        <f>F43+май!J43</f>
        <v>0</v>
      </c>
      <c r="K43" s="10">
        <f t="shared" si="4"/>
        <v>0</v>
      </c>
      <c r="L43" s="16"/>
      <c r="M43" s="235"/>
      <c r="N43" s="236"/>
      <c r="O43" s="122">
        <f t="shared" si="0"/>
        <v>-11502</v>
      </c>
      <c r="P43" s="123">
        <f t="shared" si="1"/>
        <v>-100</v>
      </c>
      <c r="Q43" s="115"/>
      <c r="S43">
        <f t="shared" si="2"/>
        <v>9585</v>
      </c>
      <c r="T43" s="44">
        <f>E43+апр!I43</f>
        <v>0</v>
      </c>
      <c r="U43" s="30">
        <f>F43+апр!J43</f>
        <v>0</v>
      </c>
    </row>
    <row r="44" spans="1:21" ht="17.25" customHeight="1">
      <c r="A44" s="8"/>
      <c r="B44" s="12" t="s">
        <v>15</v>
      </c>
      <c r="C44" s="13" t="s">
        <v>16</v>
      </c>
      <c r="D44" s="16">
        <f>D42/D43*1000</f>
        <v>79.44600938967136</v>
      </c>
      <c r="E44" s="13"/>
      <c r="F44" s="8"/>
      <c r="G44" s="10">
        <f t="shared" si="3"/>
        <v>0</v>
      </c>
      <c r="H44" s="16">
        <f>H42/H43*1000</f>
        <v>79.44600938967136</v>
      </c>
      <c r="I44" s="16"/>
      <c r="J44" s="16" t="e">
        <f t="shared" ref="J44" si="22">J42/J43*1000</f>
        <v>#DIV/0!</v>
      </c>
      <c r="K44" s="10" t="e">
        <f t="shared" si="4"/>
        <v>#DIV/0!</v>
      </c>
      <c r="L44" s="16"/>
      <c r="M44" s="220"/>
      <c r="N44" s="221"/>
      <c r="O44" s="122" t="e">
        <f t="shared" si="0"/>
        <v>#DIV/0!</v>
      </c>
      <c r="P44" s="123" t="e">
        <f t="shared" si="1"/>
        <v>#DIV/0!</v>
      </c>
      <c r="Q44" s="114"/>
      <c r="S44">
        <f t="shared" si="2"/>
        <v>397.2300469483568</v>
      </c>
      <c r="T44" s="44">
        <f>E44+апр!I44</f>
        <v>0</v>
      </c>
      <c r="U44" s="30" t="e">
        <f>F44+апр!J44</f>
        <v>#DIV/0!</v>
      </c>
    </row>
    <row r="45" spans="1:21" ht="17.25" customHeight="1">
      <c r="A45" s="8"/>
      <c r="B45" s="19" t="s">
        <v>50</v>
      </c>
      <c r="C45" s="8" t="s">
        <v>4</v>
      </c>
      <c r="D45" s="10">
        <v>162.70400000000001</v>
      </c>
      <c r="E45" s="8"/>
      <c r="F45" s="54">
        <v>345.86599999999999</v>
      </c>
      <c r="G45" s="10">
        <f t="shared" si="3"/>
        <v>345.86599999999999</v>
      </c>
      <c r="H45" s="10">
        <f>D45+май!H45</f>
        <v>976.22399999999993</v>
      </c>
      <c r="I45" s="8">
        <f>E45+май!I45</f>
        <v>0</v>
      </c>
      <c r="J45" s="10">
        <f>F45+май!J45</f>
        <v>2076.0119999999997</v>
      </c>
      <c r="K45" s="10">
        <f t="shared" si="4"/>
        <v>2076.0119999999997</v>
      </c>
      <c r="L45" s="16"/>
      <c r="M45" s="220"/>
      <c r="N45" s="221"/>
      <c r="O45" s="122">
        <f t="shared" si="0"/>
        <v>1099.7879999999998</v>
      </c>
      <c r="P45" s="123">
        <f t="shared" si="1"/>
        <v>112.65734093814532</v>
      </c>
      <c r="Q45" s="114"/>
      <c r="S45">
        <f t="shared" si="2"/>
        <v>813.52</v>
      </c>
      <c r="T45" s="44">
        <f>E45+апр!I45</f>
        <v>0</v>
      </c>
      <c r="U45" s="30">
        <f>F45+апр!J45</f>
        <v>1782.924</v>
      </c>
    </row>
    <row r="46" spans="1:21" ht="17.25" customHeight="1">
      <c r="A46" s="8"/>
      <c r="B46" s="12" t="s">
        <v>51</v>
      </c>
      <c r="C46" s="13" t="s">
        <v>49</v>
      </c>
      <c r="D46" s="14">
        <v>1417</v>
      </c>
      <c r="E46" s="13"/>
      <c r="F46" s="8">
        <v>2426</v>
      </c>
      <c r="G46" s="10">
        <f t="shared" si="3"/>
        <v>2426</v>
      </c>
      <c r="H46" s="10">
        <f>D46+май!H46</f>
        <v>8502</v>
      </c>
      <c r="I46" s="8"/>
      <c r="J46" s="10">
        <f>F46+май!J46</f>
        <v>14614</v>
      </c>
      <c r="K46" s="10">
        <f t="shared" si="4"/>
        <v>14614</v>
      </c>
      <c r="L46" s="16"/>
      <c r="M46" s="220"/>
      <c r="N46" s="221"/>
      <c r="O46" s="122">
        <f t="shared" si="0"/>
        <v>6112</v>
      </c>
      <c r="P46" s="123">
        <f t="shared" si="1"/>
        <v>71.888967301811334</v>
      </c>
      <c r="Q46" s="114"/>
      <c r="S46">
        <f t="shared" si="2"/>
        <v>7085</v>
      </c>
      <c r="T46" s="44">
        <f>E46+апр!I46</f>
        <v>0</v>
      </c>
      <c r="U46" s="30">
        <f>F46+апр!J46</f>
        <v>12548</v>
      </c>
    </row>
    <row r="47" spans="1:21" ht="17.25" customHeight="1">
      <c r="A47" s="8"/>
      <c r="B47" s="12" t="s">
        <v>15</v>
      </c>
      <c r="C47" s="13" t="s">
        <v>16</v>
      </c>
      <c r="D47" s="16">
        <f>D45/D46*1000</f>
        <v>114.82286520818631</v>
      </c>
      <c r="E47" s="16"/>
      <c r="F47" s="16">
        <f t="shared" ref="F47" si="23">F45/F46*1000</f>
        <v>142.56636438582026</v>
      </c>
      <c r="G47" s="10">
        <f t="shared" si="3"/>
        <v>142.56636438582026</v>
      </c>
      <c r="H47" s="16">
        <f>H45/H46*1000</f>
        <v>114.8228652081863</v>
      </c>
      <c r="I47" s="16"/>
      <c r="J47" s="16">
        <f t="shared" ref="J47" si="24">J45/J46*1000</f>
        <v>142.05638428903788</v>
      </c>
      <c r="K47" s="10">
        <f t="shared" si="4"/>
        <v>142.05638428903788</v>
      </c>
      <c r="L47" s="16"/>
      <c r="M47" s="220"/>
      <c r="N47" s="221"/>
      <c r="O47" s="122">
        <f t="shared" si="0"/>
        <v>27.233519080851579</v>
      </c>
      <c r="P47" s="123">
        <f t="shared" si="1"/>
        <v>23.717853609970678</v>
      </c>
      <c r="Q47" s="114"/>
      <c r="S47">
        <f t="shared" si="2"/>
        <v>574.11432604093159</v>
      </c>
      <c r="T47" s="44">
        <f>E47+апр!I47</f>
        <v>0</v>
      </c>
      <c r="U47" s="30">
        <f>F47+апр!J47</f>
        <v>284.54008499439567</v>
      </c>
    </row>
    <row r="48" spans="1:21" ht="17.25" customHeight="1">
      <c r="A48" s="18" t="s">
        <v>52</v>
      </c>
      <c r="B48" s="9" t="s">
        <v>53</v>
      </c>
      <c r="C48" s="8" t="s">
        <v>4</v>
      </c>
      <c r="D48" s="10">
        <v>515.60799999999995</v>
      </c>
      <c r="E48" s="8"/>
      <c r="F48" s="55">
        <v>1227.3330000000001</v>
      </c>
      <c r="G48" s="10">
        <f t="shared" si="3"/>
        <v>1227.3330000000001</v>
      </c>
      <c r="H48" s="10">
        <f>D48+май!H48</f>
        <v>3093.6480000000001</v>
      </c>
      <c r="I48" s="8"/>
      <c r="J48" s="10">
        <f>F48+май!J48</f>
        <v>4877.2270000000008</v>
      </c>
      <c r="K48" s="10">
        <f t="shared" si="4"/>
        <v>4877.2270000000008</v>
      </c>
      <c r="L48" s="16"/>
      <c r="M48" s="220"/>
      <c r="N48" s="221"/>
      <c r="O48" s="122">
        <f t="shared" si="0"/>
        <v>1783.5790000000006</v>
      </c>
      <c r="P48" s="123">
        <f t="shared" si="1"/>
        <v>57.652939183772702</v>
      </c>
      <c r="Q48" s="114"/>
      <c r="S48">
        <f t="shared" si="2"/>
        <v>2578.04</v>
      </c>
      <c r="T48" s="44">
        <f>E48+апр!I48</f>
        <v>0</v>
      </c>
      <c r="U48" s="30">
        <f>F48+апр!J48</f>
        <v>4173.4920000000002</v>
      </c>
    </row>
    <row r="49" spans="1:21" ht="17.25" customHeight="1">
      <c r="A49" s="8"/>
      <c r="B49" s="12" t="s">
        <v>13</v>
      </c>
      <c r="C49" s="13" t="s">
        <v>49</v>
      </c>
      <c r="D49" s="14">
        <v>5833</v>
      </c>
      <c r="E49" s="13"/>
      <c r="F49" s="8">
        <v>8375</v>
      </c>
      <c r="G49" s="10">
        <f t="shared" si="3"/>
        <v>8375</v>
      </c>
      <c r="H49" s="10">
        <f>D49+май!H49</f>
        <v>34998</v>
      </c>
      <c r="I49" s="8"/>
      <c r="J49" s="10">
        <f>F49+май!J49</f>
        <v>31564</v>
      </c>
      <c r="K49" s="10">
        <f t="shared" si="4"/>
        <v>31564</v>
      </c>
      <c r="L49" s="16"/>
      <c r="M49" s="220"/>
      <c r="N49" s="221"/>
      <c r="O49" s="122">
        <f t="shared" si="0"/>
        <v>-3434</v>
      </c>
      <c r="P49" s="123">
        <f t="shared" si="1"/>
        <v>-9.8119892565289444</v>
      </c>
      <c r="Q49" s="114"/>
      <c r="S49">
        <f t="shared" si="2"/>
        <v>29165</v>
      </c>
      <c r="T49" s="44">
        <f>E49+апр!I49</f>
        <v>0</v>
      </c>
      <c r="U49" s="30">
        <f>F49+апр!J49</f>
        <v>26698</v>
      </c>
    </row>
    <row r="50" spans="1:21" ht="17.25" customHeight="1">
      <c r="A50" s="8"/>
      <c r="B50" s="12" t="s">
        <v>15</v>
      </c>
      <c r="C50" s="13" t="s">
        <v>16</v>
      </c>
      <c r="D50" s="16">
        <f>D48/D49*1000</f>
        <v>88.394993999657117</v>
      </c>
      <c r="E50" s="16"/>
      <c r="F50" s="16">
        <f t="shared" ref="F50" si="25">F48/F49*1000</f>
        <v>146.54722388059702</v>
      </c>
      <c r="G50" s="10">
        <f t="shared" si="3"/>
        <v>146.54722388059702</v>
      </c>
      <c r="H50" s="16">
        <f>H48/H49*1000</f>
        <v>88.394993999657132</v>
      </c>
      <c r="I50" s="16"/>
      <c r="J50" s="16">
        <f t="shared" ref="J50" si="26">J48/J49*1000</f>
        <v>154.51866049930302</v>
      </c>
      <c r="K50" s="10">
        <f t="shared" si="4"/>
        <v>154.51866049930302</v>
      </c>
      <c r="L50" s="16"/>
      <c r="M50" s="220"/>
      <c r="N50" s="221"/>
      <c r="O50" s="122">
        <f t="shared" si="0"/>
        <v>66.123666499645893</v>
      </c>
      <c r="P50" s="123">
        <f t="shared" si="1"/>
        <v>74.80476383074631</v>
      </c>
      <c r="Q50" s="114"/>
      <c r="S50">
        <f t="shared" si="2"/>
        <v>441.97496999828559</v>
      </c>
      <c r="T50" s="44">
        <f>E50+апр!I50</f>
        <v>0</v>
      </c>
      <c r="U50" s="30">
        <f>F50+апр!J50</f>
        <v>307.33743290750311</v>
      </c>
    </row>
    <row r="51" spans="1:21" ht="17.25" customHeight="1">
      <c r="A51" s="18" t="s">
        <v>54</v>
      </c>
      <c r="B51" s="20" t="s">
        <v>55</v>
      </c>
      <c r="C51" s="8" t="s">
        <v>4</v>
      </c>
      <c r="D51" s="10">
        <f t="shared" ref="D51:F52" si="27">D54+D57+D60+D63+D66+D69</f>
        <v>75.456000000000003</v>
      </c>
      <c r="E51" s="10"/>
      <c r="F51" s="10">
        <f t="shared" si="27"/>
        <v>337.12</v>
      </c>
      <c r="G51" s="10">
        <f t="shared" si="3"/>
        <v>337.12</v>
      </c>
      <c r="H51" s="10">
        <f t="shared" ref="H51:H52" si="28">H54+H57+H60+H63+H66+H69</f>
        <v>452.73600000000005</v>
      </c>
      <c r="I51" s="10"/>
      <c r="J51" s="10">
        <f t="shared" ref="J51:J52" si="29">J54+J57+J60+J63+J66+J69</f>
        <v>469.988</v>
      </c>
      <c r="K51" s="10">
        <f t="shared" si="4"/>
        <v>469.988</v>
      </c>
      <c r="L51" s="16"/>
      <c r="M51" s="220"/>
      <c r="N51" s="221"/>
      <c r="O51" s="122">
        <f t="shared" si="0"/>
        <v>17.251999999999953</v>
      </c>
      <c r="P51" s="123">
        <f t="shared" si="1"/>
        <v>3.8106092733955226</v>
      </c>
      <c r="Q51" s="114"/>
      <c r="S51">
        <f t="shared" si="2"/>
        <v>377.28000000000003</v>
      </c>
      <c r="T51" s="44">
        <f>E51+апр!I51</f>
        <v>0</v>
      </c>
      <c r="U51" s="30">
        <f>F51+апр!J51</f>
        <v>458.26900000000001</v>
      </c>
    </row>
    <row r="52" spans="1:21" ht="17.25" customHeight="1">
      <c r="A52" s="8"/>
      <c r="B52" s="19" t="s">
        <v>13</v>
      </c>
      <c r="C52" s="13" t="s">
        <v>49</v>
      </c>
      <c r="D52" s="14">
        <f t="shared" si="27"/>
        <v>177</v>
      </c>
      <c r="E52" s="13"/>
      <c r="F52" s="14">
        <f t="shared" si="27"/>
        <v>730</v>
      </c>
      <c r="G52" s="10">
        <f t="shared" si="3"/>
        <v>730</v>
      </c>
      <c r="H52" s="14">
        <f t="shared" si="28"/>
        <v>1062</v>
      </c>
      <c r="I52" s="8"/>
      <c r="J52" s="14">
        <f t="shared" si="29"/>
        <v>972.07500000000005</v>
      </c>
      <c r="K52" s="10">
        <f t="shared" si="4"/>
        <v>972.07500000000005</v>
      </c>
      <c r="L52" s="16"/>
      <c r="M52" s="220"/>
      <c r="N52" s="221"/>
      <c r="O52" s="122">
        <f t="shared" si="0"/>
        <v>-89.924999999999955</v>
      </c>
      <c r="P52" s="123">
        <f t="shared" si="1"/>
        <v>-8.4675141242937801</v>
      </c>
      <c r="Q52" s="114"/>
      <c r="S52">
        <f t="shared" si="2"/>
        <v>885</v>
      </c>
      <c r="T52" s="44">
        <f>E52+апр!I52</f>
        <v>0</v>
      </c>
      <c r="U52" s="30">
        <f>F52+апр!J52</f>
        <v>949.07500000000005</v>
      </c>
    </row>
    <row r="53" spans="1:21" ht="17.25" customHeight="1">
      <c r="A53" s="8"/>
      <c r="B53" s="19" t="s">
        <v>15</v>
      </c>
      <c r="C53" s="13" t="s">
        <v>16</v>
      </c>
      <c r="D53" s="16">
        <f>D51/D52*1000</f>
        <v>426.30508474576271</v>
      </c>
      <c r="E53" s="16"/>
      <c r="F53" s="16">
        <f t="shared" ref="F53" si="30">F51/F52*1000</f>
        <v>461.8082191780822</v>
      </c>
      <c r="G53" s="10">
        <f t="shared" si="3"/>
        <v>461.8082191780822</v>
      </c>
      <c r="H53" s="16">
        <f>H51/H52*1000</f>
        <v>426.30508474576271</v>
      </c>
      <c r="I53" s="16"/>
      <c r="J53" s="16">
        <f t="shared" ref="J53" si="31">J51/J52*1000</f>
        <v>483.48944268703542</v>
      </c>
      <c r="K53" s="10">
        <f t="shared" si="4"/>
        <v>483.48944268703542</v>
      </c>
      <c r="L53" s="16"/>
      <c r="M53" s="220"/>
      <c r="N53" s="221"/>
      <c r="O53" s="122">
        <f t="shared" si="0"/>
        <v>57.184357941272708</v>
      </c>
      <c r="P53" s="123">
        <f t="shared" si="1"/>
        <v>13.41395164811979</v>
      </c>
      <c r="Q53" s="114"/>
      <c r="S53">
        <f t="shared" si="2"/>
        <v>2131.5254237288136</v>
      </c>
      <c r="T53" s="44">
        <f>E53+апр!I53</f>
        <v>0</v>
      </c>
      <c r="U53" s="30">
        <f>F53+апр!J53</f>
        <v>1014.8106156176577</v>
      </c>
    </row>
    <row r="54" spans="1:21" ht="17.25" customHeight="1">
      <c r="A54" s="8"/>
      <c r="B54" s="20" t="s">
        <v>56</v>
      </c>
      <c r="C54" s="8" t="s">
        <v>4</v>
      </c>
      <c r="D54" s="10">
        <v>7.8079999999999998</v>
      </c>
      <c r="E54" s="8"/>
      <c r="F54" s="55">
        <v>3.75</v>
      </c>
      <c r="G54" s="10">
        <f t="shared" si="3"/>
        <v>3.75</v>
      </c>
      <c r="H54" s="10">
        <f>D54+май!H54</f>
        <v>46.847999999999999</v>
      </c>
      <c r="I54" s="8"/>
      <c r="J54" s="10">
        <f>F54+май!J54</f>
        <v>21.103999999999999</v>
      </c>
      <c r="K54" s="10">
        <f t="shared" si="4"/>
        <v>21.103999999999999</v>
      </c>
      <c r="L54" s="16"/>
      <c r="M54" s="220"/>
      <c r="N54" s="221"/>
      <c r="O54" s="122">
        <f t="shared" si="0"/>
        <v>-25.744</v>
      </c>
      <c r="P54" s="123">
        <f t="shared" si="1"/>
        <v>-54.952185792349731</v>
      </c>
      <c r="Q54" s="114"/>
      <c r="S54">
        <f t="shared" si="2"/>
        <v>39.04</v>
      </c>
      <c r="T54" s="44">
        <f>E54+апр!I54</f>
        <v>0</v>
      </c>
      <c r="U54" s="30">
        <f>F54+апр!J54</f>
        <v>17.353999999999999</v>
      </c>
    </row>
    <row r="55" spans="1:21" ht="17.25" customHeight="1">
      <c r="A55" s="8"/>
      <c r="B55" s="12" t="s">
        <v>13</v>
      </c>
      <c r="C55" s="13" t="s">
        <v>49</v>
      </c>
      <c r="D55" s="14">
        <v>31</v>
      </c>
      <c r="E55" s="13"/>
      <c r="F55" s="8">
        <v>8</v>
      </c>
      <c r="G55" s="10">
        <f t="shared" si="3"/>
        <v>8</v>
      </c>
      <c r="H55" s="10">
        <f>D55+май!H55</f>
        <v>186</v>
      </c>
      <c r="I55" s="8"/>
      <c r="J55" s="10">
        <f>F55+май!J55</f>
        <v>41</v>
      </c>
      <c r="K55" s="10">
        <f t="shared" si="4"/>
        <v>41</v>
      </c>
      <c r="L55" s="16"/>
      <c r="M55" s="220"/>
      <c r="N55" s="221"/>
      <c r="O55" s="122">
        <f t="shared" si="0"/>
        <v>-145</v>
      </c>
      <c r="P55" s="123">
        <f t="shared" si="1"/>
        <v>-77.956989247311824</v>
      </c>
      <c r="Q55" s="114"/>
      <c r="S55">
        <f t="shared" si="2"/>
        <v>155</v>
      </c>
      <c r="T55" s="44">
        <f>E55+апр!I55</f>
        <v>0</v>
      </c>
      <c r="U55" s="30">
        <f>F55+апр!J55</f>
        <v>33</v>
      </c>
    </row>
    <row r="56" spans="1:21" ht="17.25" customHeight="1">
      <c r="A56" s="8"/>
      <c r="B56" s="12" t="s">
        <v>15</v>
      </c>
      <c r="C56" s="13" t="s">
        <v>16</v>
      </c>
      <c r="D56" s="16">
        <f>D54/D55*1000</f>
        <v>251.87096774193546</v>
      </c>
      <c r="E56" s="16"/>
      <c r="F56" s="16">
        <f t="shared" ref="F56" si="32">F54/F55*1000</f>
        <v>468.75</v>
      </c>
      <c r="G56" s="10">
        <f t="shared" si="3"/>
        <v>468.75</v>
      </c>
      <c r="H56" s="16">
        <f>H54/H55*1000</f>
        <v>251.87096774193546</v>
      </c>
      <c r="I56" s="16"/>
      <c r="J56" s="16">
        <f t="shared" ref="J56" si="33">J54/J55*1000</f>
        <v>514.73170731707319</v>
      </c>
      <c r="K56" s="10">
        <f t="shared" si="4"/>
        <v>514.73170731707319</v>
      </c>
      <c r="L56" s="16"/>
      <c r="M56" s="220"/>
      <c r="N56" s="221"/>
      <c r="O56" s="122">
        <f t="shared" si="0"/>
        <v>262.8607395751377</v>
      </c>
      <c r="P56" s="123">
        <f t="shared" si="1"/>
        <v>104.36325469812078</v>
      </c>
      <c r="Q56" s="114"/>
      <c r="S56">
        <f t="shared" si="2"/>
        <v>1259.3548387096773</v>
      </c>
      <c r="T56" s="44">
        <f>E56+апр!I56</f>
        <v>0</v>
      </c>
      <c r="U56" s="30">
        <f>F56+апр!J56</f>
        <v>1012.91</v>
      </c>
    </row>
    <row r="57" spans="1:21" ht="17.25" customHeight="1">
      <c r="A57" s="8"/>
      <c r="B57" s="20" t="s">
        <v>57</v>
      </c>
      <c r="C57" s="8" t="s">
        <v>4</v>
      </c>
      <c r="D57" s="10">
        <v>13.96</v>
      </c>
      <c r="E57" s="8"/>
      <c r="F57" s="55">
        <v>116.25</v>
      </c>
      <c r="G57" s="10">
        <f t="shared" si="3"/>
        <v>116.25</v>
      </c>
      <c r="H57" s="10">
        <f>D57+май!H57</f>
        <v>83.760000000000019</v>
      </c>
      <c r="I57" s="8"/>
      <c r="J57" s="10">
        <f>F57+май!J57</f>
        <v>116.25</v>
      </c>
      <c r="K57" s="10">
        <f t="shared" si="4"/>
        <v>116.25</v>
      </c>
      <c r="L57" s="16"/>
      <c r="M57" s="233" t="s">
        <v>291</v>
      </c>
      <c r="N57" s="234"/>
      <c r="O57" s="122">
        <f t="shared" si="0"/>
        <v>32.489999999999981</v>
      </c>
      <c r="P57" s="123">
        <f t="shared" si="1"/>
        <v>38.78939828080226</v>
      </c>
      <c r="Q57" s="115"/>
      <c r="S57">
        <f t="shared" si="2"/>
        <v>69.800000000000011</v>
      </c>
      <c r="T57" s="44">
        <f>E57+апр!I57</f>
        <v>0</v>
      </c>
      <c r="U57" s="30">
        <f>F57+апр!J57</f>
        <v>116.25</v>
      </c>
    </row>
    <row r="58" spans="1:21" ht="17.25" customHeight="1">
      <c r="A58" s="8"/>
      <c r="B58" s="12" t="s">
        <v>13</v>
      </c>
      <c r="C58" s="13" t="s">
        <v>49</v>
      </c>
      <c r="D58" s="14">
        <v>33</v>
      </c>
      <c r="E58" s="13"/>
      <c r="F58" s="8">
        <v>300</v>
      </c>
      <c r="G58" s="10">
        <f t="shared" si="3"/>
        <v>300</v>
      </c>
      <c r="H58" s="10">
        <f>D58+май!H58</f>
        <v>198</v>
      </c>
      <c r="I58" s="8"/>
      <c r="J58" s="10">
        <f>F58+май!J58</f>
        <v>300</v>
      </c>
      <c r="K58" s="10">
        <f t="shared" si="4"/>
        <v>300</v>
      </c>
      <c r="L58" s="16"/>
      <c r="M58" s="235"/>
      <c r="N58" s="236"/>
      <c r="O58" s="122">
        <f t="shared" si="0"/>
        <v>102</v>
      </c>
      <c r="P58" s="123">
        <f t="shared" si="1"/>
        <v>51.515151515151516</v>
      </c>
      <c r="Q58" s="115"/>
      <c r="S58">
        <f t="shared" si="2"/>
        <v>165</v>
      </c>
      <c r="T58" s="44">
        <f>E58+апр!I58</f>
        <v>0</v>
      </c>
      <c r="U58" s="30">
        <f>F58+апр!J58</f>
        <v>300</v>
      </c>
    </row>
    <row r="59" spans="1:21" ht="17.25" customHeight="1">
      <c r="A59" s="8"/>
      <c r="B59" s="12" t="s">
        <v>15</v>
      </c>
      <c r="C59" s="13" t="s">
        <v>16</v>
      </c>
      <c r="D59" s="16">
        <f>D57/D58*1000</f>
        <v>423.03030303030306</v>
      </c>
      <c r="E59" s="13"/>
      <c r="F59" s="16">
        <f t="shared" ref="F59" si="34">F57/F58*1000</f>
        <v>387.5</v>
      </c>
      <c r="G59" s="10">
        <f t="shared" si="3"/>
        <v>387.5</v>
      </c>
      <c r="H59" s="16">
        <f>H57/H58*1000</f>
        <v>423.03030303030317</v>
      </c>
      <c r="I59" s="8"/>
      <c r="J59" s="13"/>
      <c r="K59" s="10">
        <f t="shared" si="4"/>
        <v>0</v>
      </c>
      <c r="L59" s="16"/>
      <c r="M59" s="220"/>
      <c r="N59" s="221"/>
      <c r="O59" s="122">
        <f t="shared" si="0"/>
        <v>-423.03030303030317</v>
      </c>
      <c r="P59" s="123">
        <f t="shared" si="1"/>
        <v>-100</v>
      </c>
      <c r="Q59" s="114"/>
      <c r="S59">
        <f t="shared" si="2"/>
        <v>2115.1515151515155</v>
      </c>
      <c r="T59" s="44">
        <f>E59+апр!I59</f>
        <v>0</v>
      </c>
      <c r="U59" s="30">
        <f>F59+апр!J59</f>
        <v>387.5</v>
      </c>
    </row>
    <row r="60" spans="1:21" ht="17.25" customHeight="1">
      <c r="A60" s="8"/>
      <c r="B60" s="20" t="s">
        <v>58</v>
      </c>
      <c r="C60" s="8" t="s">
        <v>4</v>
      </c>
      <c r="D60" s="10">
        <v>28.585000000000001</v>
      </c>
      <c r="E60" s="8"/>
      <c r="F60" s="55">
        <v>165.75</v>
      </c>
      <c r="G60" s="10">
        <f t="shared" si="3"/>
        <v>165.75</v>
      </c>
      <c r="H60" s="10">
        <f>D60+май!H60</f>
        <v>171.51000000000002</v>
      </c>
      <c r="I60" s="8"/>
      <c r="J60" s="10">
        <f>F60+май!J60</f>
        <v>231.09399999999999</v>
      </c>
      <c r="K60" s="10">
        <f t="shared" si="4"/>
        <v>231.09399999999999</v>
      </c>
      <c r="L60" s="16"/>
      <c r="M60" s="233" t="s">
        <v>291</v>
      </c>
      <c r="N60" s="234"/>
      <c r="O60" s="122">
        <f t="shared" si="0"/>
        <v>59.583999999999975</v>
      </c>
      <c r="P60" s="123">
        <f t="shared" si="1"/>
        <v>34.740831438400079</v>
      </c>
      <c r="Q60" s="115"/>
      <c r="S60">
        <f t="shared" si="2"/>
        <v>142.92500000000001</v>
      </c>
      <c r="T60" s="44">
        <f>E60+апр!I60</f>
        <v>0</v>
      </c>
      <c r="U60" s="30">
        <f>F60+апр!J60</f>
        <v>223.125</v>
      </c>
    </row>
    <row r="61" spans="1:21" ht="17.25" customHeight="1">
      <c r="A61" s="8"/>
      <c r="B61" s="12" t="s">
        <v>13</v>
      </c>
      <c r="C61" s="13" t="s">
        <v>49</v>
      </c>
      <c r="D61" s="14">
        <v>70</v>
      </c>
      <c r="E61" s="13"/>
      <c r="F61" s="8">
        <v>312</v>
      </c>
      <c r="G61" s="10">
        <f t="shared" si="3"/>
        <v>312</v>
      </c>
      <c r="H61" s="10">
        <f>D61+май!H61</f>
        <v>420</v>
      </c>
      <c r="I61" s="8"/>
      <c r="J61" s="10">
        <f>F61+май!J61</f>
        <v>435</v>
      </c>
      <c r="K61" s="10">
        <f t="shared" si="4"/>
        <v>435</v>
      </c>
      <c r="L61" s="16"/>
      <c r="M61" s="235"/>
      <c r="N61" s="236"/>
      <c r="O61" s="122">
        <f t="shared" si="0"/>
        <v>15</v>
      </c>
      <c r="P61" s="123">
        <f t="shared" si="1"/>
        <v>3.5714285714285712</v>
      </c>
      <c r="Q61" s="115"/>
      <c r="S61">
        <f t="shared" si="2"/>
        <v>350</v>
      </c>
      <c r="T61" s="44">
        <f>E61+апр!I61</f>
        <v>0</v>
      </c>
      <c r="U61" s="30">
        <f>F61+апр!J61</f>
        <v>420</v>
      </c>
    </row>
    <row r="62" spans="1:21" ht="17.25" customHeight="1">
      <c r="A62" s="8"/>
      <c r="B62" s="12" t="s">
        <v>15</v>
      </c>
      <c r="C62" s="13" t="s">
        <v>16</v>
      </c>
      <c r="D62" s="16">
        <f>D60/D61*1000</f>
        <v>408.35714285714289</v>
      </c>
      <c r="E62" s="16"/>
      <c r="F62" s="16">
        <f t="shared" ref="F62" si="35">F60/F61*1000</f>
        <v>531.25</v>
      </c>
      <c r="G62" s="10">
        <f t="shared" si="3"/>
        <v>531.25</v>
      </c>
      <c r="H62" s="16">
        <f>H60/H61*1000</f>
        <v>408.35714285714295</v>
      </c>
      <c r="I62" s="16"/>
      <c r="J62" s="16">
        <f t="shared" ref="J62" si="36">J60/J61*1000</f>
        <v>531.2505747126437</v>
      </c>
      <c r="K62" s="10">
        <f t="shared" si="4"/>
        <v>531.2505747126437</v>
      </c>
      <c r="L62" s="16"/>
      <c r="M62" s="220"/>
      <c r="N62" s="221"/>
      <c r="O62" s="122">
        <f t="shared" si="0"/>
        <v>122.89343185550075</v>
      </c>
      <c r="P62" s="123">
        <f t="shared" si="1"/>
        <v>30.094595871558688</v>
      </c>
      <c r="Q62" s="114"/>
      <c r="S62">
        <f t="shared" si="2"/>
        <v>2041.7857142857144</v>
      </c>
      <c r="T62" s="44">
        <f>E62+апр!I62</f>
        <v>0</v>
      </c>
      <c r="U62" s="30">
        <f>F62+апр!J62</f>
        <v>1062.5</v>
      </c>
    </row>
    <row r="63" spans="1:21" ht="17.25" customHeight="1">
      <c r="A63" s="8"/>
      <c r="B63" s="20" t="s">
        <v>220</v>
      </c>
      <c r="C63" s="8" t="s">
        <v>4</v>
      </c>
      <c r="D63" s="10">
        <v>12.234</v>
      </c>
      <c r="E63" s="8"/>
      <c r="F63" s="54">
        <v>38.97</v>
      </c>
      <c r="G63" s="10">
        <f t="shared" si="3"/>
        <v>38.97</v>
      </c>
      <c r="H63" s="10">
        <f>D63+май!H63</f>
        <v>73.403999999999996</v>
      </c>
      <c r="I63" s="8"/>
      <c r="J63" s="10">
        <f>F63+май!J63</f>
        <v>47.629999999999995</v>
      </c>
      <c r="K63" s="10">
        <f t="shared" si="4"/>
        <v>47.629999999999995</v>
      </c>
      <c r="L63" s="16"/>
      <c r="M63" s="220"/>
      <c r="N63" s="221"/>
      <c r="O63" s="122">
        <f t="shared" si="0"/>
        <v>-25.774000000000001</v>
      </c>
      <c r="P63" s="123">
        <f t="shared" si="1"/>
        <v>-35.112527927633373</v>
      </c>
      <c r="Q63" s="114"/>
      <c r="S63">
        <f t="shared" si="2"/>
        <v>61.17</v>
      </c>
      <c r="T63" s="44">
        <f>E63+апр!I63</f>
        <v>0</v>
      </c>
      <c r="U63" s="30">
        <f>F63+апр!J63</f>
        <v>47.629999999999995</v>
      </c>
    </row>
    <row r="64" spans="1:21" ht="17.25" customHeight="1">
      <c r="A64" s="8"/>
      <c r="B64" s="12" t="s">
        <v>13</v>
      </c>
      <c r="C64" s="13" t="s">
        <v>49</v>
      </c>
      <c r="D64" s="14">
        <v>23</v>
      </c>
      <c r="E64" s="13"/>
      <c r="F64" s="8">
        <v>90</v>
      </c>
      <c r="G64" s="10">
        <f t="shared" si="3"/>
        <v>90</v>
      </c>
      <c r="H64" s="10">
        <f>D64+май!H64</f>
        <v>138</v>
      </c>
      <c r="I64" s="8"/>
      <c r="J64" s="10">
        <f>F64+май!J64</f>
        <v>110</v>
      </c>
      <c r="K64" s="10">
        <f t="shared" si="4"/>
        <v>110</v>
      </c>
      <c r="L64" s="16"/>
      <c r="M64" s="220"/>
      <c r="N64" s="221"/>
      <c r="O64" s="122">
        <f t="shared" si="0"/>
        <v>-28</v>
      </c>
      <c r="P64" s="123">
        <f t="shared" si="1"/>
        <v>-20.289855072463769</v>
      </c>
      <c r="Q64" s="114"/>
      <c r="S64">
        <f t="shared" si="2"/>
        <v>115</v>
      </c>
      <c r="T64" s="44">
        <f>E64+апр!I64</f>
        <v>0</v>
      </c>
      <c r="U64" s="30">
        <f>F64+апр!J64</f>
        <v>110</v>
      </c>
    </row>
    <row r="65" spans="1:21" ht="17.25" customHeight="1">
      <c r="A65" s="8"/>
      <c r="B65" s="12" t="s">
        <v>15</v>
      </c>
      <c r="C65" s="13" t="s">
        <v>16</v>
      </c>
      <c r="D65" s="16">
        <f>D63/D64*1000</f>
        <v>531.91304347826087</v>
      </c>
      <c r="E65" s="16"/>
      <c r="F65" s="16">
        <f t="shared" ref="F65" si="37">F63/F64*1000</f>
        <v>433</v>
      </c>
      <c r="G65" s="10">
        <f t="shared" si="3"/>
        <v>433</v>
      </c>
      <c r="H65" s="16">
        <f>H63/H64*1000</f>
        <v>531.91304347826087</v>
      </c>
      <c r="I65" s="16"/>
      <c r="J65" s="16">
        <f t="shared" ref="J65" si="38">J63/J64*1000</f>
        <v>432.99999999999994</v>
      </c>
      <c r="K65" s="10">
        <f t="shared" si="4"/>
        <v>432.99999999999994</v>
      </c>
      <c r="L65" s="16"/>
      <c r="M65" s="220"/>
      <c r="N65" s="221"/>
      <c r="O65" s="122">
        <f t="shared" si="0"/>
        <v>-98.913043478260931</v>
      </c>
      <c r="P65" s="123">
        <f t="shared" si="1"/>
        <v>-18.595716854667334</v>
      </c>
      <c r="Q65" s="114"/>
      <c r="S65">
        <f t="shared" si="2"/>
        <v>2659.5652173913045</v>
      </c>
      <c r="T65" s="44">
        <f>E65+апр!I65</f>
        <v>0</v>
      </c>
      <c r="U65" s="30">
        <f>F65+апр!J65</f>
        <v>866</v>
      </c>
    </row>
    <row r="66" spans="1:21" ht="17.25" customHeight="1">
      <c r="A66" s="8"/>
      <c r="B66" s="9" t="s">
        <v>59</v>
      </c>
      <c r="C66" s="8" t="s">
        <v>4</v>
      </c>
      <c r="D66" s="10">
        <v>2.8610000000000002</v>
      </c>
      <c r="E66" s="8"/>
      <c r="F66" s="8"/>
      <c r="G66" s="10">
        <f t="shared" si="3"/>
        <v>0</v>
      </c>
      <c r="H66" s="10">
        <f>D66+май!H66</f>
        <v>17.166</v>
      </c>
      <c r="I66" s="8"/>
      <c r="J66" s="10">
        <f>F66+май!J66</f>
        <v>0</v>
      </c>
      <c r="K66" s="10">
        <f t="shared" si="4"/>
        <v>0</v>
      </c>
      <c r="L66" s="16"/>
      <c r="M66" s="220"/>
      <c r="N66" s="221"/>
      <c r="O66" s="122">
        <f t="shared" si="0"/>
        <v>-17.166</v>
      </c>
      <c r="P66" s="123">
        <f t="shared" si="1"/>
        <v>-100</v>
      </c>
      <c r="Q66" s="114"/>
      <c r="S66">
        <f t="shared" si="2"/>
        <v>14.305000000000001</v>
      </c>
      <c r="T66" s="44">
        <f>E66+апр!I66</f>
        <v>0</v>
      </c>
      <c r="U66" s="30">
        <f>F66+апр!J66</f>
        <v>0</v>
      </c>
    </row>
    <row r="67" spans="1:21" ht="17.25" customHeight="1">
      <c r="A67" s="8"/>
      <c r="B67" s="12" t="s">
        <v>13</v>
      </c>
      <c r="C67" s="13" t="s">
        <v>49</v>
      </c>
      <c r="D67" s="14">
        <v>2</v>
      </c>
      <c r="E67" s="13"/>
      <c r="F67" s="8"/>
      <c r="G67" s="10">
        <f t="shared" si="3"/>
        <v>0</v>
      </c>
      <c r="H67" s="10">
        <f>D67+май!H67</f>
        <v>12</v>
      </c>
      <c r="I67" s="8"/>
      <c r="J67" s="10">
        <f>F67+май!J67</f>
        <v>0</v>
      </c>
      <c r="K67" s="10">
        <f t="shared" si="4"/>
        <v>0</v>
      </c>
      <c r="L67" s="16"/>
      <c r="M67" s="220"/>
      <c r="N67" s="221"/>
      <c r="O67" s="122">
        <f t="shared" si="0"/>
        <v>-12</v>
      </c>
      <c r="P67" s="123">
        <f t="shared" si="1"/>
        <v>-100</v>
      </c>
      <c r="Q67" s="114"/>
      <c r="S67">
        <f t="shared" si="2"/>
        <v>10</v>
      </c>
      <c r="T67" s="44">
        <f>E67+апр!I67</f>
        <v>0</v>
      </c>
      <c r="U67" s="30">
        <f>F67+апр!J67</f>
        <v>0</v>
      </c>
    </row>
    <row r="68" spans="1:21" ht="17.25" customHeight="1">
      <c r="A68" s="8"/>
      <c r="B68" s="12" t="s">
        <v>15</v>
      </c>
      <c r="C68" s="13" t="s">
        <v>16</v>
      </c>
      <c r="D68" s="16">
        <f>D66/D67*1000</f>
        <v>1430.5</v>
      </c>
      <c r="E68" s="13"/>
      <c r="F68" s="8"/>
      <c r="G68" s="10">
        <f t="shared" si="3"/>
        <v>0</v>
      </c>
      <c r="H68" s="16">
        <f>H66/H67*1000</f>
        <v>1430.5</v>
      </c>
      <c r="I68" s="16"/>
      <c r="J68" s="16" t="e">
        <f t="shared" ref="J68" si="39">J66/J67*1000</f>
        <v>#DIV/0!</v>
      </c>
      <c r="K68" s="10" t="e">
        <f t="shared" si="4"/>
        <v>#DIV/0!</v>
      </c>
      <c r="L68" s="16"/>
      <c r="M68" s="220"/>
      <c r="N68" s="221"/>
      <c r="O68" s="122" t="e">
        <f t="shared" si="0"/>
        <v>#DIV/0!</v>
      </c>
      <c r="P68" s="123" t="e">
        <f t="shared" si="1"/>
        <v>#DIV/0!</v>
      </c>
      <c r="Q68" s="114"/>
      <c r="S68">
        <f t="shared" si="2"/>
        <v>7152.5</v>
      </c>
      <c r="T68" s="44">
        <f>E68+апр!I68</f>
        <v>0</v>
      </c>
      <c r="U68" s="30" t="e">
        <f>F68+апр!J68</f>
        <v>#DIV/0!</v>
      </c>
    </row>
    <row r="69" spans="1:21" ht="17.25" customHeight="1">
      <c r="A69" s="8"/>
      <c r="B69" s="20" t="s">
        <v>60</v>
      </c>
      <c r="C69" s="8" t="s">
        <v>4</v>
      </c>
      <c r="D69" s="10">
        <v>10.007999999999999</v>
      </c>
      <c r="E69" s="8"/>
      <c r="F69" s="54">
        <v>12.4</v>
      </c>
      <c r="G69" s="10">
        <f t="shared" si="3"/>
        <v>12.4</v>
      </c>
      <c r="H69" s="10">
        <f>D69+май!H69</f>
        <v>60.047999999999988</v>
      </c>
      <c r="I69" s="8"/>
      <c r="J69" s="10">
        <f>F69+май!J69</f>
        <v>53.910000000000004</v>
      </c>
      <c r="K69" s="10">
        <f t="shared" si="4"/>
        <v>53.910000000000004</v>
      </c>
      <c r="L69" s="16"/>
      <c r="M69" s="233" t="s">
        <v>292</v>
      </c>
      <c r="N69" s="234"/>
      <c r="O69" s="122">
        <f t="shared" si="0"/>
        <v>-6.1379999999999839</v>
      </c>
      <c r="P69" s="123">
        <f t="shared" si="1"/>
        <v>-10.221822541966402</v>
      </c>
      <c r="Q69" s="115"/>
      <c r="S69">
        <f t="shared" si="2"/>
        <v>50.039999999999992</v>
      </c>
      <c r="T69" s="44">
        <f>E69+апр!I69</f>
        <v>0</v>
      </c>
      <c r="U69" s="30">
        <f>F69+апр!J69</f>
        <v>53.910000000000004</v>
      </c>
    </row>
    <row r="70" spans="1:21" ht="17.25" customHeight="1">
      <c r="A70" s="8"/>
      <c r="B70" s="12" t="s">
        <v>13</v>
      </c>
      <c r="C70" s="13" t="s">
        <v>61</v>
      </c>
      <c r="D70" s="14">
        <v>18</v>
      </c>
      <c r="E70" s="13"/>
      <c r="F70" s="8">
        <v>20</v>
      </c>
      <c r="G70" s="10">
        <f t="shared" si="3"/>
        <v>20</v>
      </c>
      <c r="H70" s="10">
        <f>D70+май!H70</f>
        <v>108</v>
      </c>
      <c r="I70" s="8"/>
      <c r="J70" s="10">
        <f>F70+май!J70</f>
        <v>86.075000000000003</v>
      </c>
      <c r="K70" s="10">
        <f t="shared" si="4"/>
        <v>86.075000000000003</v>
      </c>
      <c r="L70" s="16"/>
      <c r="M70" s="235"/>
      <c r="N70" s="236"/>
      <c r="O70" s="122">
        <f t="shared" si="0"/>
        <v>-21.924999999999997</v>
      </c>
      <c r="P70" s="123">
        <f t="shared" si="1"/>
        <v>-20.300925925925924</v>
      </c>
      <c r="Q70" s="115"/>
      <c r="S70">
        <f t="shared" si="2"/>
        <v>90</v>
      </c>
      <c r="T70" s="44">
        <f>E70+апр!I70</f>
        <v>0</v>
      </c>
      <c r="U70" s="30">
        <f>F70+апр!J70</f>
        <v>86.075000000000003</v>
      </c>
    </row>
    <row r="71" spans="1:21" ht="17.25" customHeight="1">
      <c r="A71" s="8"/>
      <c r="B71" s="12" t="s">
        <v>15</v>
      </c>
      <c r="C71" s="13" t="s">
        <v>16</v>
      </c>
      <c r="D71" s="16">
        <f>D69/D70*1000</f>
        <v>555.99999999999989</v>
      </c>
      <c r="E71" s="16"/>
      <c r="F71" s="16">
        <f t="shared" ref="F71" si="40">F69/F70*1000</f>
        <v>620</v>
      </c>
      <c r="G71" s="10">
        <f t="shared" si="3"/>
        <v>620</v>
      </c>
      <c r="H71" s="16">
        <f>H69/H70*1000</f>
        <v>555.99999999999989</v>
      </c>
      <c r="I71" s="16"/>
      <c r="J71" s="16">
        <f t="shared" ref="J71" si="41">J69/J70*1000</f>
        <v>626.31426081905317</v>
      </c>
      <c r="K71" s="10">
        <f t="shared" si="4"/>
        <v>626.31426081905317</v>
      </c>
      <c r="L71" s="16"/>
      <c r="M71" s="220"/>
      <c r="N71" s="221"/>
      <c r="O71" s="122">
        <f t="shared" si="0"/>
        <v>70.314260819053288</v>
      </c>
      <c r="P71" s="123">
        <f t="shared" si="1"/>
        <v>12.646449787599515</v>
      </c>
      <c r="Q71" s="114"/>
      <c r="S71">
        <f t="shared" si="2"/>
        <v>2779.9999999999995</v>
      </c>
      <c r="T71" s="44">
        <f>E71+апр!I71</f>
        <v>0</v>
      </c>
      <c r="U71" s="30">
        <f>F71+апр!J71</f>
        <v>1248.2255013242529</v>
      </c>
    </row>
    <row r="72" spans="1:21" ht="17.25" customHeight="1">
      <c r="A72" s="18" t="s">
        <v>62</v>
      </c>
      <c r="B72" s="20" t="s">
        <v>63</v>
      </c>
      <c r="C72" s="8" t="s">
        <v>4</v>
      </c>
      <c r="D72" s="10">
        <f>D73</f>
        <v>26517.671000000002</v>
      </c>
      <c r="E72" s="8">
        <v>24306.667000000001</v>
      </c>
      <c r="F72" s="10">
        <f>F73</f>
        <v>25962.123</v>
      </c>
      <c r="G72" s="10">
        <f t="shared" si="3"/>
        <v>1655.4559999999983</v>
      </c>
      <c r="H72" s="10">
        <f>H73</f>
        <v>159106.02600000001</v>
      </c>
      <c r="I72" s="8">
        <f>E72+май!I72</f>
        <v>145840.00200000001</v>
      </c>
      <c r="J72" s="10">
        <f>F72+май!J72</f>
        <v>165773.81399999998</v>
      </c>
      <c r="K72" s="10">
        <f t="shared" si="4"/>
        <v>19933.811999999976</v>
      </c>
      <c r="L72" s="16">
        <f t="shared" si="5"/>
        <v>13.668274634280364</v>
      </c>
      <c r="M72" s="220"/>
      <c r="N72" s="221"/>
      <c r="O72" s="122">
        <f t="shared" si="0"/>
        <v>6667.7879999999714</v>
      </c>
      <c r="P72" s="123">
        <f t="shared" si="1"/>
        <v>4.1907828179933118</v>
      </c>
      <c r="Q72" s="114"/>
      <c r="S72">
        <f t="shared" si="2"/>
        <v>132588.35500000001</v>
      </c>
      <c r="T72" s="44">
        <f>E72+апр!I72</f>
        <v>121533.33500000001</v>
      </c>
      <c r="U72" s="30">
        <f>F72+апр!J72</f>
        <v>132174.701</v>
      </c>
    </row>
    <row r="73" spans="1:21" ht="17.25" customHeight="1">
      <c r="A73" s="8"/>
      <c r="B73" s="28" t="s">
        <v>64</v>
      </c>
      <c r="C73" s="8" t="s">
        <v>4</v>
      </c>
      <c r="D73" s="10">
        <f>D75+D78+D81+D84</f>
        <v>26517.671000000002</v>
      </c>
      <c r="E73" s="10">
        <f t="shared" ref="E73:F73" si="42">E75+E78+E81+E84</f>
        <v>0</v>
      </c>
      <c r="F73" s="54">
        <f t="shared" si="42"/>
        <v>25962.123</v>
      </c>
      <c r="G73" s="10">
        <f t="shared" si="3"/>
        <v>25962.123</v>
      </c>
      <c r="H73" s="10">
        <f>H75+H78+H81+H84</f>
        <v>159106.02600000001</v>
      </c>
      <c r="I73" s="10">
        <f t="shared" ref="I73:J74" si="43">I75+I78+I81+I84</f>
        <v>0</v>
      </c>
      <c r="J73" s="10">
        <f t="shared" si="43"/>
        <v>138541.72100000002</v>
      </c>
      <c r="K73" s="10">
        <f t="shared" si="4"/>
        <v>138541.72100000002</v>
      </c>
      <c r="L73" s="16"/>
      <c r="M73" s="220"/>
      <c r="N73" s="221"/>
      <c r="O73" s="122">
        <f t="shared" ref="O73:O87" si="44">J73-H73</f>
        <v>-20564.304999999993</v>
      </c>
      <c r="P73" s="123">
        <f t="shared" ref="P73:P87" si="45">O73/H73*100</f>
        <v>-12.924906439433032</v>
      </c>
      <c r="Q73" s="114"/>
      <c r="S73">
        <f t="shared" ref="S73:S136" si="46">D73*5</f>
        <v>132588.35500000001</v>
      </c>
      <c r="T73" s="44">
        <f>E73+апр!I73</f>
        <v>0</v>
      </c>
      <c r="U73" s="30">
        <f>F73+апр!J73</f>
        <v>104942.60800000001</v>
      </c>
    </row>
    <row r="74" spans="1:21" ht="17.25" customHeight="1">
      <c r="A74" s="8"/>
      <c r="B74" s="28" t="s">
        <v>65</v>
      </c>
      <c r="C74" s="22" t="s">
        <v>66</v>
      </c>
      <c r="D74" s="14">
        <f t="shared" ref="D74:F74" si="47">D76+D79+D82+D85</f>
        <v>1280770</v>
      </c>
      <c r="E74" s="14">
        <f t="shared" si="47"/>
        <v>0</v>
      </c>
      <c r="F74" s="14">
        <f t="shared" si="47"/>
        <v>1257764.3500000001</v>
      </c>
      <c r="G74" s="14">
        <f t="shared" si="3"/>
        <v>1257764.3500000001</v>
      </c>
      <c r="H74" s="14">
        <f t="shared" ref="H74" si="48">H76+H79+H82+H85</f>
        <v>7684620</v>
      </c>
      <c r="I74" s="59"/>
      <c r="J74" s="14">
        <f t="shared" si="43"/>
        <v>6739353.54</v>
      </c>
      <c r="K74" s="10">
        <f t="shared" si="4"/>
        <v>6739353.54</v>
      </c>
      <c r="L74" s="16"/>
      <c r="M74" s="220"/>
      <c r="N74" s="221"/>
      <c r="O74" s="122">
        <f t="shared" si="44"/>
        <v>-945266.46</v>
      </c>
      <c r="P74" s="123">
        <f t="shared" si="45"/>
        <v>-12.300757356902487</v>
      </c>
      <c r="Q74" s="114"/>
      <c r="S74">
        <f t="shared" si="46"/>
        <v>6403850</v>
      </c>
      <c r="T74" s="44">
        <f>E74+апр!I74</f>
        <v>0</v>
      </c>
      <c r="U74" s="30">
        <f>F74+апр!J74</f>
        <v>5110870.54</v>
      </c>
    </row>
    <row r="75" spans="1:21" ht="36" customHeight="1">
      <c r="A75" s="8"/>
      <c r="B75" s="12" t="s">
        <v>67</v>
      </c>
      <c r="C75" s="8" t="s">
        <v>4</v>
      </c>
      <c r="D75" s="10">
        <v>1338.4829999999999</v>
      </c>
      <c r="E75" s="8"/>
      <c r="F75" s="55">
        <v>1668.5070000000001</v>
      </c>
      <c r="G75" s="10">
        <f t="shared" ref="G75:G140" si="49">F75-E75</f>
        <v>1668.5070000000001</v>
      </c>
      <c r="H75" s="10">
        <f>D75+май!H75</f>
        <v>8030.8980000000001</v>
      </c>
      <c r="I75" s="8"/>
      <c r="J75" s="10">
        <f>F75+май!J75</f>
        <v>10613.166999999999</v>
      </c>
      <c r="K75" s="10">
        <f t="shared" ref="K75:K141" si="50">J75-I75</f>
        <v>10613.166999999999</v>
      </c>
      <c r="L75" s="16"/>
      <c r="M75" s="220"/>
      <c r="N75" s="221"/>
      <c r="O75" s="122">
        <f t="shared" si="44"/>
        <v>2582.2689999999993</v>
      </c>
      <c r="P75" s="123">
        <f t="shared" si="45"/>
        <v>32.154175037461556</v>
      </c>
      <c r="Q75" s="114"/>
      <c r="S75">
        <f t="shared" si="46"/>
        <v>6692.415</v>
      </c>
      <c r="T75" s="44">
        <f>E75+апр!I75</f>
        <v>0</v>
      </c>
      <c r="U75" s="30">
        <f>F75+апр!J75</f>
        <v>8295.6810000000005</v>
      </c>
    </row>
    <row r="76" spans="1:21" ht="17.25" customHeight="1">
      <c r="A76" s="8"/>
      <c r="B76" s="12" t="s">
        <v>68</v>
      </c>
      <c r="C76" s="22" t="s">
        <v>66</v>
      </c>
      <c r="D76" s="14">
        <v>68465</v>
      </c>
      <c r="E76" s="22"/>
      <c r="F76" s="59">
        <v>84481.35</v>
      </c>
      <c r="G76" s="14">
        <f t="shared" si="49"/>
        <v>84481.35</v>
      </c>
      <c r="H76" s="10">
        <f>D76+май!H76</f>
        <v>410790</v>
      </c>
      <c r="I76" s="59"/>
      <c r="J76" s="10">
        <f>F76+май!J76</f>
        <v>547257.54</v>
      </c>
      <c r="K76" s="10">
        <f t="shared" si="50"/>
        <v>547257.54</v>
      </c>
      <c r="L76" s="16"/>
      <c r="M76" s="220"/>
      <c r="N76" s="221"/>
      <c r="O76" s="122">
        <f t="shared" si="44"/>
        <v>136467.54000000004</v>
      </c>
      <c r="P76" s="123">
        <f t="shared" si="45"/>
        <v>33.22075513035859</v>
      </c>
      <c r="Q76" s="114"/>
      <c r="S76">
        <f t="shared" si="46"/>
        <v>342325</v>
      </c>
      <c r="T76" s="44">
        <f>E76+апр!I76</f>
        <v>0</v>
      </c>
      <c r="U76" s="30">
        <f>F76+апр!J76</f>
        <v>429916.54000000004</v>
      </c>
    </row>
    <row r="77" spans="1:21" ht="17.25" customHeight="1">
      <c r="A77" s="8"/>
      <c r="B77" s="12" t="s">
        <v>15</v>
      </c>
      <c r="C77" s="13" t="s">
        <v>16</v>
      </c>
      <c r="D77" s="16">
        <f>D75/D76*1000</f>
        <v>19.54988680347623</v>
      </c>
      <c r="E77" s="16"/>
      <c r="F77" s="16">
        <f t="shared" ref="F77" si="51">F75/F76*1000</f>
        <v>19.750003994964569</v>
      </c>
      <c r="G77" s="10">
        <f t="shared" si="49"/>
        <v>19.750003994964569</v>
      </c>
      <c r="H77" s="16">
        <f>H75/H76*1000</f>
        <v>19.54988680347623</v>
      </c>
      <c r="I77" s="8"/>
      <c r="J77" s="13"/>
      <c r="K77" s="10">
        <f t="shared" si="50"/>
        <v>0</v>
      </c>
      <c r="L77" s="16"/>
      <c r="M77" s="220"/>
      <c r="N77" s="221"/>
      <c r="O77" s="122">
        <f t="shared" si="44"/>
        <v>-19.54988680347623</v>
      </c>
      <c r="P77" s="123">
        <f t="shared" si="45"/>
        <v>-100</v>
      </c>
      <c r="Q77" s="114"/>
      <c r="S77">
        <f t="shared" si="46"/>
        <v>97.749434017381148</v>
      </c>
      <c r="T77" s="44">
        <f>E77+апр!I77</f>
        <v>0</v>
      </c>
      <c r="U77" s="30">
        <f>F77+апр!J77</f>
        <v>19.750003994964569</v>
      </c>
    </row>
    <row r="78" spans="1:21" ht="55.5" customHeight="1">
      <c r="A78" s="8"/>
      <c r="B78" s="12" t="s">
        <v>69</v>
      </c>
      <c r="C78" s="8" t="s">
        <v>4</v>
      </c>
      <c r="D78" s="10">
        <v>1253.6469999999999</v>
      </c>
      <c r="E78" s="8"/>
      <c r="F78" s="54">
        <v>1097.211</v>
      </c>
      <c r="G78" s="10">
        <f t="shared" si="49"/>
        <v>1097.211</v>
      </c>
      <c r="H78" s="10">
        <f>D78+май!H78</f>
        <v>7521.8819999999996</v>
      </c>
      <c r="I78" s="8"/>
      <c r="J78" s="10">
        <f>F78+май!J78</f>
        <v>7359.6009999999997</v>
      </c>
      <c r="K78" s="10">
        <f t="shared" si="50"/>
        <v>7359.6009999999997</v>
      </c>
      <c r="L78" s="16"/>
      <c r="M78" s="220"/>
      <c r="N78" s="221"/>
      <c r="O78" s="122">
        <f t="shared" si="44"/>
        <v>-162.28099999999995</v>
      </c>
      <c r="P78" s="123">
        <f t="shared" si="45"/>
        <v>-2.1574520844650307</v>
      </c>
      <c r="Q78" s="114"/>
      <c r="S78">
        <f t="shared" si="46"/>
        <v>6268.2349999999997</v>
      </c>
      <c r="T78" s="44">
        <f>E78+апр!I78</f>
        <v>0</v>
      </c>
      <c r="U78" s="30">
        <f>F78+апр!J78</f>
        <v>6151.3949999999995</v>
      </c>
    </row>
    <row r="79" spans="1:21" ht="17.25" customHeight="1">
      <c r="A79" s="8"/>
      <c r="B79" s="12" t="s">
        <v>68</v>
      </c>
      <c r="C79" s="22" t="s">
        <v>66</v>
      </c>
      <c r="D79" s="14">
        <v>63799</v>
      </c>
      <c r="E79" s="22"/>
      <c r="F79" s="59">
        <v>55555</v>
      </c>
      <c r="G79" s="14">
        <f t="shared" si="49"/>
        <v>55555</v>
      </c>
      <c r="H79" s="10">
        <f>D79+май!H79</f>
        <v>382794</v>
      </c>
      <c r="I79" s="59"/>
      <c r="J79" s="10">
        <f>F79+май!J79</f>
        <v>372726</v>
      </c>
      <c r="K79" s="10">
        <f t="shared" si="50"/>
        <v>372726</v>
      </c>
      <c r="L79" s="16"/>
      <c r="M79" s="220"/>
      <c r="N79" s="221"/>
      <c r="O79" s="122">
        <f t="shared" si="44"/>
        <v>-10068</v>
      </c>
      <c r="P79" s="123">
        <f t="shared" si="45"/>
        <v>-2.6301352685778774</v>
      </c>
      <c r="Q79" s="114"/>
      <c r="S79">
        <f t="shared" si="46"/>
        <v>318995</v>
      </c>
      <c r="T79" s="44">
        <f>E79+апр!I79</f>
        <v>0</v>
      </c>
      <c r="U79" s="30">
        <f>F79+апр!J79</f>
        <v>311551</v>
      </c>
    </row>
    <row r="80" spans="1:21" ht="17.25" customHeight="1">
      <c r="A80" s="8"/>
      <c r="B80" s="12" t="s">
        <v>15</v>
      </c>
      <c r="C80" s="13" t="s">
        <v>16</v>
      </c>
      <c r="D80" s="16">
        <f>D78/D79*1000</f>
        <v>19.649947491339987</v>
      </c>
      <c r="E80" s="16"/>
      <c r="F80" s="16">
        <f t="shared" ref="F80" si="52">F78/F79*1000</f>
        <v>19.749995499955002</v>
      </c>
      <c r="G80" s="10">
        <f t="shared" si="49"/>
        <v>19.749995499955002</v>
      </c>
      <c r="H80" s="16">
        <f>H78/H79*1000</f>
        <v>19.649947491339987</v>
      </c>
      <c r="I80" s="8"/>
      <c r="J80" s="13"/>
      <c r="K80" s="10">
        <f t="shared" si="50"/>
        <v>0</v>
      </c>
      <c r="L80" s="16"/>
      <c r="M80" s="220"/>
      <c r="N80" s="221"/>
      <c r="O80" s="122">
        <f t="shared" si="44"/>
        <v>-19.649947491339987</v>
      </c>
      <c r="P80" s="123">
        <f t="shared" si="45"/>
        <v>-100</v>
      </c>
      <c r="Q80" s="114"/>
      <c r="S80">
        <f t="shared" si="46"/>
        <v>98.249737456699933</v>
      </c>
      <c r="T80" s="44">
        <f>E80+апр!I80</f>
        <v>0</v>
      </c>
      <c r="U80" s="30">
        <f>F80+апр!J80</f>
        <v>19.749995499955002</v>
      </c>
    </row>
    <row r="81" spans="1:21" ht="36" customHeight="1">
      <c r="A81" s="8"/>
      <c r="B81" s="12" t="s">
        <v>70</v>
      </c>
      <c r="C81" s="8" t="s">
        <v>4</v>
      </c>
      <c r="D81" s="10">
        <v>3651.203</v>
      </c>
      <c r="E81" s="8"/>
      <c r="F81" s="55">
        <v>3307.9870000000001</v>
      </c>
      <c r="G81" s="10">
        <f t="shared" si="49"/>
        <v>3307.9870000000001</v>
      </c>
      <c r="H81" s="10">
        <f>D81+май!H81</f>
        <v>21907.218000000001</v>
      </c>
      <c r="I81" s="8"/>
      <c r="J81" s="10">
        <f>F81+май!J81</f>
        <v>20594.61</v>
      </c>
      <c r="K81" s="10">
        <f t="shared" si="50"/>
        <v>20594.61</v>
      </c>
      <c r="L81" s="16"/>
      <c r="M81" s="220"/>
      <c r="N81" s="221"/>
      <c r="O81" s="122">
        <f t="shared" si="44"/>
        <v>-1312.6080000000002</v>
      </c>
      <c r="P81" s="123">
        <f t="shared" si="45"/>
        <v>-5.9916690471606211</v>
      </c>
      <c r="Q81" s="114"/>
      <c r="S81">
        <f t="shared" si="46"/>
        <v>18256.014999999999</v>
      </c>
      <c r="T81" s="44">
        <f>E81+апр!I81</f>
        <v>0</v>
      </c>
      <c r="U81" s="30">
        <f>F81+апр!J81</f>
        <v>16002.082999999999</v>
      </c>
    </row>
    <row r="82" spans="1:21" ht="17.25" customHeight="1">
      <c r="A82" s="8"/>
      <c r="B82" s="12" t="s">
        <v>68</v>
      </c>
      <c r="C82" s="22" t="s">
        <v>66</v>
      </c>
      <c r="D82" s="14">
        <v>185812</v>
      </c>
      <c r="E82" s="22"/>
      <c r="F82" s="59">
        <v>167493</v>
      </c>
      <c r="G82" s="14">
        <v>5230.0569999999998</v>
      </c>
      <c r="H82" s="10">
        <f>D82+май!H82</f>
        <v>1114872</v>
      </c>
      <c r="I82" s="59"/>
      <c r="J82" s="10">
        <f>F82+май!J82</f>
        <v>1042765</v>
      </c>
      <c r="K82" s="10">
        <f t="shared" si="50"/>
        <v>1042765</v>
      </c>
      <c r="L82" s="16"/>
      <c r="M82" s="220"/>
      <c r="N82" s="221"/>
      <c r="O82" s="122">
        <f t="shared" si="44"/>
        <v>-72107</v>
      </c>
      <c r="P82" s="123">
        <f t="shared" si="45"/>
        <v>-6.4677380004161913</v>
      </c>
      <c r="Q82" s="114"/>
      <c r="S82">
        <f t="shared" si="46"/>
        <v>929060</v>
      </c>
      <c r="T82" s="44">
        <f>E82+апр!I82</f>
        <v>0</v>
      </c>
      <c r="U82" s="30">
        <f>F82+апр!J82</f>
        <v>810232</v>
      </c>
    </row>
    <row r="83" spans="1:21" ht="17.25" customHeight="1">
      <c r="A83" s="8"/>
      <c r="B83" s="12" t="s">
        <v>15</v>
      </c>
      <c r="C83" s="13" t="s">
        <v>16</v>
      </c>
      <c r="D83" s="16">
        <f>D81/D82*1000</f>
        <v>19.64998493100553</v>
      </c>
      <c r="E83" s="16"/>
      <c r="F83" s="16">
        <f t="shared" ref="F83" si="53">F81/F82*1000</f>
        <v>19.75000149259969</v>
      </c>
      <c r="G83" s="10">
        <f t="shared" si="49"/>
        <v>19.75000149259969</v>
      </c>
      <c r="H83" s="16">
        <f>H81/H82*1000</f>
        <v>19.64998493100553</v>
      </c>
      <c r="I83" s="8"/>
      <c r="J83" s="13"/>
      <c r="K83" s="10">
        <f t="shared" si="50"/>
        <v>0</v>
      </c>
      <c r="L83" s="16"/>
      <c r="M83" s="220"/>
      <c r="N83" s="221"/>
      <c r="O83" s="122">
        <f t="shared" si="44"/>
        <v>-19.64998493100553</v>
      </c>
      <c r="P83" s="123">
        <f t="shared" si="45"/>
        <v>-100</v>
      </c>
      <c r="Q83" s="114"/>
      <c r="S83">
        <f t="shared" si="46"/>
        <v>98.249924655027655</v>
      </c>
      <c r="T83" s="44">
        <f>E83+апр!I83</f>
        <v>0</v>
      </c>
      <c r="U83" s="30">
        <f>F83+апр!J83</f>
        <v>19.75000149259969</v>
      </c>
    </row>
    <row r="84" spans="1:21" ht="17.25" customHeight="1">
      <c r="A84" s="8"/>
      <c r="B84" s="12" t="s">
        <v>71</v>
      </c>
      <c r="C84" s="8" t="s">
        <v>4</v>
      </c>
      <c r="D84" s="10">
        <v>20274.338</v>
      </c>
      <c r="E84" s="8"/>
      <c r="F84" s="55">
        <v>19888.418000000001</v>
      </c>
      <c r="G84" s="10">
        <f t="shared" si="49"/>
        <v>19888.418000000001</v>
      </c>
      <c r="H84" s="10">
        <f>D84+май!H84</f>
        <v>121646.02800000001</v>
      </c>
      <c r="I84" s="8"/>
      <c r="J84" s="10">
        <f>F84+май!J84</f>
        <v>99974.343000000008</v>
      </c>
      <c r="K84" s="10">
        <f t="shared" si="50"/>
        <v>99974.343000000008</v>
      </c>
      <c r="L84" s="16"/>
      <c r="M84" s="233" t="s">
        <v>297</v>
      </c>
      <c r="N84" s="234"/>
      <c r="O84" s="122">
        <f t="shared" si="44"/>
        <v>-21671.684999999998</v>
      </c>
      <c r="P84" s="123">
        <f t="shared" si="45"/>
        <v>-17.81536590738499</v>
      </c>
      <c r="Q84" s="115"/>
      <c r="S84">
        <f t="shared" si="46"/>
        <v>101371.69</v>
      </c>
      <c r="T84" s="44">
        <f>E84+апр!I84</f>
        <v>0</v>
      </c>
      <c r="U84" s="30">
        <f>F84+апр!J84</f>
        <v>74493.449000000008</v>
      </c>
    </row>
    <row r="85" spans="1:21" ht="26.25" customHeight="1">
      <c r="A85" s="8"/>
      <c r="B85" s="12" t="s">
        <v>68</v>
      </c>
      <c r="C85" s="22" t="s">
        <v>66</v>
      </c>
      <c r="D85" s="14">
        <v>962694</v>
      </c>
      <c r="E85" s="22"/>
      <c r="F85" s="59">
        <v>950235</v>
      </c>
      <c r="G85" s="14">
        <f t="shared" si="49"/>
        <v>950235</v>
      </c>
      <c r="H85" s="10">
        <f>D85+май!H85</f>
        <v>5776164</v>
      </c>
      <c r="I85" s="59"/>
      <c r="J85" s="10">
        <f>F85+май!J85</f>
        <v>4776605</v>
      </c>
      <c r="K85" s="10">
        <f t="shared" si="50"/>
        <v>4776605</v>
      </c>
      <c r="L85" s="16"/>
      <c r="M85" s="235"/>
      <c r="N85" s="236"/>
      <c r="O85" s="122">
        <f t="shared" si="44"/>
        <v>-999559</v>
      </c>
      <c r="P85" s="123">
        <f t="shared" si="45"/>
        <v>-17.304893005115506</v>
      </c>
      <c r="Q85" s="115"/>
      <c r="S85">
        <f t="shared" si="46"/>
        <v>4813470</v>
      </c>
      <c r="T85" s="44">
        <f>E85+апр!I85</f>
        <v>0</v>
      </c>
      <c r="U85" s="30">
        <f>F85+апр!J85</f>
        <v>3559171</v>
      </c>
    </row>
    <row r="86" spans="1:21" ht="17.25" customHeight="1">
      <c r="A86" s="8"/>
      <c r="B86" s="12" t="s">
        <v>15</v>
      </c>
      <c r="C86" s="13" t="s">
        <v>16</v>
      </c>
      <c r="D86" s="16">
        <f>D84/D85*1000</f>
        <v>21.06000245145394</v>
      </c>
      <c r="E86" s="16"/>
      <c r="F86" s="16">
        <f t="shared" ref="F86" si="54">F84/F85*1000</f>
        <v>20.929999421195813</v>
      </c>
      <c r="G86" s="10">
        <f t="shared" si="49"/>
        <v>20.929999421195813</v>
      </c>
      <c r="H86" s="16">
        <f>H84/H85*1000</f>
        <v>21.06000245145394</v>
      </c>
      <c r="I86" s="8"/>
      <c r="J86" s="13"/>
      <c r="K86" s="10">
        <f t="shared" si="50"/>
        <v>0</v>
      </c>
      <c r="L86" s="16"/>
      <c r="M86" s="220"/>
      <c r="N86" s="221"/>
      <c r="O86" s="122">
        <f t="shared" si="44"/>
        <v>-21.06000245145394</v>
      </c>
      <c r="P86" s="123">
        <f t="shared" si="45"/>
        <v>-100</v>
      </c>
      <c r="Q86" s="114"/>
      <c r="S86">
        <f t="shared" si="46"/>
        <v>105.3000122572697</v>
      </c>
      <c r="T86" s="44">
        <f>E86+апр!I86</f>
        <v>0</v>
      </c>
      <c r="U86" s="30">
        <f>F86+апр!J86</f>
        <v>20.929999421195813</v>
      </c>
    </row>
    <row r="87" spans="1:21" ht="17.25" customHeight="1">
      <c r="A87" s="99" t="s">
        <v>72</v>
      </c>
      <c r="B87" s="6" t="s">
        <v>73</v>
      </c>
      <c r="C87" s="99" t="s">
        <v>4</v>
      </c>
      <c r="D87" s="7">
        <f>D88+D89+D90</f>
        <v>22015.745000000003</v>
      </c>
      <c r="E87" s="21">
        <f>E88+E89+E90+E91</f>
        <v>20888.748999999996</v>
      </c>
      <c r="F87" s="7">
        <f>F88+F89+F90+F91+F92</f>
        <v>22737.886000000002</v>
      </c>
      <c r="G87" s="16">
        <f t="shared" si="49"/>
        <v>1849.1370000000061</v>
      </c>
      <c r="H87" s="7">
        <f>H88+H89+H90</f>
        <v>132094.47</v>
      </c>
      <c r="I87" s="7">
        <f>I88+I89+I90+I91</f>
        <v>125332.49399999998</v>
      </c>
      <c r="J87" s="7">
        <f>J88+J89+J90+J91+J92</f>
        <v>123158.50599999999</v>
      </c>
      <c r="K87" s="10">
        <f t="shared" si="50"/>
        <v>-2173.987999999983</v>
      </c>
      <c r="L87" s="16">
        <f t="shared" ref="L87:L153" si="55">K87/I87*100</f>
        <v>-1.7345765097437409</v>
      </c>
      <c r="M87" s="220"/>
      <c r="N87" s="221"/>
      <c r="O87" s="122">
        <f t="shared" si="44"/>
        <v>-8935.9640000000072</v>
      </c>
      <c r="P87" s="123">
        <f t="shared" si="45"/>
        <v>-6.7648282324006503</v>
      </c>
      <c r="Q87" s="114"/>
      <c r="R87" s="30">
        <f>F88+март!J88+F92+F98+март!J92+март!J98</f>
        <v>79282.257000000012</v>
      </c>
      <c r="S87">
        <f t="shared" si="46"/>
        <v>110078.72500000001</v>
      </c>
      <c r="T87" s="44">
        <f>E87+апр!I87</f>
        <v>104443.74499999998</v>
      </c>
      <c r="U87" s="30">
        <f>F87+апр!J87</f>
        <v>103315.567</v>
      </c>
    </row>
    <row r="88" spans="1:21" ht="17.25" customHeight="1">
      <c r="A88" s="8" t="s">
        <v>74</v>
      </c>
      <c r="B88" s="9" t="s">
        <v>75</v>
      </c>
      <c r="C88" s="8" t="s">
        <v>4</v>
      </c>
      <c r="D88" s="10">
        <v>20032.525000000001</v>
      </c>
      <c r="E88" s="8">
        <v>18751.082999999999</v>
      </c>
      <c r="F88" s="54">
        <f>21688.284-F92-F98</f>
        <v>21126.659</v>
      </c>
      <c r="G88" s="16">
        <f t="shared" si="49"/>
        <v>2375.5760000000009</v>
      </c>
      <c r="H88" s="10">
        <f>D88+май!H88</f>
        <v>120195.15</v>
      </c>
      <c r="I88" s="8">
        <f>E88+май!I88</f>
        <v>112506.49799999999</v>
      </c>
      <c r="J88" s="10">
        <f>F88+май!J88</f>
        <v>111581.75899999999</v>
      </c>
      <c r="K88" s="10">
        <f t="shared" si="50"/>
        <v>-924.7390000000014</v>
      </c>
      <c r="L88" s="16">
        <f>K88/I88*100</f>
        <v>-0.82194274680916779</v>
      </c>
      <c r="M88" s="227"/>
      <c r="N88" s="228"/>
      <c r="O88" s="122">
        <f>J88-H88</f>
        <v>-8613.3910000000033</v>
      </c>
      <c r="P88" s="123">
        <f>O88/H88*100</f>
        <v>-7.1661718463681803</v>
      </c>
      <c r="Q88" s="116"/>
      <c r="R88" s="30">
        <f>J88+J92+J98</f>
        <v>115780.18399999999</v>
      </c>
      <c r="S88">
        <f t="shared" si="46"/>
        <v>100162.625</v>
      </c>
      <c r="T88" s="44">
        <f>E88+апр!I88</f>
        <v>93755.414999999994</v>
      </c>
      <c r="U88" s="30">
        <f>F88+апр!J88</f>
        <v>93701.531999999992</v>
      </c>
    </row>
    <row r="89" spans="1:21" ht="17.25" customHeight="1">
      <c r="A89" s="8" t="s">
        <v>76</v>
      </c>
      <c r="B89" s="9" t="s">
        <v>77</v>
      </c>
      <c r="C89" s="8" t="s">
        <v>4</v>
      </c>
      <c r="D89" s="10">
        <v>1101.788</v>
      </c>
      <c r="E89" s="8">
        <v>1012.583</v>
      </c>
      <c r="F89" s="54">
        <v>875.37599999999998</v>
      </c>
      <c r="G89" s="10">
        <f t="shared" si="49"/>
        <v>-137.20699999999999</v>
      </c>
      <c r="H89" s="10">
        <f>D89+май!H89</f>
        <v>6610.728000000001</v>
      </c>
      <c r="I89" s="8">
        <f>E89+май!I89</f>
        <v>6075.4979999999996</v>
      </c>
      <c r="J89" s="10">
        <f>F89+май!J89</f>
        <v>5967.5439999999999</v>
      </c>
      <c r="K89" s="10">
        <f t="shared" si="50"/>
        <v>-107.95399999999972</v>
      </c>
      <c r="L89" s="16">
        <f t="shared" si="55"/>
        <v>-1.7768749162620039</v>
      </c>
      <c r="M89" s="227"/>
      <c r="N89" s="228"/>
      <c r="O89" s="122">
        <f t="shared" ref="O89:O146" si="56">J89-H89</f>
        <v>-643.18400000000111</v>
      </c>
      <c r="P89" s="123">
        <f t="shared" ref="P89:P146" si="57">O89/H89*100</f>
        <v>-9.7293974279383608</v>
      </c>
      <c r="Q89" s="116"/>
      <c r="S89">
        <f t="shared" si="46"/>
        <v>5508.9400000000005</v>
      </c>
      <c r="T89" s="44">
        <f>E89+апр!I89</f>
        <v>5062.915</v>
      </c>
      <c r="U89" s="30">
        <f>F89+апр!J89</f>
        <v>4956.5739999999996</v>
      </c>
    </row>
    <row r="90" spans="1:21" ht="17.25" customHeight="1">
      <c r="A90" s="8" t="s">
        <v>308</v>
      </c>
      <c r="B90" s="9" t="s">
        <v>307</v>
      </c>
      <c r="C90" s="8" t="s">
        <v>4</v>
      </c>
      <c r="D90" s="10">
        <v>881.43200000000002</v>
      </c>
      <c r="E90" s="8">
        <v>843.83299999999997</v>
      </c>
      <c r="F90" s="55">
        <v>481.01600000000002</v>
      </c>
      <c r="G90" s="10">
        <f t="shared" si="49"/>
        <v>-362.81699999999995</v>
      </c>
      <c r="H90" s="10">
        <f>D90+май!H90</f>
        <v>5288.5919999999996</v>
      </c>
      <c r="I90" s="8">
        <f>E90+май!I90</f>
        <v>5062.9979999999996</v>
      </c>
      <c r="J90" s="10">
        <f>F90+май!J90</f>
        <v>3259.1330000000003</v>
      </c>
      <c r="K90" s="10">
        <f t="shared" si="50"/>
        <v>-1803.8649999999993</v>
      </c>
      <c r="L90" s="16">
        <f t="shared" si="55"/>
        <v>-35.628396456012808</v>
      </c>
      <c r="M90" s="101"/>
      <c r="N90" s="102"/>
      <c r="O90" s="122">
        <f t="shared" si="56"/>
        <v>-2029.4589999999994</v>
      </c>
      <c r="P90" s="123">
        <f t="shared" si="57"/>
        <v>-38.374278068718468</v>
      </c>
      <c r="Q90" s="116"/>
      <c r="S90">
        <f t="shared" si="46"/>
        <v>4407.16</v>
      </c>
      <c r="T90" s="44">
        <f>E90+апр!I90</f>
        <v>4219.165</v>
      </c>
      <c r="U90" s="30">
        <f>F90+апр!J90</f>
        <v>2712.9680000000003</v>
      </c>
    </row>
    <row r="91" spans="1:21" ht="17.25" customHeight="1">
      <c r="A91" s="8" t="s">
        <v>309</v>
      </c>
      <c r="B91" s="9" t="s">
        <v>310</v>
      </c>
      <c r="C91" s="8" t="s">
        <v>4</v>
      </c>
      <c r="D91" s="10"/>
      <c r="E91" s="8">
        <v>281.25</v>
      </c>
      <c r="F91" s="55">
        <v>227.721</v>
      </c>
      <c r="G91" s="10">
        <f t="shared" si="49"/>
        <v>-53.528999999999996</v>
      </c>
      <c r="H91" s="10">
        <f>D91+май!H91</f>
        <v>0</v>
      </c>
      <c r="I91" s="8">
        <f>E91+май!I91</f>
        <v>1687.5</v>
      </c>
      <c r="J91" s="10">
        <f>F91+май!J91</f>
        <v>1544.739</v>
      </c>
      <c r="K91" s="10">
        <f t="shared" si="50"/>
        <v>-142.76099999999997</v>
      </c>
      <c r="L91" s="16">
        <f t="shared" si="55"/>
        <v>-8.4599111111111096</v>
      </c>
      <c r="M91" s="101"/>
      <c r="N91" s="102"/>
      <c r="O91" s="122">
        <f t="shared" si="56"/>
        <v>1544.739</v>
      </c>
      <c r="P91" s="123" t="e">
        <f t="shared" si="57"/>
        <v>#DIV/0!</v>
      </c>
      <c r="Q91" s="116"/>
      <c r="S91">
        <f t="shared" si="46"/>
        <v>0</v>
      </c>
      <c r="T91" s="44">
        <f>E91+апр!I91</f>
        <v>1406.25</v>
      </c>
      <c r="U91" s="30">
        <f>F91+апр!J91</f>
        <v>1286.4670000000001</v>
      </c>
    </row>
    <row r="92" spans="1:21" ht="17.25" customHeight="1">
      <c r="A92" s="8"/>
      <c r="B92" s="9" t="s">
        <v>316</v>
      </c>
      <c r="C92" s="8" t="s">
        <v>4</v>
      </c>
      <c r="D92" s="10"/>
      <c r="E92" s="8"/>
      <c r="F92" s="54">
        <v>27.114000000000001</v>
      </c>
      <c r="G92" s="10"/>
      <c r="H92" s="10">
        <f>D92+май!H92</f>
        <v>0</v>
      </c>
      <c r="I92" s="8">
        <f>E92+май!I92</f>
        <v>0</v>
      </c>
      <c r="J92" s="10">
        <f>F92+май!J92</f>
        <v>805.3309999999999</v>
      </c>
      <c r="K92" s="10"/>
      <c r="L92" s="16"/>
      <c r="M92" s="101"/>
      <c r="N92" s="102"/>
      <c r="O92" s="122">
        <f t="shared" si="56"/>
        <v>805.3309999999999</v>
      </c>
      <c r="P92" s="123" t="e">
        <f t="shared" si="57"/>
        <v>#DIV/0!</v>
      </c>
      <c r="Q92" s="116"/>
      <c r="S92">
        <f t="shared" si="46"/>
        <v>0</v>
      </c>
      <c r="T92" s="44">
        <f>E92+апр!I92</f>
        <v>0</v>
      </c>
      <c r="U92" s="30">
        <f>F92+апр!J92</f>
        <v>658.02599999999995</v>
      </c>
    </row>
    <row r="93" spans="1:21" ht="17.25" customHeight="1">
      <c r="A93" s="99" t="s">
        <v>78</v>
      </c>
      <c r="B93" s="6" t="s">
        <v>79</v>
      </c>
      <c r="C93" s="99" t="s">
        <v>4</v>
      </c>
      <c r="D93" s="7">
        <f>D94</f>
        <v>12258.85</v>
      </c>
      <c r="E93" s="21">
        <f>E94</f>
        <v>12219.75</v>
      </c>
      <c r="F93" s="7">
        <f>F94</f>
        <v>15429.656000000001</v>
      </c>
      <c r="G93" s="10">
        <f t="shared" si="49"/>
        <v>3209.9060000000009</v>
      </c>
      <c r="H93" s="7">
        <f>H94</f>
        <v>73553.100000000006</v>
      </c>
      <c r="I93" s="21">
        <f>I94</f>
        <v>73318.5</v>
      </c>
      <c r="J93" s="7">
        <f>J94</f>
        <v>73451.667000000001</v>
      </c>
      <c r="K93" s="10">
        <f t="shared" si="50"/>
        <v>133.16700000000128</v>
      </c>
      <c r="L93" s="16">
        <f t="shared" si="55"/>
        <v>0.18162810204791599</v>
      </c>
      <c r="M93" s="220"/>
      <c r="N93" s="221"/>
      <c r="O93" s="122">
        <f t="shared" si="56"/>
        <v>-101.43300000000454</v>
      </c>
      <c r="P93" s="123">
        <f t="shared" si="57"/>
        <v>-0.13790445270152385</v>
      </c>
      <c r="Q93" s="114"/>
      <c r="S93">
        <f t="shared" si="46"/>
        <v>61294.25</v>
      </c>
      <c r="T93" s="44">
        <f>E93+апр!I93</f>
        <v>61098.75</v>
      </c>
      <c r="U93" s="30">
        <f>F93+апр!J93</f>
        <v>59803.343999999997</v>
      </c>
    </row>
    <row r="94" spans="1:21" ht="17.25" customHeight="1">
      <c r="A94" s="23" t="s">
        <v>80</v>
      </c>
      <c r="B94" s="9" t="s">
        <v>81</v>
      </c>
      <c r="C94" s="8" t="s">
        <v>4</v>
      </c>
      <c r="D94" s="10">
        <v>12258.85</v>
      </c>
      <c r="E94" s="8">
        <v>12219.75</v>
      </c>
      <c r="F94" s="55">
        <v>15429.656000000001</v>
      </c>
      <c r="G94" s="10">
        <f t="shared" si="49"/>
        <v>3209.9060000000009</v>
      </c>
      <c r="H94" s="10">
        <f>D94+май!H94</f>
        <v>73553.100000000006</v>
      </c>
      <c r="I94" s="8">
        <f>E94+май!I94</f>
        <v>73318.5</v>
      </c>
      <c r="J94" s="10">
        <f>F94+май!J94</f>
        <v>73451.667000000001</v>
      </c>
      <c r="K94" s="10">
        <f t="shared" si="50"/>
        <v>133.16700000000128</v>
      </c>
      <c r="L94" s="16">
        <f t="shared" si="55"/>
        <v>0.18162810204791599</v>
      </c>
      <c r="M94" s="220"/>
      <c r="N94" s="221"/>
      <c r="O94" s="122">
        <f t="shared" si="56"/>
        <v>-101.43300000000454</v>
      </c>
      <c r="P94" s="123">
        <f t="shared" si="57"/>
        <v>-0.13790445270152385</v>
      </c>
      <c r="Q94" s="114"/>
      <c r="S94">
        <f t="shared" si="46"/>
        <v>61294.25</v>
      </c>
      <c r="T94" s="44">
        <f>E94+апр!I94</f>
        <v>61098.75</v>
      </c>
      <c r="U94" s="30">
        <f>F94+апр!J94</f>
        <v>59803.343999999997</v>
      </c>
    </row>
    <row r="95" spans="1:21" ht="17.25" customHeight="1">
      <c r="A95" s="99" t="s">
        <v>82</v>
      </c>
      <c r="B95" s="6" t="s">
        <v>83</v>
      </c>
      <c r="C95" s="99" t="s">
        <v>4</v>
      </c>
      <c r="D95" s="7">
        <f t="shared" ref="D95:J95" si="58">D96</f>
        <v>588.22500000000002</v>
      </c>
      <c r="E95" s="7">
        <f t="shared" si="58"/>
        <v>291.66699999999997</v>
      </c>
      <c r="F95" s="7">
        <f>F96</f>
        <v>41.853000000000002</v>
      </c>
      <c r="G95" s="10">
        <f t="shared" si="49"/>
        <v>-249.81399999999996</v>
      </c>
      <c r="H95" s="7">
        <f t="shared" si="58"/>
        <v>3529.35</v>
      </c>
      <c r="I95" s="7">
        <f t="shared" si="58"/>
        <v>1750.0019999999997</v>
      </c>
      <c r="J95" s="7">
        <f t="shared" si="58"/>
        <v>57.022000000000006</v>
      </c>
      <c r="K95" s="10">
        <f t="shared" si="50"/>
        <v>-1692.9799999999998</v>
      </c>
      <c r="L95" s="16">
        <f t="shared" si="55"/>
        <v>-96.741603723881468</v>
      </c>
      <c r="M95" s="220"/>
      <c r="N95" s="221"/>
      <c r="O95" s="122">
        <f t="shared" si="56"/>
        <v>-3472.328</v>
      </c>
      <c r="P95" s="123">
        <f t="shared" si="57"/>
        <v>-98.384348392763542</v>
      </c>
      <c r="Q95" s="114"/>
      <c r="S95">
        <f t="shared" si="46"/>
        <v>2941.125</v>
      </c>
      <c r="T95" s="44">
        <f>E95+апр!I95</f>
        <v>1458.3349999999998</v>
      </c>
      <c r="U95" s="30">
        <f>F95+апр!J95</f>
        <v>42.622</v>
      </c>
    </row>
    <row r="96" spans="1:21" ht="54" customHeight="1">
      <c r="A96" s="8" t="s">
        <v>84</v>
      </c>
      <c r="B96" s="9" t="s">
        <v>85</v>
      </c>
      <c r="C96" s="8" t="s">
        <v>4</v>
      </c>
      <c r="D96" s="10">
        <v>588.22500000000002</v>
      </c>
      <c r="E96" s="8">
        <v>291.66699999999997</v>
      </c>
      <c r="F96" s="55">
        <v>41.853000000000002</v>
      </c>
      <c r="G96" s="10">
        <f t="shared" si="49"/>
        <v>-249.81399999999996</v>
      </c>
      <c r="H96" s="10">
        <f>D96+май!H96</f>
        <v>3529.35</v>
      </c>
      <c r="I96" s="8">
        <f>E96+май!I96</f>
        <v>1750.0019999999997</v>
      </c>
      <c r="J96" s="10">
        <f>F96+май!J96</f>
        <v>57.022000000000006</v>
      </c>
      <c r="K96" s="10">
        <f t="shared" si="50"/>
        <v>-1692.9799999999998</v>
      </c>
      <c r="L96" s="16">
        <f t="shared" si="55"/>
        <v>-96.741603723881468</v>
      </c>
      <c r="M96" s="227" t="s">
        <v>299</v>
      </c>
      <c r="N96" s="228"/>
      <c r="O96" s="122">
        <f t="shared" si="56"/>
        <v>-3472.328</v>
      </c>
      <c r="P96" s="123">
        <f t="shared" si="57"/>
        <v>-98.384348392763542</v>
      </c>
      <c r="Q96" s="116"/>
      <c r="S96">
        <f t="shared" si="46"/>
        <v>2941.125</v>
      </c>
      <c r="T96" s="44">
        <f>E96+апр!I96</f>
        <v>1458.3349999999998</v>
      </c>
      <c r="U96" s="30">
        <f>F96+апр!J96</f>
        <v>42.622</v>
      </c>
    </row>
    <row r="97" spans="1:21" ht="17.25" customHeight="1">
      <c r="A97" s="99" t="s">
        <v>86</v>
      </c>
      <c r="B97" s="6" t="s">
        <v>87</v>
      </c>
      <c r="C97" s="99" t="s">
        <v>4</v>
      </c>
      <c r="D97" s="7">
        <f t="shared" ref="D97" si="59">D98+D99+D103+D104+D109+D110</f>
        <v>2575.1889999999999</v>
      </c>
      <c r="E97" s="7">
        <f>E98+E99+E103+E104+E109+E110</f>
        <v>2562.3330000000001</v>
      </c>
      <c r="F97" s="7">
        <f>F98+F99+F103+F104+F109+F110</f>
        <v>3348.5334999999995</v>
      </c>
      <c r="G97" s="10">
        <f t="shared" si="49"/>
        <v>786.20049999999947</v>
      </c>
      <c r="H97" s="7">
        <f t="shared" ref="H97" si="60">H98+H99+H103+H104+H109+H110</f>
        <v>15451.134</v>
      </c>
      <c r="I97" s="7">
        <f>I98+I99+I103+I104+I109+I110</f>
        <v>15372.665000000001</v>
      </c>
      <c r="J97" s="7">
        <f>J98+J99+J103+J104+J109+J110</f>
        <v>15902.340499999998</v>
      </c>
      <c r="K97" s="10">
        <f t="shared" si="50"/>
        <v>529.67549999999756</v>
      </c>
      <c r="L97" s="16">
        <f t="shared" si="55"/>
        <v>3.4455671804465751</v>
      </c>
      <c r="M97" s="220"/>
      <c r="N97" s="221"/>
      <c r="O97" s="122">
        <f t="shared" si="56"/>
        <v>451.20649999999841</v>
      </c>
      <c r="P97" s="123">
        <f t="shared" si="57"/>
        <v>2.9202160825218293</v>
      </c>
      <c r="Q97" s="114"/>
      <c r="S97">
        <f t="shared" si="46"/>
        <v>12875.945</v>
      </c>
      <c r="T97" s="44">
        <f>E97+апр!I97</f>
        <v>12811.665000000001</v>
      </c>
      <c r="U97" s="30">
        <f>F97+апр!J97</f>
        <v>13240.825999999999</v>
      </c>
    </row>
    <row r="98" spans="1:21" ht="17.25" customHeight="1">
      <c r="A98" s="8" t="s">
        <v>88</v>
      </c>
      <c r="B98" s="9" t="s">
        <v>89</v>
      </c>
      <c r="C98" s="8" t="s">
        <v>4</v>
      </c>
      <c r="D98" s="10">
        <v>626.41700000000003</v>
      </c>
      <c r="E98" s="8">
        <v>543.08299999999997</v>
      </c>
      <c r="F98" s="54">
        <v>534.51099999999997</v>
      </c>
      <c r="G98" s="10">
        <f t="shared" si="49"/>
        <v>-8.5720000000000027</v>
      </c>
      <c r="H98" s="10">
        <f>D98+май!H98</f>
        <v>3758.502</v>
      </c>
      <c r="I98" s="8">
        <f>E98+май!I98</f>
        <v>3258.498</v>
      </c>
      <c r="J98" s="10">
        <f>F98+май!J98</f>
        <v>3393.0940000000001</v>
      </c>
      <c r="K98" s="10">
        <f t="shared" si="50"/>
        <v>134.596</v>
      </c>
      <c r="L98" s="16">
        <f t="shared" si="55"/>
        <v>4.1306147801839987</v>
      </c>
      <c r="M98" s="227" t="s">
        <v>298</v>
      </c>
      <c r="N98" s="228"/>
      <c r="O98" s="122">
        <f t="shared" si="56"/>
        <v>-365.4079999999999</v>
      </c>
      <c r="P98" s="123">
        <f t="shared" si="57"/>
        <v>-9.7221712267280935</v>
      </c>
      <c r="Q98" s="116"/>
      <c r="S98">
        <f t="shared" si="46"/>
        <v>3132.085</v>
      </c>
      <c r="T98" s="44">
        <f>E98+апр!I98</f>
        <v>2715.415</v>
      </c>
      <c r="U98" s="30">
        <f>F98+апр!J98</f>
        <v>2824.913</v>
      </c>
    </row>
    <row r="99" spans="1:21" ht="53.25" customHeight="1">
      <c r="A99" s="8" t="s">
        <v>90</v>
      </c>
      <c r="B99" s="20" t="s">
        <v>242</v>
      </c>
      <c r="C99" s="8" t="s">
        <v>4</v>
      </c>
      <c r="D99" s="10">
        <f t="shared" ref="D99:F99" si="61">D100+D101+D102</f>
        <v>107.703</v>
      </c>
      <c r="E99" s="8">
        <v>107.667</v>
      </c>
      <c r="F99" s="10">
        <f t="shared" si="61"/>
        <v>0</v>
      </c>
      <c r="G99" s="10">
        <f t="shared" si="49"/>
        <v>-107.667</v>
      </c>
      <c r="H99" s="10">
        <f t="shared" ref="H99" si="62">H100+H101+H102</f>
        <v>646.21800000000007</v>
      </c>
      <c r="I99" s="8">
        <f>E99+май!I99</f>
        <v>646.00200000000007</v>
      </c>
      <c r="J99" s="10">
        <f t="shared" ref="J99" si="63">J100+J101+J102</f>
        <v>0</v>
      </c>
      <c r="K99" s="10">
        <f t="shared" si="50"/>
        <v>-646.00200000000007</v>
      </c>
      <c r="L99" s="16">
        <f t="shared" si="55"/>
        <v>-100</v>
      </c>
      <c r="M99" s="220"/>
      <c r="N99" s="221"/>
      <c r="O99" s="122">
        <f t="shared" si="56"/>
        <v>-646.21800000000007</v>
      </c>
      <c r="P99" s="123">
        <f t="shared" si="57"/>
        <v>-100</v>
      </c>
      <c r="Q99" s="114"/>
      <c r="S99">
        <f t="shared" si="46"/>
        <v>538.51499999999999</v>
      </c>
      <c r="T99" s="44">
        <f>E99+апр!I99</f>
        <v>538.33500000000004</v>
      </c>
      <c r="U99" s="30">
        <f>F99+апр!J99</f>
        <v>0</v>
      </c>
    </row>
    <row r="100" spans="1:21" ht="17.25" customHeight="1">
      <c r="A100" s="8" t="s">
        <v>91</v>
      </c>
      <c r="B100" s="20" t="s">
        <v>92</v>
      </c>
      <c r="C100" s="8" t="s">
        <v>4</v>
      </c>
      <c r="D100" s="10">
        <v>45.448999999999998</v>
      </c>
      <c r="E100" s="8"/>
      <c r="F100" s="55"/>
      <c r="G100" s="10">
        <f t="shared" si="49"/>
        <v>0</v>
      </c>
      <c r="H100" s="10">
        <f>D100+май!H100</f>
        <v>272.69400000000002</v>
      </c>
      <c r="I100" s="8"/>
      <c r="J100" s="10">
        <f>F100+май!J100</f>
        <v>0</v>
      </c>
      <c r="K100" s="10">
        <f t="shared" si="50"/>
        <v>0</v>
      </c>
      <c r="L100" s="16"/>
      <c r="M100" s="220"/>
      <c r="N100" s="221"/>
      <c r="O100" s="122">
        <f t="shared" si="56"/>
        <v>-272.69400000000002</v>
      </c>
      <c r="P100" s="123">
        <f t="shared" si="57"/>
        <v>-100</v>
      </c>
      <c r="Q100" s="114"/>
      <c r="S100">
        <f t="shared" si="46"/>
        <v>227.245</v>
      </c>
      <c r="T100" s="44">
        <f>E100+апр!I100</f>
        <v>0</v>
      </c>
      <c r="U100" s="30">
        <f>F100+апр!J100</f>
        <v>0</v>
      </c>
    </row>
    <row r="101" spans="1:21" ht="33.75" customHeight="1">
      <c r="A101" s="8" t="s">
        <v>93</v>
      </c>
      <c r="B101" s="20" t="s">
        <v>94</v>
      </c>
      <c r="C101" s="8" t="s">
        <v>4</v>
      </c>
      <c r="D101" s="10">
        <v>62.253999999999998</v>
      </c>
      <c r="E101" s="8"/>
      <c r="F101" s="55"/>
      <c r="G101" s="10">
        <f t="shared" si="49"/>
        <v>0</v>
      </c>
      <c r="H101" s="10">
        <f>D101+май!H101</f>
        <v>373.524</v>
      </c>
      <c r="I101" s="8"/>
      <c r="J101" s="10">
        <f>F101+май!J101</f>
        <v>0</v>
      </c>
      <c r="K101" s="10">
        <f t="shared" si="50"/>
        <v>0</v>
      </c>
      <c r="L101" s="16"/>
      <c r="M101" s="220"/>
      <c r="N101" s="221"/>
      <c r="O101" s="122">
        <f t="shared" si="56"/>
        <v>-373.524</v>
      </c>
      <c r="P101" s="123">
        <f t="shared" si="57"/>
        <v>-100</v>
      </c>
      <c r="Q101" s="114"/>
      <c r="S101">
        <f t="shared" si="46"/>
        <v>311.27</v>
      </c>
      <c r="T101" s="44">
        <f>E101+апр!I101</f>
        <v>0</v>
      </c>
      <c r="U101" s="30">
        <f>F101+апр!J101</f>
        <v>0</v>
      </c>
    </row>
    <row r="102" spans="1:21" ht="33.75" customHeight="1">
      <c r="A102" s="8" t="s">
        <v>95</v>
      </c>
      <c r="B102" s="20" t="s">
        <v>96</v>
      </c>
      <c r="C102" s="8" t="s">
        <v>4</v>
      </c>
      <c r="D102" s="10"/>
      <c r="E102" s="8"/>
      <c r="F102" s="55"/>
      <c r="G102" s="10">
        <f t="shared" si="49"/>
        <v>0</v>
      </c>
      <c r="H102" s="10">
        <f>D102+май!H102</f>
        <v>0</v>
      </c>
      <c r="I102" s="8"/>
      <c r="J102" s="10">
        <f>F102+май!J102</f>
        <v>0</v>
      </c>
      <c r="K102" s="10">
        <f t="shared" si="50"/>
        <v>0</v>
      </c>
      <c r="L102" s="16"/>
      <c r="M102" s="220"/>
      <c r="N102" s="221"/>
      <c r="O102" s="122">
        <f t="shared" si="56"/>
        <v>0</v>
      </c>
      <c r="P102" s="123" t="e">
        <f t="shared" si="57"/>
        <v>#DIV/0!</v>
      </c>
      <c r="Q102" s="114"/>
      <c r="S102">
        <f t="shared" si="46"/>
        <v>0</v>
      </c>
      <c r="T102" s="44">
        <f>E102+апр!I102</f>
        <v>0</v>
      </c>
      <c r="U102" s="30">
        <f>F102+апр!J102</f>
        <v>0</v>
      </c>
    </row>
    <row r="103" spans="1:21" ht="17.25" customHeight="1">
      <c r="A103" s="8" t="s">
        <v>97</v>
      </c>
      <c r="B103" s="20" t="s">
        <v>98</v>
      </c>
      <c r="C103" s="8" t="s">
        <v>4</v>
      </c>
      <c r="D103" s="10">
        <v>1.3089999999999999</v>
      </c>
      <c r="E103" s="8">
        <v>1.333</v>
      </c>
      <c r="F103" s="55"/>
      <c r="G103" s="10">
        <f t="shared" si="49"/>
        <v>-1.333</v>
      </c>
      <c r="H103" s="10">
        <f>D103+май!H103</f>
        <v>7.8540000000000001</v>
      </c>
      <c r="I103" s="8">
        <f>E103+май!I103</f>
        <v>6.665</v>
      </c>
      <c r="J103" s="10">
        <f>F103+май!J103</f>
        <v>0</v>
      </c>
      <c r="K103" s="10">
        <f t="shared" si="50"/>
        <v>-6.665</v>
      </c>
      <c r="L103" s="16">
        <f t="shared" si="55"/>
        <v>-100</v>
      </c>
      <c r="M103" s="220"/>
      <c r="N103" s="221"/>
      <c r="O103" s="122">
        <f t="shared" si="56"/>
        <v>-7.8540000000000001</v>
      </c>
      <c r="P103" s="123">
        <f t="shared" si="57"/>
        <v>-100</v>
      </c>
      <c r="Q103" s="114"/>
      <c r="S103">
        <f t="shared" si="46"/>
        <v>6.5449999999999999</v>
      </c>
      <c r="T103" s="44">
        <f>E103+апр!I103</f>
        <v>6.665</v>
      </c>
      <c r="U103" s="30">
        <f>F103+апр!J103</f>
        <v>0</v>
      </c>
    </row>
    <row r="104" spans="1:21" ht="36" customHeight="1">
      <c r="A104" s="18" t="s">
        <v>105</v>
      </c>
      <c r="B104" s="20" t="s">
        <v>99</v>
      </c>
      <c r="C104" s="8" t="s">
        <v>4</v>
      </c>
      <c r="D104" s="10">
        <f t="shared" ref="D104:F104" si="64">D105+D106+D107+D108</f>
        <v>186.095</v>
      </c>
      <c r="E104" s="10">
        <f t="shared" si="64"/>
        <v>152.833</v>
      </c>
      <c r="F104" s="10">
        <f t="shared" si="64"/>
        <v>158.84299999999999</v>
      </c>
      <c r="G104" s="10">
        <f t="shared" si="49"/>
        <v>6.0099999999999909</v>
      </c>
      <c r="H104" s="10">
        <f t="shared" ref="H104:J104" si="65">H105+H106+H107+H108</f>
        <v>1116.5700000000002</v>
      </c>
      <c r="I104" s="8">
        <f>E104+май!I104</f>
        <v>916.99799999999993</v>
      </c>
      <c r="J104" s="10">
        <f t="shared" si="65"/>
        <v>1970.0559999999998</v>
      </c>
      <c r="K104" s="10">
        <f t="shared" si="50"/>
        <v>1053.058</v>
      </c>
      <c r="L104" s="16">
        <f t="shared" si="55"/>
        <v>114.83754599246674</v>
      </c>
      <c r="M104" s="220"/>
      <c r="N104" s="221"/>
      <c r="O104" s="122">
        <f t="shared" si="56"/>
        <v>853.48599999999965</v>
      </c>
      <c r="P104" s="123">
        <f t="shared" si="57"/>
        <v>76.438199127685635</v>
      </c>
      <c r="Q104" s="114"/>
      <c r="S104">
        <f t="shared" si="46"/>
        <v>930.47500000000002</v>
      </c>
      <c r="T104" s="44">
        <f>E104+апр!I104</f>
        <v>764.16499999999996</v>
      </c>
      <c r="U104" s="30">
        <f>F104+апр!J104</f>
        <v>957.827</v>
      </c>
    </row>
    <row r="105" spans="1:21" ht="17.25" customHeight="1">
      <c r="A105" s="24" t="s">
        <v>243</v>
      </c>
      <c r="B105" s="20" t="s">
        <v>100</v>
      </c>
      <c r="C105" s="8" t="s">
        <v>4</v>
      </c>
      <c r="D105" s="10">
        <v>43.570999999999998</v>
      </c>
      <c r="E105" s="8">
        <v>43.582999999999998</v>
      </c>
      <c r="F105" s="8"/>
      <c r="G105" s="10">
        <f t="shared" si="49"/>
        <v>-43.582999999999998</v>
      </c>
      <c r="H105" s="10">
        <f>D105+май!H105</f>
        <v>261.42599999999999</v>
      </c>
      <c r="I105" s="8">
        <f>E105+май!I105</f>
        <v>261.49799999999999</v>
      </c>
      <c r="J105" s="10">
        <f>F105+май!J105</f>
        <v>705.31600000000003</v>
      </c>
      <c r="K105" s="10">
        <f t="shared" si="50"/>
        <v>443.81800000000004</v>
      </c>
      <c r="L105" s="16">
        <f t="shared" si="55"/>
        <v>169.72137454206154</v>
      </c>
      <c r="M105" s="220"/>
      <c r="N105" s="221"/>
      <c r="O105" s="122">
        <f t="shared" si="56"/>
        <v>443.89000000000004</v>
      </c>
      <c r="P105" s="123">
        <f t="shared" si="57"/>
        <v>169.79565919227625</v>
      </c>
      <c r="Q105" s="114"/>
      <c r="S105">
        <f t="shared" si="46"/>
        <v>217.85499999999999</v>
      </c>
      <c r="T105" s="44">
        <f>E105+апр!I105</f>
        <v>217.91499999999999</v>
      </c>
      <c r="U105" s="30">
        <f>F105+апр!J105</f>
        <v>221.631</v>
      </c>
    </row>
    <row r="106" spans="1:21" ht="28.5" customHeight="1">
      <c r="A106" s="8" t="s">
        <v>244</v>
      </c>
      <c r="B106" s="20" t="s">
        <v>101</v>
      </c>
      <c r="C106" s="8" t="s">
        <v>4</v>
      </c>
      <c r="D106" s="10">
        <v>116.209</v>
      </c>
      <c r="E106" s="8">
        <v>82.917000000000002</v>
      </c>
      <c r="F106" s="55">
        <v>158.84299999999999</v>
      </c>
      <c r="G106" s="10">
        <f t="shared" si="49"/>
        <v>75.925999999999988</v>
      </c>
      <c r="H106" s="10">
        <f>D106+май!H106</f>
        <v>697.25400000000013</v>
      </c>
      <c r="I106" s="8">
        <f>E106+май!I106</f>
        <v>497.50200000000007</v>
      </c>
      <c r="J106" s="10">
        <f>F106+май!J106</f>
        <v>742.98899999999992</v>
      </c>
      <c r="K106" s="10">
        <f t="shared" si="50"/>
        <v>245.48699999999985</v>
      </c>
      <c r="L106" s="16">
        <f t="shared" si="55"/>
        <v>49.343922235488463</v>
      </c>
      <c r="M106" s="222" t="s">
        <v>287</v>
      </c>
      <c r="N106" s="223"/>
      <c r="O106" s="122">
        <f t="shared" si="56"/>
        <v>45.734999999999786</v>
      </c>
      <c r="P106" s="123">
        <f t="shared" si="57"/>
        <v>6.5593026357682831</v>
      </c>
      <c r="Q106" s="115"/>
      <c r="S106">
        <f t="shared" si="46"/>
        <v>581.04500000000007</v>
      </c>
      <c r="T106" s="44">
        <f>E106+апр!I106</f>
        <v>414.58500000000004</v>
      </c>
      <c r="U106" s="30">
        <f>F106+апр!J106</f>
        <v>612.44299999999998</v>
      </c>
    </row>
    <row r="107" spans="1:21" ht="37.5" customHeight="1">
      <c r="A107" s="8" t="s">
        <v>245</v>
      </c>
      <c r="B107" s="20" t="s">
        <v>102</v>
      </c>
      <c r="C107" s="8" t="s">
        <v>4</v>
      </c>
      <c r="D107" s="10">
        <v>26.315000000000001</v>
      </c>
      <c r="E107" s="8">
        <v>26.332999999999998</v>
      </c>
      <c r="F107" s="54"/>
      <c r="G107" s="10">
        <f t="shared" si="49"/>
        <v>-26.332999999999998</v>
      </c>
      <c r="H107" s="10">
        <f>D107+май!H107</f>
        <v>157.89000000000001</v>
      </c>
      <c r="I107" s="8">
        <f>E107+май!I107</f>
        <v>157.99799999999999</v>
      </c>
      <c r="J107" s="10">
        <f>F107+май!J107</f>
        <v>521.75099999999998</v>
      </c>
      <c r="K107" s="10">
        <f t="shared" si="50"/>
        <v>363.75299999999999</v>
      </c>
      <c r="L107" s="16">
        <f t="shared" si="55"/>
        <v>230.22633197888581</v>
      </c>
      <c r="M107" s="220"/>
      <c r="N107" s="221"/>
      <c r="O107" s="122">
        <f t="shared" si="56"/>
        <v>363.86099999999999</v>
      </c>
      <c r="P107" s="123">
        <f t="shared" si="57"/>
        <v>230.45221356640698</v>
      </c>
      <c r="Q107" s="114"/>
      <c r="S107">
        <f t="shared" si="46"/>
        <v>131.57500000000002</v>
      </c>
      <c r="T107" s="44">
        <f>E107+апр!I107</f>
        <v>131.66499999999999</v>
      </c>
      <c r="U107" s="30">
        <f>F107+апр!J107</f>
        <v>123.75300000000001</v>
      </c>
    </row>
    <row r="108" spans="1:21" ht="35.25" hidden="1" customHeight="1">
      <c r="A108" s="8" t="s">
        <v>103</v>
      </c>
      <c r="B108" s="20" t="s">
        <v>104</v>
      </c>
      <c r="C108" s="8" t="s">
        <v>4</v>
      </c>
      <c r="D108" s="10">
        <v>0</v>
      </c>
      <c r="E108" s="8"/>
      <c r="F108" s="8"/>
      <c r="G108" s="10">
        <f t="shared" si="49"/>
        <v>0</v>
      </c>
      <c r="H108" s="10">
        <f>D108+апр!H108</f>
        <v>0</v>
      </c>
      <c r="I108" s="8">
        <f>E108+март!I108</f>
        <v>0</v>
      </c>
      <c r="J108" s="10">
        <f>F108+апр!J108</f>
        <v>0</v>
      </c>
      <c r="K108" s="10">
        <f t="shared" si="50"/>
        <v>0</v>
      </c>
      <c r="L108" s="16" t="e">
        <f t="shared" si="55"/>
        <v>#DIV/0!</v>
      </c>
      <c r="M108" s="220"/>
      <c r="N108" s="221"/>
      <c r="O108" s="122">
        <f t="shared" si="56"/>
        <v>0</v>
      </c>
      <c r="P108" s="123" t="e">
        <f t="shared" si="57"/>
        <v>#DIV/0!</v>
      </c>
      <c r="Q108" s="114"/>
      <c r="S108">
        <f t="shared" si="46"/>
        <v>0</v>
      </c>
      <c r="T108" s="44">
        <f>E108+апр!I108</f>
        <v>0</v>
      </c>
      <c r="U108" s="30">
        <f>F108+апр!J108</f>
        <v>0</v>
      </c>
    </row>
    <row r="109" spans="1:21" ht="17.25" customHeight="1">
      <c r="A109" s="18" t="s">
        <v>246</v>
      </c>
      <c r="B109" s="20" t="s">
        <v>106</v>
      </c>
      <c r="C109" s="8" t="s">
        <v>4</v>
      </c>
      <c r="D109" s="10">
        <v>91.483999999999995</v>
      </c>
      <c r="E109" s="8">
        <v>58.167000000000002</v>
      </c>
      <c r="F109" s="55">
        <f>15.207+21.33+0.256+5.309</f>
        <v>42.101999999999997</v>
      </c>
      <c r="G109" s="10">
        <f t="shared" si="49"/>
        <v>-16.065000000000005</v>
      </c>
      <c r="H109" s="10">
        <f>D109+май!H109</f>
        <v>548.904</v>
      </c>
      <c r="I109" s="8">
        <f>E109+май!I109</f>
        <v>349.00200000000007</v>
      </c>
      <c r="J109" s="10">
        <f>F109+май!J109</f>
        <v>232.72899999999998</v>
      </c>
      <c r="K109" s="10">
        <f t="shared" si="50"/>
        <v>-116.27300000000008</v>
      </c>
      <c r="L109" s="16">
        <f t="shared" si="55"/>
        <v>-33.315854923467505</v>
      </c>
      <c r="M109" s="220"/>
      <c r="N109" s="221"/>
      <c r="O109" s="122">
        <f t="shared" si="56"/>
        <v>-316.17500000000001</v>
      </c>
      <c r="P109" s="123">
        <f t="shared" si="57"/>
        <v>-57.60114701295673</v>
      </c>
      <c r="Q109" s="114"/>
      <c r="S109">
        <f t="shared" si="46"/>
        <v>457.41999999999996</v>
      </c>
      <c r="T109" s="44">
        <f>E109+апр!I109</f>
        <v>290.83500000000004</v>
      </c>
      <c r="U109" s="30">
        <f>F109+апр!J109</f>
        <v>188.93899999999999</v>
      </c>
    </row>
    <row r="110" spans="1:21" ht="17.25" customHeight="1">
      <c r="A110" s="17" t="s">
        <v>247</v>
      </c>
      <c r="B110" s="6" t="s">
        <v>107</v>
      </c>
      <c r="C110" s="8" t="s">
        <v>4</v>
      </c>
      <c r="D110" s="10">
        <f>D111+D115+D119+D123+D124+D125+D126+D127+D128+D129+D130+D131+D132+D133+D134+D135</f>
        <v>1562.1809999999998</v>
      </c>
      <c r="E110" s="10">
        <f>E111+E115+E119+E123+E124+E125+E126+E127+E128+E129+E130+E131+E132+E133+E134+E135+E136+E137</f>
        <v>1699.25</v>
      </c>
      <c r="F110" s="10">
        <f>F111+F115+F119+F123+F124+F125+F126+F127+F128+F129+F130+F131+F132+F133+F134+F135+F136+F137+F138+F139</f>
        <v>2613.0774999999999</v>
      </c>
      <c r="G110" s="10">
        <f t="shared" si="49"/>
        <v>913.82749999999987</v>
      </c>
      <c r="H110" s="10">
        <f>H111+H115+H119+H123+H124+H125+H126+H127+H128+H129+H130+H131+H132+H133+H134+H135</f>
        <v>9373.0859999999993</v>
      </c>
      <c r="I110" s="10">
        <f>I111+I115+I119+I123+I124+I125+I126+I127+I128+I129+I130+I131+I132+I133+I134+I135+I136+I137</f>
        <v>10195.5</v>
      </c>
      <c r="J110" s="10">
        <f>J111+J115+J119+J123+J124+J125+J126+J127+J128+J129+J130+J131+J132+J133+J134+J135+J136+J137</f>
        <v>10306.461499999999</v>
      </c>
      <c r="K110" s="10">
        <f t="shared" si="50"/>
        <v>110.96149999999943</v>
      </c>
      <c r="L110" s="16">
        <f t="shared" si="55"/>
        <v>1.088337992251478</v>
      </c>
      <c r="M110" s="226"/>
      <c r="N110" s="221"/>
      <c r="O110" s="122">
        <f t="shared" si="56"/>
        <v>933.3755000000001</v>
      </c>
      <c r="P110" s="123">
        <f t="shared" si="57"/>
        <v>9.9580383664462282</v>
      </c>
      <c r="Q110" s="114"/>
      <c r="S110">
        <f t="shared" si="46"/>
        <v>7810.9049999999988</v>
      </c>
      <c r="T110" s="44">
        <f>E110+апр!I110</f>
        <v>8496.25</v>
      </c>
      <c r="U110" s="30">
        <f>F110+апр!J110</f>
        <v>9269.1470000000008</v>
      </c>
    </row>
    <row r="111" spans="1:21" ht="18" customHeight="1">
      <c r="A111" s="18" t="s">
        <v>248</v>
      </c>
      <c r="B111" s="9" t="s">
        <v>108</v>
      </c>
      <c r="C111" s="8" t="s">
        <v>4</v>
      </c>
      <c r="D111" s="10">
        <v>431.38099999999997</v>
      </c>
      <c r="E111" s="8">
        <v>431.41699999999997</v>
      </c>
      <c r="F111" s="10">
        <f>F112+F113+F114</f>
        <v>780.45899999999995</v>
      </c>
      <c r="G111" s="10">
        <f t="shared" si="49"/>
        <v>349.04199999999997</v>
      </c>
      <c r="H111" s="10">
        <f>D111+май!H111</f>
        <v>2588.2859999999996</v>
      </c>
      <c r="I111" s="8">
        <f>E111+май!I111</f>
        <v>2588.502</v>
      </c>
      <c r="J111" s="10">
        <f>J112+J113+J114</f>
        <v>2199.9699999999998</v>
      </c>
      <c r="K111" s="10">
        <f t="shared" si="50"/>
        <v>-388.53200000000015</v>
      </c>
      <c r="L111" s="16">
        <f t="shared" si="55"/>
        <v>-15.009916932650627</v>
      </c>
      <c r="M111" s="231"/>
      <c r="N111" s="232"/>
      <c r="O111" s="122">
        <f t="shared" si="56"/>
        <v>-388.3159999999998</v>
      </c>
      <c r="P111" s="123">
        <f t="shared" si="57"/>
        <v>-15.002824262851936</v>
      </c>
      <c r="Q111" s="117"/>
      <c r="S111">
        <f t="shared" si="46"/>
        <v>2156.9049999999997</v>
      </c>
      <c r="T111" s="44">
        <f>E111+апр!I111</f>
        <v>2157.085</v>
      </c>
      <c r="U111" s="30">
        <f>F111+апр!J111</f>
        <v>1969.0899999999997</v>
      </c>
    </row>
    <row r="112" spans="1:21" ht="17.25" customHeight="1">
      <c r="A112" s="18"/>
      <c r="B112" s="9" t="s">
        <v>221</v>
      </c>
      <c r="C112" s="8" t="s">
        <v>4</v>
      </c>
      <c r="D112" s="10"/>
      <c r="E112" s="8"/>
      <c r="F112" s="54">
        <f>696.459+84</f>
        <v>780.45899999999995</v>
      </c>
      <c r="G112" s="10">
        <f t="shared" si="49"/>
        <v>780.45899999999995</v>
      </c>
      <c r="H112" s="10">
        <f>D112+май!H112</f>
        <v>0</v>
      </c>
      <c r="I112" s="8"/>
      <c r="J112" s="10">
        <f>F112+май!J112</f>
        <v>1978.1489999999999</v>
      </c>
      <c r="K112" s="10">
        <f t="shared" si="50"/>
        <v>1978.1489999999999</v>
      </c>
      <c r="L112" s="16"/>
      <c r="M112" s="220"/>
      <c r="N112" s="221"/>
      <c r="O112" s="122">
        <f t="shared" si="56"/>
        <v>1978.1489999999999</v>
      </c>
      <c r="P112" s="123" t="e">
        <f t="shared" si="57"/>
        <v>#DIV/0!</v>
      </c>
      <c r="Q112" s="114"/>
      <c r="S112">
        <f t="shared" si="46"/>
        <v>0</v>
      </c>
      <c r="T112" s="44">
        <f>E112+апр!I112</f>
        <v>0</v>
      </c>
      <c r="U112" s="30">
        <f>F112+апр!J112</f>
        <v>1747.2689999999998</v>
      </c>
    </row>
    <row r="113" spans="1:21" ht="36" customHeight="1">
      <c r="A113" s="18"/>
      <c r="B113" s="9" t="s">
        <v>222</v>
      </c>
      <c r="C113" s="8" t="s">
        <v>4</v>
      </c>
      <c r="D113" s="10"/>
      <c r="E113" s="8"/>
      <c r="F113" s="10"/>
      <c r="G113" s="10">
        <f t="shared" si="49"/>
        <v>0</v>
      </c>
      <c r="H113" s="10">
        <f>D113+май!H113</f>
        <v>0</v>
      </c>
      <c r="I113" s="8"/>
      <c r="J113" s="10">
        <f>F113+май!J113</f>
        <v>221.821</v>
      </c>
      <c r="K113" s="10">
        <f t="shared" si="50"/>
        <v>221.821</v>
      </c>
      <c r="L113" s="16"/>
      <c r="M113" s="220"/>
      <c r="N113" s="221"/>
      <c r="O113" s="122">
        <f t="shared" si="56"/>
        <v>221.821</v>
      </c>
      <c r="P113" s="123" t="e">
        <f t="shared" si="57"/>
        <v>#DIV/0!</v>
      </c>
      <c r="Q113" s="114"/>
      <c r="S113">
        <f t="shared" si="46"/>
        <v>0</v>
      </c>
      <c r="T113" s="44">
        <f>E113+апр!I113</f>
        <v>0</v>
      </c>
      <c r="U113" s="30">
        <f>F113+апр!J113</f>
        <v>221.821</v>
      </c>
    </row>
    <row r="114" spans="1:21" ht="17.25" customHeight="1">
      <c r="A114" s="18"/>
      <c r="B114" s="9" t="s">
        <v>223</v>
      </c>
      <c r="C114" s="8" t="s">
        <v>4</v>
      </c>
      <c r="D114" s="10"/>
      <c r="E114" s="8"/>
      <c r="F114" s="8"/>
      <c r="G114" s="10">
        <f t="shared" si="49"/>
        <v>0</v>
      </c>
      <c r="H114" s="10">
        <f>D114+май!H114</f>
        <v>0</v>
      </c>
      <c r="I114" s="8"/>
      <c r="J114" s="10">
        <f>F114+май!J114</f>
        <v>0</v>
      </c>
      <c r="K114" s="10">
        <f t="shared" si="50"/>
        <v>0</v>
      </c>
      <c r="L114" s="16"/>
      <c r="M114" s="220"/>
      <c r="N114" s="221"/>
      <c r="O114" s="122">
        <f t="shared" si="56"/>
        <v>0</v>
      </c>
      <c r="P114" s="123" t="e">
        <f t="shared" si="57"/>
        <v>#DIV/0!</v>
      </c>
      <c r="Q114" s="114"/>
      <c r="S114">
        <f t="shared" si="46"/>
        <v>0</v>
      </c>
      <c r="T114" s="44">
        <f>E114+апр!I114</f>
        <v>0</v>
      </c>
      <c r="U114" s="30">
        <f>F114+апр!J114</f>
        <v>0</v>
      </c>
    </row>
    <row r="115" spans="1:21" ht="17.25" customHeight="1">
      <c r="A115" s="18" t="s">
        <v>249</v>
      </c>
      <c r="B115" s="9" t="s">
        <v>109</v>
      </c>
      <c r="C115" s="8" t="s">
        <v>4</v>
      </c>
      <c r="D115" s="10">
        <f t="shared" ref="D115" si="66">D116+D117+D118</f>
        <v>121.34400000000001</v>
      </c>
      <c r="E115" s="10">
        <v>121.333</v>
      </c>
      <c r="F115" s="10"/>
      <c r="G115" s="10">
        <f t="shared" si="49"/>
        <v>-121.333</v>
      </c>
      <c r="H115" s="10">
        <f t="shared" ref="H115" si="67">H116+H117+H118</f>
        <v>728.06399999999996</v>
      </c>
      <c r="I115" s="8">
        <f>E115+май!I115</f>
        <v>727.99799999999993</v>
      </c>
      <c r="J115" s="10">
        <f t="shared" ref="J115" si="68">J116+J117+J118</f>
        <v>0</v>
      </c>
      <c r="K115" s="10">
        <f t="shared" si="50"/>
        <v>-727.99799999999993</v>
      </c>
      <c r="L115" s="16">
        <f t="shared" si="55"/>
        <v>-100</v>
      </c>
      <c r="M115" s="220"/>
      <c r="N115" s="221"/>
      <c r="O115" s="122">
        <f t="shared" si="56"/>
        <v>-728.06399999999996</v>
      </c>
      <c r="P115" s="123">
        <f t="shared" si="57"/>
        <v>-100</v>
      </c>
      <c r="Q115" s="114"/>
      <c r="S115">
        <f t="shared" si="46"/>
        <v>606.72</v>
      </c>
      <c r="T115" s="44">
        <f>E115+апр!I115</f>
        <v>606.66499999999996</v>
      </c>
      <c r="U115" s="30">
        <f>F115+апр!J115</f>
        <v>0</v>
      </c>
    </row>
    <row r="116" spans="1:21" ht="36" customHeight="1">
      <c r="A116" s="8" t="s">
        <v>250</v>
      </c>
      <c r="B116" s="9" t="s">
        <v>240</v>
      </c>
      <c r="C116" s="8" t="s">
        <v>4</v>
      </c>
      <c r="D116" s="10">
        <v>86.322000000000003</v>
      </c>
      <c r="E116" s="8"/>
      <c r="F116" s="8"/>
      <c r="G116" s="10">
        <f t="shared" si="49"/>
        <v>0</v>
      </c>
      <c r="H116" s="10">
        <f>D116+май!H116</f>
        <v>517.93200000000002</v>
      </c>
      <c r="I116" s="8"/>
      <c r="J116" s="10">
        <f>F116+май!J116</f>
        <v>0</v>
      </c>
      <c r="K116" s="10">
        <f t="shared" si="50"/>
        <v>0</v>
      </c>
      <c r="L116" s="16"/>
      <c r="M116" s="220"/>
      <c r="N116" s="221"/>
      <c r="O116" s="122">
        <f t="shared" si="56"/>
        <v>-517.93200000000002</v>
      </c>
      <c r="P116" s="123">
        <f t="shared" si="57"/>
        <v>-100</v>
      </c>
      <c r="Q116" s="114"/>
      <c r="S116">
        <f t="shared" si="46"/>
        <v>431.61</v>
      </c>
      <c r="T116" s="44">
        <f>E116+апр!I116</f>
        <v>0</v>
      </c>
      <c r="U116" s="30">
        <f>F116+апр!J116</f>
        <v>0</v>
      </c>
    </row>
    <row r="117" spans="1:21" ht="42.75" customHeight="1">
      <c r="A117" s="8" t="s">
        <v>251</v>
      </c>
      <c r="B117" s="9" t="s">
        <v>241</v>
      </c>
      <c r="C117" s="8" t="s">
        <v>4</v>
      </c>
      <c r="D117" s="10">
        <v>31.76</v>
      </c>
      <c r="E117" s="8"/>
      <c r="F117" s="8"/>
      <c r="G117" s="10">
        <f t="shared" si="49"/>
        <v>0</v>
      </c>
      <c r="H117" s="10">
        <f>D117+май!H117</f>
        <v>190.56</v>
      </c>
      <c r="I117" s="8"/>
      <c r="J117" s="10">
        <f>F117+май!J117</f>
        <v>0</v>
      </c>
      <c r="K117" s="10">
        <f t="shared" si="50"/>
        <v>0</v>
      </c>
      <c r="L117" s="16"/>
      <c r="M117" s="220"/>
      <c r="N117" s="221"/>
      <c r="O117" s="122">
        <f t="shared" si="56"/>
        <v>-190.56</v>
      </c>
      <c r="P117" s="123">
        <f t="shared" si="57"/>
        <v>-100</v>
      </c>
      <c r="Q117" s="114"/>
      <c r="S117">
        <f t="shared" si="46"/>
        <v>158.80000000000001</v>
      </c>
      <c r="T117" s="44">
        <f>E117+апр!I117</f>
        <v>0</v>
      </c>
      <c r="U117" s="30">
        <f>F117+апр!J117</f>
        <v>0</v>
      </c>
    </row>
    <row r="118" spans="1:21" ht="17.25" customHeight="1">
      <c r="A118" s="8" t="s">
        <v>252</v>
      </c>
      <c r="B118" s="9" t="s">
        <v>110</v>
      </c>
      <c r="C118" s="8" t="s">
        <v>4</v>
      </c>
      <c r="D118" s="10">
        <v>3.262</v>
      </c>
      <c r="E118" s="8"/>
      <c r="F118" s="8"/>
      <c r="G118" s="10">
        <f t="shared" si="49"/>
        <v>0</v>
      </c>
      <c r="H118" s="10">
        <f>D118+май!H118</f>
        <v>19.571999999999999</v>
      </c>
      <c r="I118" s="8"/>
      <c r="J118" s="10">
        <f>F118+май!J118</f>
        <v>0</v>
      </c>
      <c r="K118" s="10">
        <f t="shared" si="50"/>
        <v>0</v>
      </c>
      <c r="L118" s="16"/>
      <c r="M118" s="220"/>
      <c r="N118" s="221"/>
      <c r="O118" s="122">
        <f t="shared" si="56"/>
        <v>-19.571999999999999</v>
      </c>
      <c r="P118" s="123">
        <f t="shared" si="57"/>
        <v>-100</v>
      </c>
      <c r="Q118" s="114"/>
      <c r="S118">
        <f t="shared" si="46"/>
        <v>16.309999999999999</v>
      </c>
      <c r="T118" s="44">
        <f>E118+апр!I118</f>
        <v>0</v>
      </c>
      <c r="U118" s="30">
        <f>F118+апр!J118</f>
        <v>0</v>
      </c>
    </row>
    <row r="119" spans="1:21" ht="34.5" customHeight="1">
      <c r="A119" s="18" t="s">
        <v>253</v>
      </c>
      <c r="B119" s="9" t="s">
        <v>111</v>
      </c>
      <c r="C119" s="8" t="s">
        <v>4</v>
      </c>
      <c r="D119" s="10">
        <f>D120</f>
        <v>380.84899999999999</v>
      </c>
      <c r="E119" s="10">
        <v>356.5</v>
      </c>
      <c r="F119" s="10">
        <f>F120</f>
        <v>356.62849999999997</v>
      </c>
      <c r="G119" s="10">
        <f t="shared" si="49"/>
        <v>0.12849999999997408</v>
      </c>
      <c r="H119" s="10">
        <f>H120</f>
        <v>2285.0940000000001</v>
      </c>
      <c r="I119" s="8">
        <f>E119+май!I119</f>
        <v>2139</v>
      </c>
      <c r="J119" s="10">
        <f>J120</f>
        <v>2111.6855</v>
      </c>
      <c r="K119" s="10">
        <f t="shared" si="50"/>
        <v>-27.314499999999953</v>
      </c>
      <c r="L119" s="16">
        <f t="shared" si="55"/>
        <v>-1.2769752220663839</v>
      </c>
      <c r="M119" s="220"/>
      <c r="N119" s="221"/>
      <c r="O119" s="122">
        <f t="shared" si="56"/>
        <v>-173.4085</v>
      </c>
      <c r="P119" s="123">
        <f t="shared" si="57"/>
        <v>-7.5886812533751344</v>
      </c>
      <c r="Q119" s="114"/>
      <c r="S119">
        <f t="shared" si="46"/>
        <v>1904.2449999999999</v>
      </c>
      <c r="T119" s="44">
        <f>E119+апр!I119</f>
        <v>1782.5</v>
      </c>
      <c r="U119" s="30">
        <f>F119+апр!J119</f>
        <v>1683.47</v>
      </c>
    </row>
    <row r="120" spans="1:21" ht="17.25" customHeight="1">
      <c r="A120" s="8"/>
      <c r="B120" s="25" t="s">
        <v>112</v>
      </c>
      <c r="C120" s="8" t="s">
        <v>113</v>
      </c>
      <c r="D120" s="10">
        <v>380.84899999999999</v>
      </c>
      <c r="E120" s="10">
        <f>E122*E121</f>
        <v>356.5</v>
      </c>
      <c r="F120" s="54">
        <f>F122*F121</f>
        <v>356.62849999999997</v>
      </c>
      <c r="G120" s="10">
        <f t="shared" si="49"/>
        <v>0.12849999999997408</v>
      </c>
      <c r="H120" s="10">
        <f>D120+май!H120</f>
        <v>2285.0940000000001</v>
      </c>
      <c r="I120" s="8">
        <f>E120+май!I120</f>
        <v>2139</v>
      </c>
      <c r="J120" s="10">
        <f>F120+май!J120</f>
        <v>2111.6855</v>
      </c>
      <c r="K120" s="10">
        <f t="shared" si="50"/>
        <v>-27.314499999999953</v>
      </c>
      <c r="L120" s="16">
        <f t="shared" si="55"/>
        <v>-1.2769752220663839</v>
      </c>
      <c r="M120" s="220"/>
      <c r="N120" s="221"/>
      <c r="O120" s="122">
        <f t="shared" si="56"/>
        <v>-173.4085</v>
      </c>
      <c r="P120" s="123">
        <f t="shared" si="57"/>
        <v>-7.5886812533751344</v>
      </c>
      <c r="Q120" s="114"/>
      <c r="S120">
        <f t="shared" si="46"/>
        <v>1904.2449999999999</v>
      </c>
      <c r="T120" s="44">
        <f>E120+апр!I120</f>
        <v>1782.5</v>
      </c>
      <c r="U120" s="30">
        <f>F120+апр!J120</f>
        <v>1683.47</v>
      </c>
    </row>
    <row r="121" spans="1:21" ht="17.25" customHeight="1">
      <c r="A121" s="8"/>
      <c r="B121" s="12" t="s">
        <v>13</v>
      </c>
      <c r="C121" s="13" t="s">
        <v>114</v>
      </c>
      <c r="D121" s="10">
        <v>761.69899999999996</v>
      </c>
      <c r="E121" s="16">
        <f>E119/E122</f>
        <v>713</v>
      </c>
      <c r="F121" s="10">
        <f>F212</f>
        <v>713.25699999999995</v>
      </c>
      <c r="G121" s="10">
        <f t="shared" si="49"/>
        <v>0.25699999999994816</v>
      </c>
      <c r="H121" s="10">
        <f>D121+май!H121</f>
        <v>4570.1939999999995</v>
      </c>
      <c r="I121" s="8">
        <f>E121+май!I121</f>
        <v>4278</v>
      </c>
      <c r="J121" s="10">
        <f>F121+май!J121</f>
        <v>4223.37</v>
      </c>
      <c r="K121" s="10">
        <f t="shared" si="50"/>
        <v>-54.630000000000109</v>
      </c>
      <c r="L121" s="16">
        <f t="shared" si="55"/>
        <v>-1.2769985974754583</v>
      </c>
      <c r="M121" s="220"/>
      <c r="N121" s="221"/>
      <c r="O121" s="122">
        <f t="shared" si="56"/>
        <v>-346.82399999999961</v>
      </c>
      <c r="P121" s="123">
        <f t="shared" si="57"/>
        <v>-7.5888244569048862</v>
      </c>
      <c r="Q121" s="114"/>
      <c r="S121">
        <f t="shared" si="46"/>
        <v>3808.4949999999999</v>
      </c>
      <c r="T121" s="44">
        <f>E121+апр!I121</f>
        <v>3565</v>
      </c>
      <c r="U121" s="30">
        <f>F121+апр!J121</f>
        <v>3366.9390000000003</v>
      </c>
    </row>
    <row r="122" spans="1:21" ht="17.25" customHeight="1">
      <c r="A122" s="8"/>
      <c r="B122" s="12" t="s">
        <v>15</v>
      </c>
      <c r="C122" s="13" t="s">
        <v>16</v>
      </c>
      <c r="D122" s="11">
        <v>0.5</v>
      </c>
      <c r="E122" s="11">
        <v>0.5</v>
      </c>
      <c r="F122" s="11">
        <v>0.5</v>
      </c>
      <c r="G122" s="10">
        <f t="shared" si="49"/>
        <v>0</v>
      </c>
      <c r="H122" s="10">
        <f>D122+май!H122</f>
        <v>1</v>
      </c>
      <c r="I122" s="11">
        <v>0.5</v>
      </c>
      <c r="J122" s="11">
        <v>0.5</v>
      </c>
      <c r="K122" s="10">
        <f t="shared" si="50"/>
        <v>0</v>
      </c>
      <c r="L122" s="16">
        <f t="shared" si="55"/>
        <v>0</v>
      </c>
      <c r="M122" s="220"/>
      <c r="N122" s="221"/>
      <c r="O122" s="122">
        <f t="shared" si="56"/>
        <v>-0.5</v>
      </c>
      <c r="P122" s="123">
        <f t="shared" si="57"/>
        <v>-50</v>
      </c>
      <c r="Q122" s="114"/>
      <c r="S122">
        <f t="shared" si="46"/>
        <v>2.5</v>
      </c>
      <c r="T122" s="44">
        <f>E122+апр!I122</f>
        <v>1</v>
      </c>
      <c r="U122" s="30">
        <f>F122+апр!J122</f>
        <v>1</v>
      </c>
    </row>
    <row r="123" spans="1:21" ht="17.25" customHeight="1">
      <c r="A123" s="18" t="s">
        <v>254</v>
      </c>
      <c r="B123" s="9" t="s">
        <v>115</v>
      </c>
      <c r="C123" s="8" t="s">
        <v>4</v>
      </c>
      <c r="D123" s="10">
        <v>1.1120000000000001</v>
      </c>
      <c r="E123" s="8">
        <v>1.083</v>
      </c>
      <c r="F123" s="8"/>
      <c r="G123" s="10">
        <f t="shared" si="49"/>
        <v>-1.083</v>
      </c>
      <c r="H123" s="10">
        <f>D123+май!H123</f>
        <v>6.6720000000000006</v>
      </c>
      <c r="I123" s="8">
        <f>E123+май!I123</f>
        <v>6.4980000000000002</v>
      </c>
      <c r="J123" s="10">
        <f>F123+май!J123</f>
        <v>0</v>
      </c>
      <c r="K123" s="10">
        <f t="shared" si="50"/>
        <v>-6.4980000000000002</v>
      </c>
      <c r="L123" s="16">
        <f t="shared" si="55"/>
        <v>-100</v>
      </c>
      <c r="M123" s="220"/>
      <c r="N123" s="221"/>
      <c r="O123" s="122">
        <f t="shared" si="56"/>
        <v>-6.6720000000000006</v>
      </c>
      <c r="P123" s="123">
        <f t="shared" si="57"/>
        <v>-100</v>
      </c>
      <c r="Q123" s="114"/>
      <c r="S123">
        <f t="shared" si="46"/>
        <v>5.5600000000000005</v>
      </c>
      <c r="T123" s="44">
        <f>E123+апр!I123</f>
        <v>5.415</v>
      </c>
      <c r="U123" s="30">
        <f>F123+апр!J123</f>
        <v>0</v>
      </c>
    </row>
    <row r="124" spans="1:21" ht="36" customHeight="1">
      <c r="A124" s="18" t="s">
        <v>255</v>
      </c>
      <c r="B124" s="9" t="s">
        <v>116</v>
      </c>
      <c r="C124" s="8" t="s">
        <v>4</v>
      </c>
      <c r="D124" s="10">
        <v>53.17</v>
      </c>
      <c r="E124" s="8">
        <v>52.167000000000002</v>
      </c>
      <c r="F124" s="54">
        <v>45</v>
      </c>
      <c r="G124" s="10">
        <f t="shared" si="49"/>
        <v>-7.1670000000000016</v>
      </c>
      <c r="H124" s="10">
        <f>D124+май!H124</f>
        <v>319.02000000000004</v>
      </c>
      <c r="I124" s="8">
        <f>E124+май!I124</f>
        <v>313.00200000000007</v>
      </c>
      <c r="J124" s="10">
        <f>F124+май!J124</f>
        <v>270</v>
      </c>
      <c r="K124" s="10">
        <f t="shared" si="50"/>
        <v>-43.002000000000066</v>
      </c>
      <c r="L124" s="16">
        <f t="shared" si="55"/>
        <v>-13.738570360572794</v>
      </c>
      <c r="M124" s="220"/>
      <c r="N124" s="221"/>
      <c r="O124" s="122">
        <f t="shared" si="56"/>
        <v>-49.020000000000039</v>
      </c>
      <c r="P124" s="123">
        <f t="shared" si="57"/>
        <v>-15.365807786345695</v>
      </c>
      <c r="Q124" s="114"/>
      <c r="S124">
        <f t="shared" si="46"/>
        <v>265.85000000000002</v>
      </c>
      <c r="T124" s="44">
        <f>E124+апр!I124</f>
        <v>260.83500000000004</v>
      </c>
      <c r="U124" s="30">
        <f>F124+апр!J124</f>
        <v>225</v>
      </c>
    </row>
    <row r="125" spans="1:21" ht="41.25" customHeight="1">
      <c r="A125" s="18" t="s">
        <v>256</v>
      </c>
      <c r="B125" s="9" t="s">
        <v>117</v>
      </c>
      <c r="C125" s="8" t="s">
        <v>4</v>
      </c>
      <c r="D125" s="10">
        <v>411.35</v>
      </c>
      <c r="E125" s="8">
        <v>411.33300000000003</v>
      </c>
      <c r="F125" s="55">
        <f>249.432+176.73</f>
        <v>426.16199999999998</v>
      </c>
      <c r="G125" s="10">
        <f t="shared" si="49"/>
        <v>14.828999999999951</v>
      </c>
      <c r="H125" s="10">
        <f>D125+май!H125</f>
        <v>2468.1</v>
      </c>
      <c r="I125" s="8">
        <f>E125+май!I125</f>
        <v>2467.998</v>
      </c>
      <c r="J125" s="10">
        <f>F125+май!J125</f>
        <v>3083.5630000000001</v>
      </c>
      <c r="K125" s="10">
        <f t="shared" si="50"/>
        <v>615.56500000000005</v>
      </c>
      <c r="L125" s="16">
        <f t="shared" si="55"/>
        <v>24.941875965863833</v>
      </c>
      <c r="M125" s="222" t="s">
        <v>294</v>
      </c>
      <c r="N125" s="223"/>
      <c r="O125" s="122">
        <f t="shared" si="56"/>
        <v>615.46300000000019</v>
      </c>
      <c r="P125" s="123">
        <f t="shared" si="57"/>
        <v>24.936712450873149</v>
      </c>
      <c r="Q125" s="115"/>
      <c r="S125">
        <f t="shared" si="46"/>
        <v>2056.75</v>
      </c>
      <c r="T125" s="44">
        <f>E125+апр!I125</f>
        <v>2056.665</v>
      </c>
      <c r="U125" s="30">
        <f>F125+апр!J125</f>
        <v>2653.538</v>
      </c>
    </row>
    <row r="126" spans="1:21" ht="55.5" customHeight="1">
      <c r="A126" s="18" t="s">
        <v>257</v>
      </c>
      <c r="B126" s="9" t="s">
        <v>118</v>
      </c>
      <c r="C126" s="8" t="s">
        <v>4</v>
      </c>
      <c r="D126" s="10">
        <v>48.704000000000001</v>
      </c>
      <c r="E126" s="8">
        <v>48.667000000000002</v>
      </c>
      <c r="F126" s="54">
        <v>53.1</v>
      </c>
      <c r="G126" s="10">
        <f t="shared" si="49"/>
        <v>4.4329999999999998</v>
      </c>
      <c r="H126" s="10">
        <f>D126+май!H126</f>
        <v>292.22399999999999</v>
      </c>
      <c r="I126" s="8">
        <f>E126+май!I126</f>
        <v>292.00200000000001</v>
      </c>
      <c r="J126" s="10">
        <f>F126+май!J126</f>
        <v>318.54000000000002</v>
      </c>
      <c r="K126" s="10">
        <f t="shared" si="50"/>
        <v>26.538000000000011</v>
      </c>
      <c r="L126" s="16">
        <f t="shared" si="55"/>
        <v>9.0882939157951004</v>
      </c>
      <c r="M126" s="220"/>
      <c r="N126" s="221"/>
      <c r="O126" s="122">
        <f t="shared" si="56"/>
        <v>26.316000000000031</v>
      </c>
      <c r="P126" s="123">
        <f t="shared" si="57"/>
        <v>9.0054204993429803</v>
      </c>
      <c r="Q126" s="114"/>
      <c r="S126">
        <f t="shared" si="46"/>
        <v>243.52</v>
      </c>
      <c r="T126" s="44">
        <f>E126+апр!I126</f>
        <v>243.33500000000001</v>
      </c>
      <c r="U126" s="30">
        <f>F126+апр!J126</f>
        <v>265.44</v>
      </c>
    </row>
    <row r="127" spans="1:21" ht="17.25" customHeight="1">
      <c r="A127" s="18" t="s">
        <v>258</v>
      </c>
      <c r="B127" s="9" t="s">
        <v>119</v>
      </c>
      <c r="C127" s="8" t="s">
        <v>4</v>
      </c>
      <c r="D127" s="10">
        <v>38.012999999999998</v>
      </c>
      <c r="E127" s="8">
        <v>38</v>
      </c>
      <c r="F127" s="54">
        <v>105</v>
      </c>
      <c r="G127" s="10">
        <f t="shared" si="49"/>
        <v>67</v>
      </c>
      <c r="H127" s="10">
        <f>D127+май!H127</f>
        <v>228.078</v>
      </c>
      <c r="I127" s="8">
        <f>E127+май!I127</f>
        <v>228</v>
      </c>
      <c r="J127" s="10">
        <f>F127+май!J127</f>
        <v>210</v>
      </c>
      <c r="K127" s="10">
        <f t="shared" si="50"/>
        <v>-18</v>
      </c>
      <c r="L127" s="16">
        <f t="shared" si="55"/>
        <v>-7.8947368421052628</v>
      </c>
      <c r="M127" s="220"/>
      <c r="N127" s="221"/>
      <c r="O127" s="122">
        <f t="shared" si="56"/>
        <v>-18.078000000000003</v>
      </c>
      <c r="P127" s="123">
        <f t="shared" si="57"/>
        <v>-7.9262357614500321</v>
      </c>
      <c r="Q127" s="114"/>
      <c r="S127">
        <f t="shared" si="46"/>
        <v>190.065</v>
      </c>
      <c r="T127" s="44">
        <f>E127+апр!I127</f>
        <v>190</v>
      </c>
      <c r="U127" s="30">
        <f>F127+апр!J127</f>
        <v>210</v>
      </c>
    </row>
    <row r="128" spans="1:21" ht="54" customHeight="1">
      <c r="A128" s="18" t="s">
        <v>259</v>
      </c>
      <c r="B128" s="9" t="s">
        <v>120</v>
      </c>
      <c r="C128" s="8" t="s">
        <v>4</v>
      </c>
      <c r="D128" s="10"/>
      <c r="E128" s="8"/>
      <c r="F128" s="8"/>
      <c r="G128" s="10">
        <f t="shared" si="49"/>
        <v>0</v>
      </c>
      <c r="H128" s="10">
        <f>D128+май!H128</f>
        <v>0</v>
      </c>
      <c r="I128" s="8">
        <f>E128+май!I128</f>
        <v>0</v>
      </c>
      <c r="J128" s="10">
        <f>F128+май!J128</f>
        <v>640.45500000000004</v>
      </c>
      <c r="K128" s="10">
        <f t="shared" si="50"/>
        <v>640.45500000000004</v>
      </c>
      <c r="L128" s="16" t="e">
        <f t="shared" si="55"/>
        <v>#DIV/0!</v>
      </c>
      <c r="M128" s="220"/>
      <c r="N128" s="221"/>
      <c r="O128" s="122">
        <f t="shared" si="56"/>
        <v>640.45500000000004</v>
      </c>
      <c r="P128" s="123" t="e">
        <f t="shared" si="57"/>
        <v>#DIV/0!</v>
      </c>
      <c r="Q128" s="114"/>
      <c r="S128">
        <f t="shared" si="46"/>
        <v>0</v>
      </c>
      <c r="T128" s="44">
        <f>E128+апр!I128</f>
        <v>0</v>
      </c>
      <c r="U128" s="30">
        <f>F128+апр!J128</f>
        <v>640.45500000000004</v>
      </c>
    </row>
    <row r="129" spans="1:21" ht="34.5" hidden="1" customHeight="1">
      <c r="A129" s="18" t="s">
        <v>121</v>
      </c>
      <c r="B129" s="9" t="s">
        <v>218</v>
      </c>
      <c r="C129" s="8" t="s">
        <v>4</v>
      </c>
      <c r="D129" s="10">
        <v>0</v>
      </c>
      <c r="E129" s="8"/>
      <c r="F129" s="8"/>
      <c r="G129" s="10">
        <f t="shared" si="49"/>
        <v>0</v>
      </c>
      <c r="H129" s="10">
        <f>D129+апр!H129</f>
        <v>0</v>
      </c>
      <c r="I129" s="8">
        <f>E129+апр!I129</f>
        <v>0</v>
      </c>
      <c r="J129" s="10">
        <f>F129+апр!J129</f>
        <v>0</v>
      </c>
      <c r="K129" s="10">
        <f t="shared" si="50"/>
        <v>0</v>
      </c>
      <c r="L129" s="16" t="e">
        <f t="shared" si="55"/>
        <v>#DIV/0!</v>
      </c>
      <c r="M129" s="220"/>
      <c r="N129" s="221"/>
      <c r="O129" s="122">
        <f t="shared" si="56"/>
        <v>0</v>
      </c>
      <c r="P129" s="123" t="e">
        <f t="shared" si="57"/>
        <v>#DIV/0!</v>
      </c>
      <c r="Q129" s="114"/>
      <c r="S129">
        <f t="shared" si="46"/>
        <v>0</v>
      </c>
      <c r="T129" s="44">
        <f>E129+апр!I129</f>
        <v>0</v>
      </c>
      <c r="U129" s="30">
        <f>F129+апр!J129</f>
        <v>0</v>
      </c>
    </row>
    <row r="130" spans="1:21" ht="33" customHeight="1">
      <c r="A130" s="18" t="s">
        <v>260</v>
      </c>
      <c r="B130" s="9" t="s">
        <v>263</v>
      </c>
      <c r="C130" s="8" t="s">
        <v>4</v>
      </c>
      <c r="D130" s="10"/>
      <c r="E130" s="8"/>
      <c r="F130" s="8"/>
      <c r="G130" s="10">
        <f t="shared" si="49"/>
        <v>0</v>
      </c>
      <c r="H130" s="10">
        <f>D130+май!H130</f>
        <v>0</v>
      </c>
      <c r="I130" s="8">
        <f>E130+май!I130</f>
        <v>0</v>
      </c>
      <c r="J130" s="10">
        <f>F130+май!J130</f>
        <v>40</v>
      </c>
      <c r="K130" s="10">
        <f t="shared" si="50"/>
        <v>40</v>
      </c>
      <c r="L130" s="16" t="e">
        <f t="shared" si="55"/>
        <v>#DIV/0!</v>
      </c>
      <c r="M130" s="222" t="s">
        <v>288</v>
      </c>
      <c r="N130" s="223"/>
      <c r="O130" s="122">
        <f t="shared" si="56"/>
        <v>40</v>
      </c>
      <c r="P130" s="123" t="e">
        <f t="shared" si="57"/>
        <v>#DIV/0!</v>
      </c>
      <c r="Q130" s="115"/>
      <c r="S130">
        <f t="shared" si="46"/>
        <v>0</v>
      </c>
      <c r="T130" s="44">
        <f>E130+апр!I130</f>
        <v>0</v>
      </c>
      <c r="U130" s="30">
        <f>F130+апр!J130</f>
        <v>0</v>
      </c>
    </row>
    <row r="131" spans="1:21" ht="17.25" customHeight="1">
      <c r="A131" s="18" t="s">
        <v>261</v>
      </c>
      <c r="B131" s="9" t="s">
        <v>122</v>
      </c>
      <c r="C131" s="8" t="s">
        <v>4</v>
      </c>
      <c r="D131" s="10">
        <v>69.783000000000001</v>
      </c>
      <c r="E131" s="8">
        <v>69.75</v>
      </c>
      <c r="F131" s="54">
        <v>208.75</v>
      </c>
      <c r="G131" s="10">
        <f t="shared" si="49"/>
        <v>139</v>
      </c>
      <c r="H131" s="10">
        <f>D131+май!H131</f>
        <v>418.69800000000004</v>
      </c>
      <c r="I131" s="8">
        <f>E131+май!I131</f>
        <v>418.5</v>
      </c>
      <c r="J131" s="10">
        <f>F131+май!J131</f>
        <v>417.5</v>
      </c>
      <c r="K131" s="10">
        <f t="shared" si="50"/>
        <v>-1</v>
      </c>
      <c r="L131" s="16">
        <f t="shared" si="55"/>
        <v>-0.23894862604540024</v>
      </c>
      <c r="M131" s="220"/>
      <c r="N131" s="221"/>
      <c r="O131" s="122">
        <f t="shared" si="56"/>
        <v>-1.1980000000000359</v>
      </c>
      <c r="P131" s="123">
        <f t="shared" si="57"/>
        <v>-0.28612508299538947</v>
      </c>
      <c r="Q131" s="114"/>
      <c r="S131">
        <f t="shared" si="46"/>
        <v>348.91500000000002</v>
      </c>
      <c r="T131" s="44">
        <f>E131+апр!I131</f>
        <v>348.75</v>
      </c>
      <c r="U131" s="30">
        <f>F131+апр!J131</f>
        <v>417.5</v>
      </c>
    </row>
    <row r="132" spans="1:21" ht="54.75" customHeight="1">
      <c r="A132" s="18" t="s">
        <v>262</v>
      </c>
      <c r="B132" s="9" t="s">
        <v>123</v>
      </c>
      <c r="C132" s="8" t="s">
        <v>4</v>
      </c>
      <c r="D132" s="10"/>
      <c r="E132" s="8"/>
      <c r="F132" s="8"/>
      <c r="G132" s="10">
        <f t="shared" si="49"/>
        <v>0</v>
      </c>
      <c r="H132" s="10">
        <f>D132+май!H132</f>
        <v>0</v>
      </c>
      <c r="I132" s="8">
        <f>E132+май!I132</f>
        <v>0</v>
      </c>
      <c r="J132" s="10">
        <f>F132+май!J132</f>
        <v>0</v>
      </c>
      <c r="K132" s="10">
        <f t="shared" si="50"/>
        <v>0</v>
      </c>
      <c r="L132" s="16"/>
      <c r="M132" s="220"/>
      <c r="N132" s="221"/>
      <c r="O132" s="122">
        <f t="shared" si="56"/>
        <v>0</v>
      </c>
      <c r="P132" s="123" t="e">
        <f t="shared" si="57"/>
        <v>#DIV/0!</v>
      </c>
      <c r="Q132" s="114"/>
      <c r="S132">
        <f t="shared" si="46"/>
        <v>0</v>
      </c>
      <c r="T132" s="44">
        <f>E132+апр!I132</f>
        <v>0</v>
      </c>
      <c r="U132" s="30">
        <f>F132+апр!J132</f>
        <v>0</v>
      </c>
    </row>
    <row r="133" spans="1:21" ht="54" customHeight="1">
      <c r="A133" s="18" t="s">
        <v>264</v>
      </c>
      <c r="B133" s="9" t="s">
        <v>124</v>
      </c>
      <c r="C133" s="8" t="s">
        <v>4</v>
      </c>
      <c r="D133" s="10"/>
      <c r="E133" s="8"/>
      <c r="F133" s="8"/>
      <c r="G133" s="10">
        <f t="shared" si="49"/>
        <v>0</v>
      </c>
      <c r="H133" s="10">
        <f>D133+май!H133</f>
        <v>0</v>
      </c>
      <c r="I133" s="8">
        <f>E133+май!I133</f>
        <v>0</v>
      </c>
      <c r="J133" s="10">
        <f>F133+май!J133</f>
        <v>0</v>
      </c>
      <c r="K133" s="10">
        <f t="shared" si="50"/>
        <v>0</v>
      </c>
      <c r="L133" s="16"/>
      <c r="M133" s="220"/>
      <c r="N133" s="221"/>
      <c r="O133" s="122">
        <f t="shared" si="56"/>
        <v>0</v>
      </c>
      <c r="P133" s="123" t="e">
        <f t="shared" si="57"/>
        <v>#DIV/0!</v>
      </c>
      <c r="Q133" s="114"/>
      <c r="S133">
        <f t="shared" si="46"/>
        <v>0</v>
      </c>
      <c r="T133" s="44">
        <f>E133+апр!I133</f>
        <v>0</v>
      </c>
      <c r="U133" s="30">
        <f>F133+апр!J133</f>
        <v>0</v>
      </c>
    </row>
    <row r="134" spans="1:21" ht="17.25" customHeight="1">
      <c r="A134" s="18" t="s">
        <v>265</v>
      </c>
      <c r="B134" s="26" t="s">
        <v>125</v>
      </c>
      <c r="C134" s="8" t="s">
        <v>4</v>
      </c>
      <c r="D134" s="10">
        <v>6.4749999999999996</v>
      </c>
      <c r="E134" s="8">
        <v>6.5</v>
      </c>
      <c r="F134" s="55">
        <v>39.731999999999999</v>
      </c>
      <c r="G134" s="10">
        <f t="shared" si="49"/>
        <v>33.231999999999999</v>
      </c>
      <c r="H134" s="10">
        <f>D134+май!H134</f>
        <v>38.85</v>
      </c>
      <c r="I134" s="8">
        <f>E134+май!I134</f>
        <v>39</v>
      </c>
      <c r="J134" s="10">
        <f>F134+май!J134</f>
        <v>39.731999999999999</v>
      </c>
      <c r="K134" s="10">
        <f t="shared" si="50"/>
        <v>0.73199999999999932</v>
      </c>
      <c r="L134" s="16">
        <f t="shared" si="55"/>
        <v>1.8769230769230754</v>
      </c>
      <c r="M134" s="220"/>
      <c r="N134" s="221"/>
      <c r="O134" s="122">
        <f t="shared" si="56"/>
        <v>0.8819999999999979</v>
      </c>
      <c r="P134" s="123">
        <f t="shared" si="57"/>
        <v>2.2702702702702648</v>
      </c>
      <c r="Q134" s="114"/>
      <c r="S134">
        <f t="shared" si="46"/>
        <v>32.375</v>
      </c>
      <c r="T134" s="44">
        <f>E134+апр!I134</f>
        <v>32.5</v>
      </c>
      <c r="U134" s="30">
        <f>F134+апр!J134</f>
        <v>39.731999999999999</v>
      </c>
    </row>
    <row r="135" spans="1:21" ht="17.25" customHeight="1">
      <c r="A135" s="18" t="s">
        <v>266</v>
      </c>
      <c r="B135" s="26" t="s">
        <v>232</v>
      </c>
      <c r="C135" s="8" t="s">
        <v>4</v>
      </c>
      <c r="D135" s="10"/>
      <c r="E135" s="8"/>
      <c r="F135" s="8"/>
      <c r="G135" s="10">
        <f t="shared" si="49"/>
        <v>0</v>
      </c>
      <c r="H135" s="10">
        <f>D135+май!H135</f>
        <v>0</v>
      </c>
      <c r="I135" s="8">
        <f>E135+май!I135</f>
        <v>0</v>
      </c>
      <c r="J135" s="10">
        <f>F135+май!J135</f>
        <v>0</v>
      </c>
      <c r="K135" s="10">
        <f t="shared" si="50"/>
        <v>0</v>
      </c>
      <c r="L135" s="16"/>
      <c r="M135" s="220"/>
      <c r="N135" s="221"/>
      <c r="O135" s="122">
        <f t="shared" si="56"/>
        <v>0</v>
      </c>
      <c r="P135" s="123" t="e">
        <f t="shared" si="57"/>
        <v>#DIV/0!</v>
      </c>
      <c r="Q135" s="114"/>
      <c r="S135">
        <f t="shared" si="46"/>
        <v>0</v>
      </c>
      <c r="T135" s="44">
        <f>E135+апр!I135</f>
        <v>0</v>
      </c>
      <c r="U135" s="30">
        <f>F135+апр!J135</f>
        <v>0</v>
      </c>
    </row>
    <row r="136" spans="1:21" ht="55.5" customHeight="1">
      <c r="A136" s="18"/>
      <c r="B136" s="26" t="s">
        <v>311</v>
      </c>
      <c r="C136" s="8" t="s">
        <v>4</v>
      </c>
      <c r="D136" s="10"/>
      <c r="E136" s="8">
        <v>79.167000000000002</v>
      </c>
      <c r="F136" s="54">
        <v>79.17</v>
      </c>
      <c r="G136" s="10">
        <f t="shared" si="49"/>
        <v>3.0000000000001137E-3</v>
      </c>
      <c r="H136" s="10">
        <f>D136+май!H136</f>
        <v>0</v>
      </c>
      <c r="I136" s="8">
        <f>E136+май!I136</f>
        <v>475.00200000000007</v>
      </c>
      <c r="J136" s="10">
        <f>F136+май!J136</f>
        <v>475.01600000000008</v>
      </c>
      <c r="K136" s="10">
        <f t="shared" si="50"/>
        <v>1.4000000000010004E-2</v>
      </c>
      <c r="L136" s="16">
        <f t="shared" si="55"/>
        <v>2.9473560111346903E-3</v>
      </c>
      <c r="M136" s="97"/>
      <c r="N136" s="98"/>
      <c r="O136" s="122">
        <f t="shared" si="56"/>
        <v>475.01600000000008</v>
      </c>
      <c r="P136" s="123" t="e">
        <f t="shared" si="57"/>
        <v>#DIV/0!</v>
      </c>
      <c r="Q136" s="114"/>
      <c r="S136">
        <f t="shared" si="46"/>
        <v>0</v>
      </c>
      <c r="T136" s="44">
        <f>E136+апр!I136</f>
        <v>395.83500000000004</v>
      </c>
      <c r="U136" s="30">
        <f>F136+апр!J136</f>
        <v>395.84600000000006</v>
      </c>
    </row>
    <row r="137" spans="1:21" ht="55.5" customHeight="1">
      <c r="A137" s="18"/>
      <c r="B137" s="26" t="s">
        <v>312</v>
      </c>
      <c r="C137" s="8" t="s">
        <v>4</v>
      </c>
      <c r="D137" s="10"/>
      <c r="E137" s="8">
        <v>83.332999999999998</v>
      </c>
      <c r="F137" s="54">
        <v>250</v>
      </c>
      <c r="G137" s="10">
        <f t="shared" si="49"/>
        <v>166.667</v>
      </c>
      <c r="H137" s="10">
        <f>D137+май!H137</f>
        <v>0</v>
      </c>
      <c r="I137" s="8">
        <f>E137+май!I137</f>
        <v>499.99799999999993</v>
      </c>
      <c r="J137" s="10">
        <f>F137+май!J137</f>
        <v>500</v>
      </c>
      <c r="K137" s="10">
        <f t="shared" si="50"/>
        <v>2.0000000000663931E-3</v>
      </c>
      <c r="L137" s="16">
        <f t="shared" si="55"/>
        <v>4.0000160001967873E-4</v>
      </c>
      <c r="M137" s="97"/>
      <c r="N137" s="98"/>
      <c r="O137" s="122">
        <f t="shared" si="56"/>
        <v>500</v>
      </c>
      <c r="P137" s="123" t="e">
        <f t="shared" si="57"/>
        <v>#DIV/0!</v>
      </c>
      <c r="Q137" s="114"/>
      <c r="R137" s="30">
        <f>F140-R140</f>
        <v>-321.41199999999981</v>
      </c>
      <c r="S137">
        <f t="shared" ref="S137:S202" si="69">D137*5</f>
        <v>0</v>
      </c>
      <c r="T137" s="44">
        <f>E137+апр!I137</f>
        <v>416.66499999999996</v>
      </c>
      <c r="U137" s="30">
        <f>F137+апр!J137</f>
        <v>500</v>
      </c>
    </row>
    <row r="138" spans="1:21" ht="55.5" customHeight="1">
      <c r="A138" s="18"/>
      <c r="B138" s="26" t="s">
        <v>327</v>
      </c>
      <c r="C138" s="8" t="s">
        <v>4</v>
      </c>
      <c r="D138" s="10"/>
      <c r="E138" s="8"/>
      <c r="F138" s="54">
        <v>241.268</v>
      </c>
      <c r="G138" s="10"/>
      <c r="H138" s="10">
        <f>D138+май!H138</f>
        <v>16925.580000000002</v>
      </c>
      <c r="I138" s="8"/>
      <c r="J138" s="10">
        <f>F138</f>
        <v>241.268</v>
      </c>
      <c r="K138" s="10"/>
      <c r="L138" s="16"/>
      <c r="M138" s="106"/>
      <c r="N138" s="107"/>
      <c r="O138" s="122">
        <f t="shared" si="56"/>
        <v>-16684.312000000002</v>
      </c>
      <c r="P138" s="123">
        <f t="shared" si="57"/>
        <v>-98.574536293586391</v>
      </c>
      <c r="Q138" s="114"/>
      <c r="R138" s="30"/>
      <c r="T138" s="44"/>
      <c r="U138" s="30"/>
    </row>
    <row r="139" spans="1:21" ht="55.5" customHeight="1">
      <c r="A139" s="18"/>
      <c r="B139" s="26" t="s">
        <v>328</v>
      </c>
      <c r="C139" s="8" t="s">
        <v>4</v>
      </c>
      <c r="D139" s="10"/>
      <c r="E139" s="8"/>
      <c r="F139" s="54">
        <v>27.808</v>
      </c>
      <c r="G139" s="10"/>
      <c r="H139" s="10">
        <f>D139+май!H139</f>
        <v>16925.580000000002</v>
      </c>
      <c r="I139" s="8"/>
      <c r="J139" s="10">
        <f>F139</f>
        <v>27.808</v>
      </c>
      <c r="K139" s="10"/>
      <c r="L139" s="16"/>
      <c r="M139" s="106"/>
      <c r="N139" s="107"/>
      <c r="O139" s="122">
        <f t="shared" si="56"/>
        <v>-16897.772000000001</v>
      </c>
      <c r="P139" s="123">
        <f t="shared" si="57"/>
        <v>-99.835704300827501</v>
      </c>
      <c r="Q139" s="114"/>
      <c r="R139" s="30"/>
      <c r="T139" s="44"/>
      <c r="U139" s="30"/>
    </row>
    <row r="140" spans="1:21" ht="17.25" customHeight="1">
      <c r="A140" s="99" t="s">
        <v>126</v>
      </c>
      <c r="B140" s="6" t="s">
        <v>127</v>
      </c>
      <c r="C140" s="8" t="s">
        <v>4</v>
      </c>
      <c r="D140" s="7">
        <f t="shared" ref="D140:J140" si="70">D141</f>
        <v>3385.116</v>
      </c>
      <c r="E140" s="7">
        <f t="shared" si="70"/>
        <v>2989.2490000000003</v>
      </c>
      <c r="F140" s="7">
        <f t="shared" si="70"/>
        <v>2102.971</v>
      </c>
      <c r="G140" s="10">
        <f t="shared" si="49"/>
        <v>-886.27800000000025</v>
      </c>
      <c r="H140" s="7">
        <f t="shared" si="70"/>
        <v>28439.429173229208</v>
      </c>
      <c r="I140" s="7">
        <f t="shared" si="70"/>
        <v>16938.557780617677</v>
      </c>
      <c r="J140" s="7">
        <f t="shared" si="70"/>
        <v>15337.53</v>
      </c>
      <c r="K140" s="10">
        <f t="shared" si="50"/>
        <v>-1601.0277806176764</v>
      </c>
      <c r="L140" s="16">
        <f t="shared" si="55"/>
        <v>-9.4519722478952026</v>
      </c>
      <c r="M140" s="220"/>
      <c r="N140" s="221"/>
      <c r="O140" s="122">
        <f t="shared" si="56"/>
        <v>-13101.899173229207</v>
      </c>
      <c r="P140" s="123">
        <f t="shared" si="57"/>
        <v>-46.069487166649509</v>
      </c>
      <c r="Q140" s="114"/>
      <c r="R140">
        <v>2424.3829999999998</v>
      </c>
      <c r="S140">
        <f t="shared" si="69"/>
        <v>16925.580000000002</v>
      </c>
      <c r="T140" s="44">
        <f>E140+апр!I138</f>
        <v>14946.245000000001</v>
      </c>
      <c r="U140" s="30">
        <f>F140+апр!J138</f>
        <v>11276.167000000001</v>
      </c>
    </row>
    <row r="141" spans="1:21" ht="17.25" customHeight="1">
      <c r="A141" s="99">
        <v>6</v>
      </c>
      <c r="B141" s="6" t="s">
        <v>128</v>
      </c>
      <c r="C141" s="99" t="s">
        <v>4</v>
      </c>
      <c r="D141" s="7">
        <f>D142+D147+D148+D149+D150+D151+D152+D153+D156+D158+D174+D178+D179+D181+D186+D185+D190</f>
        <v>3385.116</v>
      </c>
      <c r="E141" s="7">
        <f t="shared" ref="E141:F141" si="71">E142+E147+E148+E149+E150+E151+E152+E153+E156+E158+E174+E178+E179+E181+E186+E185+E190</f>
        <v>2989.2490000000003</v>
      </c>
      <c r="F141" s="7">
        <f t="shared" si="71"/>
        <v>2102.971</v>
      </c>
      <c r="G141" s="10">
        <f>F141-E141</f>
        <v>-886.27800000000025</v>
      </c>
      <c r="H141" s="7">
        <f>H142+H147+H148+H149+H150+H151+H152+H153+H156+H158+H174+H178+H179+H181+H186+H185+H190</f>
        <v>28439.429173229208</v>
      </c>
      <c r="I141" s="7">
        <f t="shared" ref="I141:J141" si="72">I142+I147+I148+I149+I150+I151+I152+I153+I156+I158+I174+I178+I179+I181+I186+I185+I190</f>
        <v>16938.557780617677</v>
      </c>
      <c r="J141" s="89">
        <f t="shared" si="72"/>
        <v>15337.53</v>
      </c>
      <c r="K141" s="10">
        <f t="shared" si="50"/>
        <v>-1601.0277806176764</v>
      </c>
      <c r="L141" s="16">
        <f t="shared" si="55"/>
        <v>-9.4519722478952026</v>
      </c>
      <c r="M141" s="220"/>
      <c r="N141" s="221"/>
      <c r="O141" s="122">
        <f t="shared" si="56"/>
        <v>-13101.899173229207</v>
      </c>
      <c r="P141" s="123">
        <f t="shared" si="57"/>
        <v>-46.069487166649509</v>
      </c>
      <c r="Q141" s="114"/>
      <c r="S141">
        <f t="shared" si="69"/>
        <v>16925.580000000002</v>
      </c>
      <c r="T141" s="44">
        <f>E141+апр!I139</f>
        <v>14946.245000000001</v>
      </c>
      <c r="U141" s="30">
        <f>F141+апр!J139</f>
        <v>11276.167000000001</v>
      </c>
    </row>
    <row r="142" spans="1:21" ht="17.25" customHeight="1">
      <c r="A142" s="99" t="s">
        <v>129</v>
      </c>
      <c r="B142" s="6" t="s">
        <v>130</v>
      </c>
      <c r="C142" s="99" t="s">
        <v>4</v>
      </c>
      <c r="D142" s="7">
        <f t="shared" ref="D142:F142" si="73">D143+D144</f>
        <v>97.608999999999995</v>
      </c>
      <c r="E142" s="7">
        <f t="shared" si="73"/>
        <v>97.582999999999998</v>
      </c>
      <c r="F142" s="7">
        <f t="shared" si="73"/>
        <v>42.49</v>
      </c>
      <c r="G142" s="10">
        <f t="shared" ref="G142:G206" si="74">F142-E142</f>
        <v>-55.092999999999996</v>
      </c>
      <c r="H142" s="7">
        <f t="shared" ref="H142:J142" si="75">H143+H144</f>
        <v>329.92050656254355</v>
      </c>
      <c r="I142" s="7">
        <f t="shared" si="75"/>
        <v>329.63678061767837</v>
      </c>
      <c r="J142" s="7">
        <f t="shared" si="75"/>
        <v>375.48800000000006</v>
      </c>
      <c r="K142" s="10">
        <f t="shared" ref="K142:K206" si="76">J142-I142</f>
        <v>45.851219382321688</v>
      </c>
      <c r="L142" s="16">
        <f t="shared" si="55"/>
        <v>13.909618731382153</v>
      </c>
      <c r="M142" s="220"/>
      <c r="N142" s="221"/>
      <c r="O142" s="122">
        <f t="shared" si="56"/>
        <v>45.567493437456505</v>
      </c>
      <c r="P142" s="123">
        <f t="shared" si="57"/>
        <v>13.811658424093201</v>
      </c>
      <c r="Q142" s="114"/>
      <c r="S142">
        <f t="shared" si="69"/>
        <v>488.04499999999996</v>
      </c>
      <c r="T142" s="44">
        <f>E142+апр!I140</f>
        <v>487.91499999999996</v>
      </c>
      <c r="U142" s="30">
        <f>F142+апр!J140</f>
        <v>335.48800000000006</v>
      </c>
    </row>
    <row r="143" spans="1:21" ht="37.5">
      <c r="A143" s="8" t="s">
        <v>131</v>
      </c>
      <c r="B143" s="9" t="s">
        <v>132</v>
      </c>
      <c r="C143" s="8" t="s">
        <v>4</v>
      </c>
      <c r="D143" s="10">
        <v>42.552999999999997</v>
      </c>
      <c r="E143" s="10">
        <v>42.5</v>
      </c>
      <c r="F143" s="10">
        <v>42.49</v>
      </c>
      <c r="G143" s="10">
        <f t="shared" si="74"/>
        <v>-9.9999999999980105E-3</v>
      </c>
      <c r="H143" s="10">
        <f>D143+май!H141</f>
        <v>255.31799999999998</v>
      </c>
      <c r="I143" s="10">
        <f>E143+май!I141</f>
        <v>255</v>
      </c>
      <c r="J143" s="10">
        <f>F143+май!J141</f>
        <v>239.53500000000003</v>
      </c>
      <c r="K143" s="10">
        <f t="shared" si="76"/>
        <v>-15.464999999999975</v>
      </c>
      <c r="L143" s="16">
        <f t="shared" si="55"/>
        <v>-6.0647058823529312</v>
      </c>
      <c r="M143" s="220"/>
      <c r="N143" s="221"/>
      <c r="O143" s="122">
        <f t="shared" si="56"/>
        <v>-15.782999999999959</v>
      </c>
      <c r="P143" s="123">
        <f t="shared" si="57"/>
        <v>-6.1817028176626643</v>
      </c>
      <c r="Q143" s="114"/>
      <c r="S143">
        <f t="shared" si="69"/>
        <v>212.76499999999999</v>
      </c>
      <c r="T143" s="44">
        <f>E143+апр!I141</f>
        <v>212.5</v>
      </c>
      <c r="U143" s="30">
        <f>F143+апр!J141</f>
        <v>199.53500000000003</v>
      </c>
    </row>
    <row r="144" spans="1:21" ht="17.25" customHeight="1">
      <c r="A144" s="8" t="s">
        <v>133</v>
      </c>
      <c r="B144" s="9" t="s">
        <v>63</v>
      </c>
      <c r="C144" s="8" t="s">
        <v>4</v>
      </c>
      <c r="D144" s="10">
        <v>55.055999999999997</v>
      </c>
      <c r="E144" s="8">
        <v>55.082999999999998</v>
      </c>
      <c r="F144" s="8"/>
      <c r="G144" s="10">
        <f t="shared" si="74"/>
        <v>-55.082999999999998</v>
      </c>
      <c r="H144" s="10">
        <f>D144+май!H144</f>
        <v>74.602506562543596</v>
      </c>
      <c r="I144" s="8">
        <f>E144+май!I144</f>
        <v>74.636780617678383</v>
      </c>
      <c r="J144" s="10">
        <f>F144+май!J142</f>
        <v>135.953</v>
      </c>
      <c r="K144" s="10">
        <f t="shared" si="76"/>
        <v>61.31621938232162</v>
      </c>
      <c r="L144" s="16">
        <f t="shared" si="55"/>
        <v>82.152819126014563</v>
      </c>
      <c r="M144" s="220"/>
      <c r="N144" s="221"/>
      <c r="O144" s="122">
        <f t="shared" si="56"/>
        <v>61.350493437456407</v>
      </c>
      <c r="P144" s="123">
        <f t="shared" si="57"/>
        <v>82.236504193089999</v>
      </c>
      <c r="Q144" s="114"/>
      <c r="S144">
        <f t="shared" si="69"/>
        <v>275.27999999999997</v>
      </c>
      <c r="T144" s="44">
        <f>E144+апр!I142</f>
        <v>275.41499999999996</v>
      </c>
      <c r="U144" s="30">
        <f>F144+апр!J142</f>
        <v>135.953</v>
      </c>
    </row>
    <row r="145" spans="1:21" ht="17.25" customHeight="1">
      <c r="A145" s="8"/>
      <c r="B145" s="12" t="s">
        <v>68</v>
      </c>
      <c r="C145" s="22" t="s">
        <v>66</v>
      </c>
      <c r="D145" s="14">
        <v>2816.6669999999999</v>
      </c>
      <c r="E145" s="59">
        <v>2817</v>
      </c>
      <c r="F145" s="59"/>
      <c r="G145" s="10">
        <f t="shared" si="74"/>
        <v>-2817</v>
      </c>
      <c r="H145" s="10">
        <f>D145+май!H145</f>
        <v>12388.456999999999</v>
      </c>
      <c r="I145" s="8">
        <f>E145+май!I145</f>
        <v>9899.0849999999991</v>
      </c>
      <c r="J145" s="10">
        <f>F145+май!J143</f>
        <v>552</v>
      </c>
      <c r="K145" s="10">
        <f t="shared" si="76"/>
        <v>-9347.0849999999991</v>
      </c>
      <c r="L145" s="16"/>
      <c r="M145" s="220"/>
      <c r="N145" s="221"/>
      <c r="O145" s="122">
        <f t="shared" si="56"/>
        <v>-11836.456999999999</v>
      </c>
      <c r="P145" s="123">
        <f t="shared" si="57"/>
        <v>-95.544239286619785</v>
      </c>
      <c r="Q145" s="114"/>
      <c r="S145">
        <f t="shared" si="69"/>
        <v>14083.334999999999</v>
      </c>
      <c r="T145" s="44">
        <f>E145+апр!I143</f>
        <v>2817</v>
      </c>
      <c r="U145" s="30">
        <f>F145+апр!J143</f>
        <v>552</v>
      </c>
    </row>
    <row r="146" spans="1:21" ht="17.25" customHeight="1">
      <c r="A146" s="8"/>
      <c r="B146" s="12" t="s">
        <v>15</v>
      </c>
      <c r="C146" s="13" t="s">
        <v>16</v>
      </c>
      <c r="D146" s="16">
        <f t="shared" ref="D146:F146" si="77">D144/D145*1000</f>
        <v>19.546506562543602</v>
      </c>
      <c r="E146" s="16">
        <f t="shared" si="77"/>
        <v>19.553780617678381</v>
      </c>
      <c r="F146" s="16" t="e">
        <f t="shared" si="77"/>
        <v>#DIV/0!</v>
      </c>
      <c r="G146" s="10" t="e">
        <f t="shared" si="74"/>
        <v>#DIV/0!</v>
      </c>
      <c r="H146" s="16">
        <f t="shared" ref="H146:J146" si="78">H144/H145*1000</f>
        <v>6.0219369177730213</v>
      </c>
      <c r="I146" s="16">
        <v>19.55</v>
      </c>
      <c r="J146" s="16">
        <f t="shared" si="78"/>
        <v>246.29166666666666</v>
      </c>
      <c r="K146" s="10">
        <f t="shared" si="76"/>
        <v>226.74166666666665</v>
      </c>
      <c r="L146" s="16"/>
      <c r="M146" s="220"/>
      <c r="N146" s="221"/>
      <c r="O146" s="122">
        <f t="shared" si="56"/>
        <v>240.26972974889364</v>
      </c>
      <c r="P146" s="123">
        <f t="shared" si="57"/>
        <v>3989.9077826565481</v>
      </c>
      <c r="Q146" s="114"/>
      <c r="S146">
        <f t="shared" si="69"/>
        <v>97.732532812718006</v>
      </c>
      <c r="T146" s="44">
        <f>E146+апр!I144</f>
        <v>19.553780617678381</v>
      </c>
      <c r="U146" s="30" t="e">
        <f>F146+апр!J144</f>
        <v>#DIV/0!</v>
      </c>
    </row>
    <row r="147" spans="1:21" ht="32.25" customHeight="1">
      <c r="A147" s="8" t="s">
        <v>134</v>
      </c>
      <c r="B147" s="9" t="s">
        <v>135</v>
      </c>
      <c r="C147" s="8" t="s">
        <v>4</v>
      </c>
      <c r="D147" s="10">
        <v>1914.3579999999999</v>
      </c>
      <c r="E147" s="8">
        <v>1416.4169999999999</v>
      </c>
      <c r="F147" s="54">
        <v>1370.4459999999999</v>
      </c>
      <c r="G147" s="10">
        <f t="shared" si="74"/>
        <v>-45.971000000000004</v>
      </c>
      <c r="H147" s="10">
        <f>D147+май!H145</f>
        <v>11486.147999999999</v>
      </c>
      <c r="I147" s="8">
        <f>E147+май!I145</f>
        <v>8498.5019999999986</v>
      </c>
      <c r="J147" s="10">
        <f>F147+май!J145</f>
        <v>8446.4130000000005</v>
      </c>
      <c r="K147" s="10">
        <f t="shared" si="76"/>
        <v>-52.088999999998123</v>
      </c>
      <c r="L147" s="16">
        <f>K147/I147*100</f>
        <v>-0.61291978280405335</v>
      </c>
      <c r="M147" s="227"/>
      <c r="N147" s="228"/>
      <c r="O147" s="122">
        <f>J147-H147</f>
        <v>-3039.7349999999988</v>
      </c>
      <c r="P147" s="123">
        <f>O147/H147*100</f>
        <v>-26.464355151962167</v>
      </c>
      <c r="Q147" s="116"/>
      <c r="S147">
        <f t="shared" si="69"/>
        <v>9571.7899999999991</v>
      </c>
      <c r="T147" s="44">
        <f>E147+апр!I145</f>
        <v>7082.0849999999991</v>
      </c>
      <c r="U147" s="30">
        <f>F147+апр!J145</f>
        <v>6788.4949999999999</v>
      </c>
    </row>
    <row r="148" spans="1:21" ht="17.25" customHeight="1">
      <c r="A148" s="8" t="s">
        <v>136</v>
      </c>
      <c r="B148" s="9" t="s">
        <v>77</v>
      </c>
      <c r="C148" s="8" t="s">
        <v>4</v>
      </c>
      <c r="D148" s="10">
        <v>105.29</v>
      </c>
      <c r="E148" s="10">
        <v>76.5</v>
      </c>
      <c r="F148" s="55">
        <v>83.123000000000005</v>
      </c>
      <c r="G148" s="10">
        <f t="shared" si="74"/>
        <v>6.6230000000000047</v>
      </c>
      <c r="H148" s="10">
        <f>D148+май!H148</f>
        <v>105.29</v>
      </c>
      <c r="I148" s="10">
        <f>E148+май!I146</f>
        <v>459</v>
      </c>
      <c r="J148" s="10">
        <f>F148+май!J146</f>
        <v>501.52299999999997</v>
      </c>
      <c r="K148" s="10">
        <f t="shared" si="76"/>
        <v>42.522999999999968</v>
      </c>
      <c r="L148" s="16">
        <f t="shared" si="55"/>
        <v>9.2642701525054392</v>
      </c>
      <c r="M148" s="227"/>
      <c r="N148" s="228"/>
      <c r="O148" s="122">
        <f t="shared" ref="O148:O211" si="79">J148-H148</f>
        <v>396.23299999999995</v>
      </c>
      <c r="P148" s="123">
        <f t="shared" ref="P148:P211" si="80">O148/H148*100</f>
        <v>376.32538702630825</v>
      </c>
      <c r="Q148" s="116"/>
      <c r="S148">
        <f t="shared" si="69"/>
        <v>526.45000000000005</v>
      </c>
      <c r="T148" s="44">
        <f>E148+апр!I146</f>
        <v>382.5</v>
      </c>
      <c r="U148" s="30">
        <f>F148+апр!J146</f>
        <v>405.54199999999997</v>
      </c>
    </row>
    <row r="149" spans="1:21" ht="17.25" customHeight="1">
      <c r="A149" s="8"/>
      <c r="B149" s="9" t="s">
        <v>307</v>
      </c>
      <c r="C149" s="8" t="s">
        <v>4</v>
      </c>
      <c r="D149" s="10">
        <v>84.231999999999999</v>
      </c>
      <c r="E149" s="10">
        <v>63.75</v>
      </c>
      <c r="F149" s="55">
        <v>36.616999999999997</v>
      </c>
      <c r="G149" s="10">
        <f t="shared" si="74"/>
        <v>-27.133000000000003</v>
      </c>
      <c r="H149" s="10">
        <f>D149+май!H149</f>
        <v>84.231999999999999</v>
      </c>
      <c r="I149" s="10">
        <f>E149+май!I147</f>
        <v>382.5</v>
      </c>
      <c r="J149" s="10">
        <f>F149+май!J147</f>
        <v>236.01699999999997</v>
      </c>
      <c r="K149" s="10">
        <f t="shared" si="76"/>
        <v>-146.48300000000003</v>
      </c>
      <c r="L149" s="16">
        <f t="shared" si="55"/>
        <v>-38.296209150326803</v>
      </c>
      <c r="M149" s="101"/>
      <c r="N149" s="102"/>
      <c r="O149" s="122">
        <f t="shared" si="79"/>
        <v>151.78499999999997</v>
      </c>
      <c r="P149" s="123">
        <f t="shared" si="80"/>
        <v>180.19873682211031</v>
      </c>
      <c r="Q149" s="116"/>
      <c r="S149">
        <f t="shared" si="69"/>
        <v>421.15999999999997</v>
      </c>
      <c r="T149" s="44">
        <f>E149+апр!I147</f>
        <v>318.75</v>
      </c>
      <c r="U149" s="30">
        <f>F149+апр!J147</f>
        <v>188.11099999999996</v>
      </c>
    </row>
    <row r="150" spans="1:21" ht="17.25" customHeight="1">
      <c r="A150" s="8"/>
      <c r="B150" s="9" t="s">
        <v>310</v>
      </c>
      <c r="C150" s="8" t="s">
        <v>4</v>
      </c>
      <c r="D150" s="10"/>
      <c r="E150" s="10">
        <v>21.25</v>
      </c>
      <c r="F150" s="55">
        <v>17.343</v>
      </c>
      <c r="G150" s="10">
        <f t="shared" si="74"/>
        <v>-3.907</v>
      </c>
      <c r="H150" s="10">
        <f>D150+май!H150</f>
        <v>387.9</v>
      </c>
      <c r="I150" s="8">
        <f>E150+апр!I148</f>
        <v>106.25</v>
      </c>
      <c r="J150" s="10">
        <f>F150+май!J148</f>
        <v>109.357</v>
      </c>
      <c r="K150" s="10">
        <f t="shared" si="76"/>
        <v>3.1069999999999993</v>
      </c>
      <c r="L150" s="16">
        <f t="shared" si="55"/>
        <v>2.9242352941176466</v>
      </c>
      <c r="M150" s="101"/>
      <c r="N150" s="102"/>
      <c r="O150" s="122">
        <f t="shared" si="79"/>
        <v>-278.54300000000001</v>
      </c>
      <c r="P150" s="123">
        <f t="shared" si="80"/>
        <v>-71.807940190770822</v>
      </c>
      <c r="Q150" s="116"/>
      <c r="S150">
        <f t="shared" si="69"/>
        <v>0</v>
      </c>
      <c r="T150" s="44">
        <f>E150+апр!I148</f>
        <v>106.25</v>
      </c>
      <c r="U150" s="30">
        <f>F150+апр!J148</f>
        <v>86.676000000000002</v>
      </c>
    </row>
    <row r="151" spans="1:21" ht="17.25" customHeight="1">
      <c r="A151" s="8"/>
      <c r="B151" s="9" t="s">
        <v>315</v>
      </c>
      <c r="C151" s="8" t="s">
        <v>4</v>
      </c>
      <c r="D151" s="10"/>
      <c r="E151" s="10"/>
      <c r="F151" s="10"/>
      <c r="G151" s="10">
        <f t="shared" si="74"/>
        <v>0</v>
      </c>
      <c r="H151" s="10">
        <f>D151+май!H151</f>
        <v>1195.7449999999999</v>
      </c>
      <c r="I151" s="10">
        <f>E151+май!I149</f>
        <v>0</v>
      </c>
      <c r="J151" s="10">
        <f>F151+май!J149</f>
        <v>211.14000000000004</v>
      </c>
      <c r="K151" s="10"/>
      <c r="L151" s="16"/>
      <c r="M151" s="101"/>
      <c r="N151" s="102"/>
      <c r="O151" s="122">
        <f t="shared" si="79"/>
        <v>-984.60499999999979</v>
      </c>
      <c r="P151" s="123">
        <f t="shared" si="80"/>
        <v>-82.342389054522485</v>
      </c>
      <c r="Q151" s="116"/>
      <c r="S151">
        <f t="shared" si="69"/>
        <v>0</v>
      </c>
      <c r="T151" s="44">
        <f>E151+апр!I149</f>
        <v>0</v>
      </c>
      <c r="U151" s="30">
        <f>F151+апр!J149</f>
        <v>211.14000000000004</v>
      </c>
    </row>
    <row r="152" spans="1:21" ht="17.25" customHeight="1">
      <c r="A152" s="8" t="s">
        <v>137</v>
      </c>
      <c r="B152" s="9" t="s">
        <v>138</v>
      </c>
      <c r="C152" s="8" t="s">
        <v>4</v>
      </c>
      <c r="D152" s="10">
        <v>77.58</v>
      </c>
      <c r="E152" s="8">
        <v>77.582999999999998</v>
      </c>
      <c r="F152" s="55">
        <v>92.665000000000006</v>
      </c>
      <c r="G152" s="10">
        <f t="shared" si="74"/>
        <v>15.082000000000008</v>
      </c>
      <c r="H152" s="10">
        <f>D152+май!H152</f>
        <v>121.36999999999999</v>
      </c>
      <c r="I152" s="8">
        <f>E152+май!I150</f>
        <v>465.49799999999993</v>
      </c>
      <c r="J152" s="10">
        <f>F152+май!J150</f>
        <v>801.27199999999993</v>
      </c>
      <c r="K152" s="10">
        <f t="shared" si="76"/>
        <v>335.774</v>
      </c>
      <c r="L152" s="16">
        <f t="shared" si="55"/>
        <v>72.132211094354872</v>
      </c>
      <c r="M152" s="227" t="s">
        <v>301</v>
      </c>
      <c r="N152" s="228"/>
      <c r="O152" s="122">
        <f t="shared" si="79"/>
        <v>679.90199999999993</v>
      </c>
      <c r="P152" s="123">
        <f t="shared" si="80"/>
        <v>560.18950317211829</v>
      </c>
      <c r="Q152" s="116"/>
      <c r="S152">
        <f t="shared" si="69"/>
        <v>387.9</v>
      </c>
      <c r="T152" s="44">
        <f>E152+апр!I150</f>
        <v>387.91499999999996</v>
      </c>
      <c r="U152" s="30">
        <f>F152+апр!J150</f>
        <v>654.77</v>
      </c>
    </row>
    <row r="153" spans="1:21" ht="17.25" customHeight="1">
      <c r="A153" s="99" t="s">
        <v>139</v>
      </c>
      <c r="B153" s="6" t="s">
        <v>140</v>
      </c>
      <c r="C153" s="99" t="s">
        <v>4</v>
      </c>
      <c r="D153" s="7">
        <f t="shared" ref="D153:F153" si="81">D154+D155</f>
        <v>239.149</v>
      </c>
      <c r="E153" s="99">
        <v>47.832999999999998</v>
      </c>
      <c r="F153" s="7">
        <f t="shared" si="81"/>
        <v>62.483000000000004</v>
      </c>
      <c r="G153" s="10">
        <f t="shared" si="74"/>
        <v>14.650000000000006</v>
      </c>
      <c r="H153" s="7">
        <f t="shared" ref="H153" si="82">H154+H155</f>
        <v>377.709</v>
      </c>
      <c r="I153" s="8">
        <f>E153+май!I151</f>
        <v>286.99799999999999</v>
      </c>
      <c r="J153" s="7">
        <f t="shared" ref="J153" si="83">J154+J155</f>
        <v>303.44900000000001</v>
      </c>
      <c r="K153" s="10">
        <f t="shared" si="76"/>
        <v>16.451000000000022</v>
      </c>
      <c r="L153" s="16">
        <f t="shared" si="55"/>
        <v>5.7320956940466568</v>
      </c>
      <c r="M153" s="220"/>
      <c r="N153" s="221"/>
      <c r="O153" s="122">
        <f t="shared" si="79"/>
        <v>-74.259999999999991</v>
      </c>
      <c r="P153" s="123">
        <f t="shared" si="80"/>
        <v>-19.660638216192886</v>
      </c>
      <c r="Q153" s="114"/>
      <c r="S153">
        <f t="shared" si="69"/>
        <v>1195.7449999999999</v>
      </c>
      <c r="T153" s="44">
        <f>E153+апр!I151</f>
        <v>239.16499999999999</v>
      </c>
      <c r="U153" s="30">
        <f>F153+апр!J151</f>
        <v>240.41400000000002</v>
      </c>
    </row>
    <row r="154" spans="1:21" ht="17.25" customHeight="1">
      <c r="A154" s="8" t="s">
        <v>141</v>
      </c>
      <c r="B154" s="9" t="s">
        <v>81</v>
      </c>
      <c r="C154" s="8" t="s">
        <v>4</v>
      </c>
      <c r="D154" s="10">
        <v>8.7579999999999991</v>
      </c>
      <c r="E154" s="8"/>
      <c r="F154" s="55">
        <v>50.508000000000003</v>
      </c>
      <c r="G154" s="10">
        <f t="shared" si="74"/>
        <v>50.508000000000003</v>
      </c>
      <c r="H154" s="10">
        <f>D154+май!H154</f>
        <v>78.037999999999997</v>
      </c>
      <c r="I154" s="8"/>
      <c r="J154" s="10">
        <f>F154+май!J152</f>
        <v>231.59800000000001</v>
      </c>
      <c r="K154" s="10">
        <f t="shared" si="76"/>
        <v>231.59800000000001</v>
      </c>
      <c r="L154" s="16"/>
      <c r="M154" s="220"/>
      <c r="N154" s="221"/>
      <c r="O154" s="122">
        <f t="shared" si="79"/>
        <v>153.56</v>
      </c>
      <c r="P154" s="123">
        <f t="shared" si="80"/>
        <v>196.77592967528642</v>
      </c>
      <c r="Q154" s="114"/>
      <c r="S154">
        <f t="shared" si="69"/>
        <v>43.789999999999992</v>
      </c>
      <c r="T154" s="44">
        <f>E154+апр!I152</f>
        <v>0</v>
      </c>
      <c r="U154" s="30">
        <f>F154+апр!J152</f>
        <v>180.53800000000001</v>
      </c>
    </row>
    <row r="155" spans="1:21" ht="17.25" customHeight="1">
      <c r="A155" s="8" t="s">
        <v>142</v>
      </c>
      <c r="B155" s="9" t="s">
        <v>143</v>
      </c>
      <c r="C155" s="8"/>
      <c r="D155" s="10">
        <v>230.39099999999999</v>
      </c>
      <c r="E155" s="8"/>
      <c r="F155" s="55">
        <v>11.975</v>
      </c>
      <c r="G155" s="10">
        <f t="shared" si="74"/>
        <v>11.975</v>
      </c>
      <c r="H155" s="10">
        <f>D155+май!H155</f>
        <v>299.67099999999999</v>
      </c>
      <c r="I155" s="8"/>
      <c r="J155" s="10">
        <f>F155+май!J153</f>
        <v>71.850999999999999</v>
      </c>
      <c r="K155" s="10">
        <f t="shared" si="76"/>
        <v>71.850999999999999</v>
      </c>
      <c r="L155" s="16"/>
      <c r="M155" s="220"/>
      <c r="N155" s="221"/>
      <c r="O155" s="122">
        <f t="shared" si="79"/>
        <v>-227.82</v>
      </c>
      <c r="P155" s="123">
        <f t="shared" si="80"/>
        <v>-76.023372298287114</v>
      </c>
      <c r="Q155" s="114"/>
      <c r="S155">
        <f t="shared" si="69"/>
        <v>1151.9549999999999</v>
      </c>
      <c r="T155" s="44">
        <f>E155+апр!I153</f>
        <v>0</v>
      </c>
      <c r="U155" s="30">
        <f>F155+апр!J153</f>
        <v>59.876000000000005</v>
      </c>
    </row>
    <row r="156" spans="1:21" ht="75.75" customHeight="1">
      <c r="A156" s="99" t="s">
        <v>144</v>
      </c>
      <c r="B156" s="6" t="s">
        <v>145</v>
      </c>
      <c r="C156" s="99" t="s">
        <v>4</v>
      </c>
      <c r="D156" s="7">
        <f t="shared" ref="D156:J156" si="84">D157</f>
        <v>13.856</v>
      </c>
      <c r="E156" s="7">
        <f t="shared" si="84"/>
        <v>13.833</v>
      </c>
      <c r="F156" s="7">
        <f t="shared" si="84"/>
        <v>19.864999999999998</v>
      </c>
      <c r="G156" s="10">
        <f t="shared" si="74"/>
        <v>6.0319999999999983</v>
      </c>
      <c r="H156" s="7">
        <f t="shared" si="84"/>
        <v>258.99599999999998</v>
      </c>
      <c r="I156" s="7">
        <f t="shared" si="84"/>
        <v>82.998000000000005</v>
      </c>
      <c r="J156" s="7">
        <f t="shared" si="84"/>
        <v>160.78700000000001</v>
      </c>
      <c r="K156" s="10">
        <f t="shared" si="76"/>
        <v>77.789000000000001</v>
      </c>
      <c r="L156" s="16">
        <f t="shared" ref="L156:L205" si="85">K156/I156*100</f>
        <v>93.723945155304946</v>
      </c>
      <c r="M156" s="220"/>
      <c r="N156" s="221"/>
      <c r="O156" s="122">
        <f t="shared" si="79"/>
        <v>-98.208999999999975</v>
      </c>
      <c r="P156" s="123">
        <f t="shared" si="80"/>
        <v>-37.919118441983649</v>
      </c>
      <c r="Q156" s="114"/>
      <c r="S156">
        <f t="shared" si="69"/>
        <v>69.28</v>
      </c>
      <c r="T156" s="44">
        <f>E156+апр!I154</f>
        <v>69.165000000000006</v>
      </c>
      <c r="U156" s="30">
        <f>F156+апр!J154</f>
        <v>155.61700000000002</v>
      </c>
    </row>
    <row r="157" spans="1:21" ht="17.25" customHeight="1">
      <c r="A157" s="8" t="s">
        <v>146</v>
      </c>
      <c r="B157" s="9" t="s">
        <v>147</v>
      </c>
      <c r="C157" s="8" t="s">
        <v>4</v>
      </c>
      <c r="D157" s="10">
        <v>13.856</v>
      </c>
      <c r="E157" s="8">
        <v>13.833</v>
      </c>
      <c r="F157" s="55">
        <f>15.725+4.14</f>
        <v>19.864999999999998</v>
      </c>
      <c r="G157" s="10">
        <f t="shared" si="74"/>
        <v>6.0319999999999983</v>
      </c>
      <c r="H157" s="10">
        <f>D157+май!H157</f>
        <v>258.99599999999998</v>
      </c>
      <c r="I157" s="8">
        <f>E157+май!I155</f>
        <v>82.998000000000005</v>
      </c>
      <c r="J157" s="10">
        <f>F157+май!J155</f>
        <v>160.78700000000001</v>
      </c>
      <c r="K157" s="10">
        <f t="shared" si="76"/>
        <v>77.789000000000001</v>
      </c>
      <c r="L157" s="16">
        <f t="shared" si="85"/>
        <v>93.723945155304946</v>
      </c>
      <c r="M157" s="220"/>
      <c r="N157" s="221"/>
      <c r="O157" s="122">
        <f t="shared" si="79"/>
        <v>-98.208999999999975</v>
      </c>
      <c r="P157" s="123">
        <f t="shared" si="80"/>
        <v>-37.919118441983649</v>
      </c>
      <c r="Q157" s="114"/>
      <c r="S157">
        <f t="shared" si="69"/>
        <v>69.28</v>
      </c>
      <c r="T157" s="44">
        <f>E157+апр!I155</f>
        <v>69.165000000000006</v>
      </c>
      <c r="U157" s="30">
        <f>F157+апр!J155</f>
        <v>155.61700000000002</v>
      </c>
    </row>
    <row r="158" spans="1:21" ht="18" customHeight="1">
      <c r="A158" s="99" t="s">
        <v>148</v>
      </c>
      <c r="B158" s="6" t="s">
        <v>149</v>
      </c>
      <c r="C158" s="99" t="s">
        <v>4</v>
      </c>
      <c r="D158" s="27">
        <f t="shared" ref="D158" si="86">D159+D162+D165+D168+D171</f>
        <v>71.188999999999993</v>
      </c>
      <c r="E158" s="99">
        <v>72.417000000000002</v>
      </c>
      <c r="F158" s="27">
        <f>F159+F162+F165+F168+F171</f>
        <v>21.105</v>
      </c>
      <c r="G158" s="10">
        <f t="shared" si="74"/>
        <v>-51.311999999999998</v>
      </c>
      <c r="H158" s="27">
        <f>H159+H162+H165+H168+H171</f>
        <v>2847.1206666666667</v>
      </c>
      <c r="I158" s="8">
        <f>E158+май!I156</f>
        <v>434.50200000000007</v>
      </c>
      <c r="J158" s="27">
        <f>J159+J162+J165+J168+J171</f>
        <v>567.72399999999993</v>
      </c>
      <c r="K158" s="10">
        <f t="shared" si="76"/>
        <v>133.22199999999987</v>
      </c>
      <c r="L158" s="16">
        <f t="shared" si="85"/>
        <v>30.660848511629368</v>
      </c>
      <c r="M158" s="220"/>
      <c r="N158" s="221"/>
      <c r="O158" s="122">
        <f t="shared" si="79"/>
        <v>-2279.3966666666665</v>
      </c>
      <c r="P158" s="123">
        <f t="shared" si="80"/>
        <v>-80.059714129901067</v>
      </c>
      <c r="Q158" s="114"/>
      <c r="S158">
        <f t="shared" si="69"/>
        <v>355.94499999999994</v>
      </c>
      <c r="T158" s="44">
        <f>E158+апр!I156</f>
        <v>362.08500000000004</v>
      </c>
      <c r="U158" s="30">
        <f>F158+апр!J156</f>
        <v>547.02300000000002</v>
      </c>
    </row>
    <row r="159" spans="1:21" ht="17.25" customHeight="1">
      <c r="A159" s="8" t="s">
        <v>150</v>
      </c>
      <c r="B159" s="9" t="s">
        <v>151</v>
      </c>
      <c r="C159" s="8" t="s">
        <v>4</v>
      </c>
      <c r="D159" s="10">
        <v>49.027999999999999</v>
      </c>
      <c r="E159" s="8"/>
      <c r="F159" s="8"/>
      <c r="G159" s="10">
        <f t="shared" si="74"/>
        <v>0</v>
      </c>
      <c r="H159" s="10">
        <f>D159+май!H157</f>
        <v>294.16800000000001</v>
      </c>
      <c r="I159" s="8"/>
      <c r="J159" s="10">
        <f>F159+май!J157</f>
        <v>483.976</v>
      </c>
      <c r="K159" s="10">
        <f t="shared" si="76"/>
        <v>483.976</v>
      </c>
      <c r="L159" s="16"/>
      <c r="M159" s="220"/>
      <c r="N159" s="221"/>
      <c r="O159" s="122">
        <f t="shared" si="79"/>
        <v>189.80799999999999</v>
      </c>
      <c r="P159" s="123">
        <f t="shared" si="80"/>
        <v>64.523673547088734</v>
      </c>
      <c r="Q159" s="114"/>
      <c r="S159">
        <f t="shared" si="69"/>
        <v>245.14</v>
      </c>
      <c r="T159" s="44">
        <f>E159+апр!I157</f>
        <v>0</v>
      </c>
      <c r="U159" s="30">
        <f>F159+апр!J157</f>
        <v>483.976</v>
      </c>
    </row>
    <row r="160" spans="1:21" ht="17.25" customHeight="1">
      <c r="A160" s="8"/>
      <c r="B160" s="28" t="s">
        <v>13</v>
      </c>
      <c r="C160" s="8" t="s">
        <v>152</v>
      </c>
      <c r="D160" s="10">
        <v>13.144</v>
      </c>
      <c r="E160" s="8"/>
      <c r="F160" s="8"/>
      <c r="G160" s="10">
        <f t="shared" si="74"/>
        <v>0</v>
      </c>
      <c r="H160" s="10">
        <f>D160+май!H160</f>
        <v>17.759</v>
      </c>
      <c r="I160" s="8"/>
      <c r="J160" s="10">
        <f>F160+май!J158</f>
        <v>81.87</v>
      </c>
      <c r="K160" s="10">
        <f t="shared" si="76"/>
        <v>81.87</v>
      </c>
      <c r="L160" s="16"/>
      <c r="M160" s="227" t="s">
        <v>302</v>
      </c>
      <c r="N160" s="228"/>
      <c r="O160" s="122">
        <f t="shared" si="79"/>
        <v>64.111000000000004</v>
      </c>
      <c r="P160" s="123">
        <f t="shared" si="80"/>
        <v>361.00568725716539</v>
      </c>
      <c r="Q160" s="116"/>
      <c r="S160">
        <f t="shared" si="69"/>
        <v>65.72</v>
      </c>
      <c r="T160" s="44">
        <f>E160+апр!I158</f>
        <v>0</v>
      </c>
      <c r="U160" s="30">
        <f>F160+апр!J158</f>
        <v>81.87</v>
      </c>
    </row>
    <row r="161" spans="1:21" ht="17.25" customHeight="1">
      <c r="A161" s="8"/>
      <c r="B161" s="28" t="s">
        <v>15</v>
      </c>
      <c r="C161" s="8" t="s">
        <v>16</v>
      </c>
      <c r="D161" s="16">
        <f>D159/D160*1000</f>
        <v>3730.0669506999393</v>
      </c>
      <c r="E161" s="16"/>
      <c r="F161" s="16" t="e">
        <f>F159/F160*1000</f>
        <v>#DIV/0!</v>
      </c>
      <c r="G161" s="10" t="e">
        <f t="shared" si="74"/>
        <v>#DIV/0!</v>
      </c>
      <c r="H161" s="16">
        <f>H159/H160*1000</f>
        <v>16564.446196294833</v>
      </c>
      <c r="I161" s="8"/>
      <c r="J161" s="16">
        <f>J159/J160*1000</f>
        <v>5911.5182606571389</v>
      </c>
      <c r="K161" s="10">
        <f t="shared" si="76"/>
        <v>5911.5182606571389</v>
      </c>
      <c r="L161" s="16"/>
      <c r="M161" s="220"/>
      <c r="N161" s="221"/>
      <c r="O161" s="122">
        <f t="shared" si="79"/>
        <v>-10652.927935637694</v>
      </c>
      <c r="P161" s="123">
        <f t="shared" si="80"/>
        <v>-64.312007835315143</v>
      </c>
      <c r="Q161" s="114"/>
      <c r="S161">
        <f t="shared" si="69"/>
        <v>18650.334753499697</v>
      </c>
      <c r="T161" s="44">
        <f>E161+апр!I159</f>
        <v>0</v>
      </c>
      <c r="U161" s="30" t="e">
        <f>F161+апр!J159</f>
        <v>#DIV/0!</v>
      </c>
    </row>
    <row r="162" spans="1:21" ht="17.25" customHeight="1">
      <c r="A162" s="8" t="s">
        <v>153</v>
      </c>
      <c r="B162" s="9" t="s">
        <v>154</v>
      </c>
      <c r="C162" s="8" t="s">
        <v>4</v>
      </c>
      <c r="D162" s="10">
        <v>0.92300000000000004</v>
      </c>
      <c r="E162" s="8"/>
      <c r="F162" s="8"/>
      <c r="G162" s="10">
        <f t="shared" si="74"/>
        <v>0</v>
      </c>
      <c r="H162" s="10">
        <f>D162+май!H162</f>
        <v>1231.5896666666667</v>
      </c>
      <c r="I162" s="8"/>
      <c r="J162" s="10">
        <f>F162+май!J160</f>
        <v>0</v>
      </c>
      <c r="K162" s="10">
        <f t="shared" si="76"/>
        <v>0</v>
      </c>
      <c r="L162" s="16"/>
      <c r="M162" s="220"/>
      <c r="N162" s="221"/>
      <c r="O162" s="122">
        <f t="shared" si="79"/>
        <v>-1231.5896666666667</v>
      </c>
      <c r="P162" s="123">
        <f t="shared" si="80"/>
        <v>-100</v>
      </c>
      <c r="Q162" s="114"/>
      <c r="S162">
        <f t="shared" si="69"/>
        <v>4.6150000000000002</v>
      </c>
      <c r="T162" s="44">
        <f>E162+апр!I160</f>
        <v>0</v>
      </c>
      <c r="U162" s="30">
        <f>F162+апр!J160</f>
        <v>0</v>
      </c>
    </row>
    <row r="163" spans="1:21" ht="17.25" customHeight="1">
      <c r="A163" s="8"/>
      <c r="B163" s="28" t="s">
        <v>13</v>
      </c>
      <c r="C163" s="8" t="s">
        <v>155</v>
      </c>
      <c r="D163" s="10">
        <v>0.75</v>
      </c>
      <c r="E163" s="8"/>
      <c r="F163" s="8"/>
      <c r="G163" s="10">
        <f t="shared" si="74"/>
        <v>0</v>
      </c>
      <c r="H163" s="10">
        <f>D163+май!H163</f>
        <v>11.65</v>
      </c>
      <c r="I163" s="8"/>
      <c r="J163" s="10">
        <f>F163+май!J161</f>
        <v>0</v>
      </c>
      <c r="K163" s="10">
        <f t="shared" si="76"/>
        <v>0</v>
      </c>
      <c r="L163" s="16"/>
      <c r="M163" s="220"/>
      <c r="N163" s="221"/>
      <c r="O163" s="122">
        <f t="shared" si="79"/>
        <v>-11.65</v>
      </c>
      <c r="P163" s="123">
        <f t="shared" si="80"/>
        <v>-100</v>
      </c>
      <c r="Q163" s="114"/>
      <c r="S163">
        <f t="shared" si="69"/>
        <v>3.75</v>
      </c>
      <c r="T163" s="44">
        <f>E163+апр!I161</f>
        <v>0</v>
      </c>
      <c r="U163" s="30">
        <f>F163+апр!J161</f>
        <v>0</v>
      </c>
    </row>
    <row r="164" spans="1:21" ht="17.25" customHeight="1">
      <c r="A164" s="8"/>
      <c r="B164" s="28" t="s">
        <v>15</v>
      </c>
      <c r="C164" s="8" t="s">
        <v>16</v>
      </c>
      <c r="D164" s="16">
        <f>D162/D163*1000</f>
        <v>1230.6666666666667</v>
      </c>
      <c r="E164" s="8"/>
      <c r="F164" s="8"/>
      <c r="G164" s="10">
        <f t="shared" si="74"/>
        <v>0</v>
      </c>
      <c r="H164" s="16">
        <f>H162/H163*1000</f>
        <v>105715.8512160229</v>
      </c>
      <c r="I164" s="8"/>
      <c r="J164" s="8"/>
      <c r="K164" s="10">
        <f t="shared" si="76"/>
        <v>0</v>
      </c>
      <c r="L164" s="16"/>
      <c r="M164" s="220"/>
      <c r="N164" s="221"/>
      <c r="O164" s="122">
        <f t="shared" si="79"/>
        <v>-105715.8512160229</v>
      </c>
      <c r="P164" s="123">
        <f t="shared" si="80"/>
        <v>-100</v>
      </c>
      <c r="Q164" s="114"/>
      <c r="S164">
        <f t="shared" si="69"/>
        <v>6153.3333333333339</v>
      </c>
      <c r="T164" s="44">
        <f>E164+апр!I162</f>
        <v>0</v>
      </c>
      <c r="U164" s="30">
        <f>F164+апр!J162</f>
        <v>0</v>
      </c>
    </row>
    <row r="165" spans="1:21" ht="17.25" customHeight="1">
      <c r="A165" s="8" t="s">
        <v>156</v>
      </c>
      <c r="B165" s="9" t="s">
        <v>157</v>
      </c>
      <c r="C165" s="8" t="s">
        <v>4</v>
      </c>
      <c r="D165" s="10">
        <v>2.1800000000000002</v>
      </c>
      <c r="E165" s="8"/>
      <c r="F165" s="55">
        <v>2.887</v>
      </c>
      <c r="G165" s="10">
        <f t="shared" si="74"/>
        <v>2.887</v>
      </c>
      <c r="H165" s="10">
        <f>D165+май!H165</f>
        <v>111.18</v>
      </c>
      <c r="I165" s="8"/>
      <c r="J165" s="10">
        <f>F165+май!J163</f>
        <v>18.314999999999998</v>
      </c>
      <c r="K165" s="10">
        <f t="shared" si="76"/>
        <v>18.314999999999998</v>
      </c>
      <c r="L165" s="16"/>
      <c r="M165" s="220"/>
      <c r="N165" s="221"/>
      <c r="O165" s="122">
        <f t="shared" si="79"/>
        <v>-92.865000000000009</v>
      </c>
      <c r="P165" s="123">
        <f t="shared" si="80"/>
        <v>-83.526713437668647</v>
      </c>
      <c r="Q165" s="114"/>
      <c r="S165">
        <f t="shared" si="69"/>
        <v>10.9</v>
      </c>
      <c r="T165" s="44">
        <f>E165+апр!I163</f>
        <v>0</v>
      </c>
      <c r="U165" s="30">
        <f>F165+апр!J163</f>
        <v>15.69</v>
      </c>
    </row>
    <row r="166" spans="1:21" ht="17.25" customHeight="1">
      <c r="A166" s="8"/>
      <c r="B166" s="28" t="s">
        <v>13</v>
      </c>
      <c r="C166" s="8" t="s">
        <v>155</v>
      </c>
      <c r="D166" s="14">
        <v>20</v>
      </c>
      <c r="E166" s="8"/>
      <c r="F166" s="8"/>
      <c r="G166" s="10">
        <f t="shared" si="74"/>
        <v>0</v>
      </c>
      <c r="H166" s="10">
        <f>D166+май!H166</f>
        <v>115.28999999999999</v>
      </c>
      <c r="I166" s="8"/>
      <c r="J166" s="10">
        <f>F166+май!J164</f>
        <v>99</v>
      </c>
      <c r="K166" s="10">
        <f t="shared" si="76"/>
        <v>99</v>
      </c>
      <c r="L166" s="16"/>
      <c r="M166" s="220"/>
      <c r="N166" s="221"/>
      <c r="O166" s="122">
        <f t="shared" si="79"/>
        <v>-16.289999999999992</v>
      </c>
      <c r="P166" s="123">
        <f t="shared" si="80"/>
        <v>-14.129586260733795</v>
      </c>
      <c r="Q166" s="114"/>
      <c r="S166">
        <f t="shared" si="69"/>
        <v>100</v>
      </c>
      <c r="T166" s="44">
        <f>E166+апр!I164</f>
        <v>0</v>
      </c>
      <c r="U166" s="30">
        <f>F166+апр!J164</f>
        <v>99</v>
      </c>
    </row>
    <row r="167" spans="1:21" ht="17.25" customHeight="1">
      <c r="A167" s="8"/>
      <c r="B167" s="28" t="s">
        <v>15</v>
      </c>
      <c r="C167" s="8" t="s">
        <v>16</v>
      </c>
      <c r="D167" s="16">
        <f>D165/D166*1000</f>
        <v>109.00000000000001</v>
      </c>
      <c r="E167" s="16"/>
      <c r="F167" s="16" t="e">
        <f t="shared" ref="F167" si="87">F165/F166*1000</f>
        <v>#DIV/0!</v>
      </c>
      <c r="G167" s="10" t="e">
        <f t="shared" si="74"/>
        <v>#DIV/0!</v>
      </c>
      <c r="H167" s="16">
        <f>H165/H166*1000</f>
        <v>964.3507676294563</v>
      </c>
      <c r="I167" s="8"/>
      <c r="J167" s="16">
        <f t="shared" ref="J167" si="88">J165/J166*1000</f>
        <v>184.99999999999997</v>
      </c>
      <c r="K167" s="10">
        <f t="shared" si="76"/>
        <v>184.99999999999997</v>
      </c>
      <c r="L167" s="16"/>
      <c r="M167" s="220"/>
      <c r="N167" s="221"/>
      <c r="O167" s="122">
        <f t="shared" si="79"/>
        <v>-779.3507676294563</v>
      </c>
      <c r="P167" s="123">
        <f t="shared" si="80"/>
        <v>-80.816109012412312</v>
      </c>
      <c r="Q167" s="114"/>
      <c r="S167">
        <f t="shared" si="69"/>
        <v>545.00000000000011</v>
      </c>
      <c r="T167" s="44">
        <f>E167+апр!I165</f>
        <v>0</v>
      </c>
      <c r="U167" s="30" t="e">
        <f>F167+апр!J165</f>
        <v>#DIV/0!</v>
      </c>
    </row>
    <row r="168" spans="1:21" ht="17.25" customHeight="1">
      <c r="A168" s="8" t="s">
        <v>158</v>
      </c>
      <c r="B168" s="9" t="s">
        <v>159</v>
      </c>
      <c r="C168" s="8" t="s">
        <v>4</v>
      </c>
      <c r="D168" s="10">
        <v>19.058</v>
      </c>
      <c r="E168" s="8"/>
      <c r="F168" s="54">
        <v>16.649999999999999</v>
      </c>
      <c r="G168" s="10">
        <f t="shared" si="74"/>
        <v>16.649999999999999</v>
      </c>
      <c r="H168" s="10">
        <f>D168+май!H168</f>
        <v>1210.183</v>
      </c>
      <c r="I168" s="8"/>
      <c r="J168" s="10">
        <f>F168+май!J166</f>
        <v>55.499999999999993</v>
      </c>
      <c r="K168" s="10">
        <f t="shared" si="76"/>
        <v>55.499999999999993</v>
      </c>
      <c r="L168" s="16"/>
      <c r="M168" s="220"/>
      <c r="N168" s="221"/>
      <c r="O168" s="122">
        <f t="shared" si="79"/>
        <v>-1154.683</v>
      </c>
      <c r="P168" s="123">
        <f t="shared" si="80"/>
        <v>-95.413916738212322</v>
      </c>
      <c r="Q168" s="114"/>
      <c r="S168">
        <f t="shared" si="69"/>
        <v>95.289999999999992</v>
      </c>
      <c r="T168" s="44">
        <f>E168+апр!I166</f>
        <v>0</v>
      </c>
      <c r="U168" s="30">
        <f>F168+апр!J166</f>
        <v>38.849999999999994</v>
      </c>
    </row>
    <row r="169" spans="1:21" ht="17.25" customHeight="1">
      <c r="A169" s="8"/>
      <c r="B169" s="28" t="s">
        <v>13</v>
      </c>
      <c r="C169" s="8" t="s">
        <v>155</v>
      </c>
      <c r="D169" s="14">
        <v>16</v>
      </c>
      <c r="E169" s="8"/>
      <c r="F169" s="8"/>
      <c r="G169" s="10">
        <f t="shared" si="74"/>
        <v>0</v>
      </c>
      <c r="H169" s="10">
        <f>D169+май!H169</f>
        <v>16</v>
      </c>
      <c r="I169" s="8"/>
      <c r="J169" s="10">
        <f>F169+май!J167</f>
        <v>6</v>
      </c>
      <c r="K169" s="10">
        <f t="shared" si="76"/>
        <v>6</v>
      </c>
      <c r="L169" s="16"/>
      <c r="M169" s="220"/>
      <c r="N169" s="221"/>
      <c r="O169" s="122">
        <f t="shared" si="79"/>
        <v>-10</v>
      </c>
      <c r="P169" s="123">
        <f t="shared" si="80"/>
        <v>-62.5</v>
      </c>
      <c r="Q169" s="114"/>
      <c r="S169">
        <f t="shared" si="69"/>
        <v>80</v>
      </c>
      <c r="T169" s="44">
        <f>E169+апр!I167</f>
        <v>0</v>
      </c>
      <c r="U169" s="30">
        <f>F169+апр!J167</f>
        <v>6</v>
      </c>
    </row>
    <row r="170" spans="1:21" ht="17.25" customHeight="1">
      <c r="A170" s="8"/>
      <c r="B170" s="28" t="s">
        <v>15</v>
      </c>
      <c r="C170" s="8" t="s">
        <v>16</v>
      </c>
      <c r="D170" s="16">
        <f>D168/D169*1000</f>
        <v>1191.125</v>
      </c>
      <c r="E170" s="8"/>
      <c r="F170" s="16" t="e">
        <f>F168/F169*1000</f>
        <v>#DIV/0!</v>
      </c>
      <c r="G170" s="10" t="e">
        <f t="shared" si="74"/>
        <v>#DIV/0!</v>
      </c>
      <c r="H170" s="16">
        <f>H168/H169*1000</f>
        <v>75636.4375</v>
      </c>
      <c r="I170" s="8"/>
      <c r="J170" s="16">
        <f>J168/J169*1000</f>
        <v>9249.9999999999982</v>
      </c>
      <c r="K170" s="10">
        <f t="shared" si="76"/>
        <v>9249.9999999999982</v>
      </c>
      <c r="L170" s="16"/>
      <c r="M170" s="220"/>
      <c r="N170" s="221"/>
      <c r="O170" s="122">
        <f t="shared" si="79"/>
        <v>-66386.4375</v>
      </c>
      <c r="P170" s="123">
        <f t="shared" si="80"/>
        <v>-87.770444635232863</v>
      </c>
      <c r="Q170" s="114"/>
      <c r="S170">
        <f t="shared" si="69"/>
        <v>5955.625</v>
      </c>
      <c r="T170" s="44">
        <f>E170+апр!I168</f>
        <v>0</v>
      </c>
      <c r="U170" s="30" t="e">
        <f>F170+апр!J168</f>
        <v>#DIV/0!</v>
      </c>
    </row>
    <row r="171" spans="1:21" ht="17.25" customHeight="1">
      <c r="A171" s="8" t="s">
        <v>158</v>
      </c>
      <c r="B171" s="9" t="s">
        <v>224</v>
      </c>
      <c r="C171" s="8" t="s">
        <v>4</v>
      </c>
      <c r="D171" s="10">
        <v>0</v>
      </c>
      <c r="E171" s="8"/>
      <c r="F171" s="55">
        <v>1.5680000000000001</v>
      </c>
      <c r="G171" s="10">
        <f t="shared" si="74"/>
        <v>1.5680000000000001</v>
      </c>
      <c r="H171" s="10">
        <f>D171+май!H169</f>
        <v>0</v>
      </c>
      <c r="I171" s="8"/>
      <c r="J171" s="10">
        <f>F171+май!J169</f>
        <v>9.9329999999999998</v>
      </c>
      <c r="K171" s="10">
        <f t="shared" si="76"/>
        <v>9.9329999999999998</v>
      </c>
      <c r="L171" s="16"/>
      <c r="M171" s="220"/>
      <c r="N171" s="221"/>
      <c r="O171" s="122">
        <f t="shared" si="79"/>
        <v>9.9329999999999998</v>
      </c>
      <c r="P171" s="123" t="e">
        <f t="shared" si="80"/>
        <v>#DIV/0!</v>
      </c>
      <c r="Q171" s="114"/>
      <c r="S171">
        <f t="shared" si="69"/>
        <v>0</v>
      </c>
      <c r="T171" s="44">
        <f>E171+апр!I169</f>
        <v>0</v>
      </c>
      <c r="U171" s="30">
        <f>F171+апр!J169</f>
        <v>8.5069999999999997</v>
      </c>
    </row>
    <row r="172" spans="1:21" ht="17.25" customHeight="1">
      <c r="A172" s="8"/>
      <c r="B172" s="28" t="s">
        <v>13</v>
      </c>
      <c r="C172" s="8" t="s">
        <v>155</v>
      </c>
      <c r="D172" s="14">
        <v>0</v>
      </c>
      <c r="E172" s="8"/>
      <c r="F172" s="8"/>
      <c r="G172" s="10">
        <f t="shared" si="74"/>
        <v>0</v>
      </c>
      <c r="H172" s="10">
        <f>D172+май!H170</f>
        <v>0</v>
      </c>
      <c r="I172" s="8"/>
      <c r="J172" s="10">
        <f>F172+май!J170</f>
        <v>99</v>
      </c>
      <c r="K172" s="10">
        <f t="shared" si="76"/>
        <v>99</v>
      </c>
      <c r="L172" s="16"/>
      <c r="M172" s="220"/>
      <c r="N172" s="221"/>
      <c r="O172" s="122">
        <f t="shared" si="79"/>
        <v>99</v>
      </c>
      <c r="P172" s="123" t="e">
        <f t="shared" si="80"/>
        <v>#DIV/0!</v>
      </c>
      <c r="Q172" s="114"/>
      <c r="S172">
        <f t="shared" si="69"/>
        <v>0</v>
      </c>
      <c r="T172" s="44">
        <f>E172+апр!I170</f>
        <v>0</v>
      </c>
      <c r="U172" s="30">
        <f>F172+апр!J170</f>
        <v>99</v>
      </c>
    </row>
    <row r="173" spans="1:21" ht="17.25" customHeight="1">
      <c r="A173" s="8"/>
      <c r="B173" s="28" t="s">
        <v>15</v>
      </c>
      <c r="C173" s="8" t="s">
        <v>16</v>
      </c>
      <c r="D173" s="16" t="e">
        <f>D171/D172*1000</f>
        <v>#DIV/0!</v>
      </c>
      <c r="E173" s="8"/>
      <c r="F173" s="16" t="e">
        <f>F171/F172*1000</f>
        <v>#DIV/0!</v>
      </c>
      <c r="G173" s="10" t="e">
        <f t="shared" si="74"/>
        <v>#DIV/0!</v>
      </c>
      <c r="H173" s="16" t="e">
        <f>H171/H172*1000</f>
        <v>#DIV/0!</v>
      </c>
      <c r="I173" s="8"/>
      <c r="J173" s="16">
        <f>J171/J172*1000</f>
        <v>100.33333333333333</v>
      </c>
      <c r="K173" s="10">
        <f t="shared" si="76"/>
        <v>100.33333333333333</v>
      </c>
      <c r="L173" s="16"/>
      <c r="M173" s="220"/>
      <c r="N173" s="221"/>
      <c r="O173" s="122" t="e">
        <f t="shared" si="79"/>
        <v>#DIV/0!</v>
      </c>
      <c r="P173" s="123" t="e">
        <f t="shared" si="80"/>
        <v>#DIV/0!</v>
      </c>
      <c r="Q173" s="114"/>
      <c r="S173" t="e">
        <f t="shared" si="69"/>
        <v>#DIV/0!</v>
      </c>
      <c r="T173" s="44">
        <f>E173+апр!I171</f>
        <v>0</v>
      </c>
      <c r="U173" s="30" t="e">
        <f>F173+апр!J171</f>
        <v>#DIV/0!</v>
      </c>
    </row>
    <row r="174" spans="1:21" ht="17.25" customHeight="1">
      <c r="A174" s="16" t="s">
        <v>160</v>
      </c>
      <c r="B174" s="9" t="s">
        <v>108</v>
      </c>
      <c r="C174" s="8" t="s">
        <v>4</v>
      </c>
      <c r="D174" s="10">
        <v>62.704999999999998</v>
      </c>
      <c r="E174" s="8">
        <v>62.667000000000002</v>
      </c>
      <c r="F174" s="10">
        <f>F175+F176+F177</f>
        <v>100.96</v>
      </c>
      <c r="G174" s="10">
        <f t="shared" si="74"/>
        <v>38.292999999999992</v>
      </c>
      <c r="H174" s="10">
        <f>D174+май!H172</f>
        <v>376.22999999999996</v>
      </c>
      <c r="I174" s="8">
        <f>E174+май!I172</f>
        <v>376.00200000000007</v>
      </c>
      <c r="J174" s="8">
        <f>J175+J176+J177</f>
        <v>395.18100000000004</v>
      </c>
      <c r="K174" s="10">
        <f t="shared" si="76"/>
        <v>19.178999999999974</v>
      </c>
      <c r="L174" s="16">
        <f t="shared" si="85"/>
        <v>5.1007707405811589</v>
      </c>
      <c r="M174" s="220"/>
      <c r="N174" s="221"/>
      <c r="O174" s="122">
        <f t="shared" si="79"/>
        <v>18.951000000000079</v>
      </c>
      <c r="P174" s="123">
        <f t="shared" si="80"/>
        <v>5.0370783829040962</v>
      </c>
      <c r="Q174" s="114"/>
      <c r="S174">
        <f t="shared" si="69"/>
        <v>313.52499999999998</v>
      </c>
      <c r="T174" s="44">
        <f>E174+апр!I172</f>
        <v>313.33500000000004</v>
      </c>
      <c r="U174" s="30">
        <f>F174+апр!J172</f>
        <v>361.51100000000002</v>
      </c>
    </row>
    <row r="175" spans="1:21" ht="17.25" customHeight="1">
      <c r="A175" s="16"/>
      <c r="B175" s="9" t="s">
        <v>221</v>
      </c>
      <c r="C175" s="8" t="s">
        <v>4</v>
      </c>
      <c r="D175" s="10"/>
      <c r="E175" s="8"/>
      <c r="F175" s="54">
        <f>76.96+24</f>
        <v>100.96</v>
      </c>
      <c r="G175" s="10">
        <f t="shared" si="74"/>
        <v>100.96</v>
      </c>
      <c r="H175" s="10">
        <f>D175+май!H175</f>
        <v>0</v>
      </c>
      <c r="I175" s="8"/>
      <c r="J175" s="10">
        <f>F175+май!J173</f>
        <v>293.36</v>
      </c>
      <c r="K175" s="10">
        <f t="shared" si="76"/>
        <v>293.36</v>
      </c>
      <c r="L175" s="16"/>
      <c r="M175" s="220"/>
      <c r="N175" s="221"/>
      <c r="O175" s="122">
        <f t="shared" si="79"/>
        <v>293.36</v>
      </c>
      <c r="P175" s="123" t="e">
        <f t="shared" si="80"/>
        <v>#DIV/0!</v>
      </c>
      <c r="Q175" s="114"/>
      <c r="S175">
        <f t="shared" si="69"/>
        <v>0</v>
      </c>
      <c r="T175" s="44">
        <f>E175+апр!I173</f>
        <v>0</v>
      </c>
      <c r="U175" s="30">
        <f>F175+апр!J173</f>
        <v>259.69</v>
      </c>
    </row>
    <row r="176" spans="1:21" ht="37.5" customHeight="1">
      <c r="A176" s="16"/>
      <c r="B176" s="9" t="s">
        <v>222</v>
      </c>
      <c r="C176" s="8" t="s">
        <v>4</v>
      </c>
      <c r="D176" s="10"/>
      <c r="E176" s="8"/>
      <c r="F176" s="10"/>
      <c r="G176" s="10">
        <f t="shared" si="74"/>
        <v>0</v>
      </c>
      <c r="H176" s="10">
        <f>D176+май!H176</f>
        <v>324.53000000000003</v>
      </c>
      <c r="I176" s="8"/>
      <c r="J176" s="10">
        <f>F176+май!J174</f>
        <v>101.821</v>
      </c>
      <c r="K176" s="10">
        <f t="shared" si="76"/>
        <v>101.821</v>
      </c>
      <c r="L176" s="16"/>
      <c r="M176" s="220"/>
      <c r="N176" s="221"/>
      <c r="O176" s="122">
        <f t="shared" si="79"/>
        <v>-222.70900000000003</v>
      </c>
      <c r="P176" s="123">
        <f t="shared" si="80"/>
        <v>-68.625088589652734</v>
      </c>
      <c r="Q176" s="114"/>
      <c r="S176">
        <f t="shared" si="69"/>
        <v>0</v>
      </c>
      <c r="T176" s="44">
        <f>E176+апр!I174</f>
        <v>0</v>
      </c>
      <c r="U176" s="30">
        <f>F176+апр!J174</f>
        <v>101.821</v>
      </c>
    </row>
    <row r="177" spans="1:21" ht="18.75" customHeight="1">
      <c r="A177" s="16"/>
      <c r="B177" s="9" t="s">
        <v>223</v>
      </c>
      <c r="C177" s="8" t="s">
        <v>4</v>
      </c>
      <c r="D177" s="10"/>
      <c r="E177" s="8"/>
      <c r="F177" s="8"/>
      <c r="G177" s="10">
        <f t="shared" si="74"/>
        <v>0</v>
      </c>
      <c r="H177" s="10">
        <f>D177+май!H177</f>
        <v>11.165000000000001</v>
      </c>
      <c r="I177" s="8"/>
      <c r="J177" s="10">
        <f>F177+май!J175</f>
        <v>0</v>
      </c>
      <c r="K177" s="10">
        <f t="shared" si="76"/>
        <v>0</v>
      </c>
      <c r="L177" s="16"/>
      <c r="M177" s="220"/>
      <c r="N177" s="221"/>
      <c r="O177" s="122">
        <f t="shared" si="79"/>
        <v>-11.165000000000001</v>
      </c>
      <c r="P177" s="123">
        <f t="shared" si="80"/>
        <v>-100</v>
      </c>
      <c r="Q177" s="114"/>
      <c r="S177">
        <f t="shared" si="69"/>
        <v>0</v>
      </c>
      <c r="T177" s="44">
        <f>E177+апр!I175</f>
        <v>0</v>
      </c>
      <c r="U177" s="30">
        <f>F177+апр!J175</f>
        <v>0</v>
      </c>
    </row>
    <row r="178" spans="1:21" ht="18.75">
      <c r="A178" s="16" t="s">
        <v>161</v>
      </c>
      <c r="B178" s="9" t="s">
        <v>162</v>
      </c>
      <c r="C178" s="8" t="s">
        <v>4</v>
      </c>
      <c r="D178" s="10">
        <v>64.906000000000006</v>
      </c>
      <c r="E178" s="8">
        <v>64.917000000000002</v>
      </c>
      <c r="F178" s="8">
        <f>8.554+22.846+8.394+13.125+20.977</f>
        <v>73.896000000000001</v>
      </c>
      <c r="G178" s="10">
        <f t="shared" si="74"/>
        <v>8.9789999999999992</v>
      </c>
      <c r="H178" s="10">
        <f>D178+май!H178</f>
        <v>76.071000000000012</v>
      </c>
      <c r="I178" s="8">
        <f>E178+май!I176</f>
        <v>389.50200000000007</v>
      </c>
      <c r="J178" s="10">
        <f>F178+май!J176</f>
        <v>457.38900000000001</v>
      </c>
      <c r="K178" s="10">
        <f t="shared" si="76"/>
        <v>67.886999999999944</v>
      </c>
      <c r="L178" s="16">
        <f t="shared" si="85"/>
        <v>17.429178797541457</v>
      </c>
      <c r="M178" s="220"/>
      <c r="N178" s="221"/>
      <c r="O178" s="122">
        <f t="shared" si="79"/>
        <v>381.31799999999998</v>
      </c>
      <c r="P178" s="123">
        <f t="shared" si="80"/>
        <v>501.26592262491607</v>
      </c>
      <c r="Q178" s="114"/>
      <c r="S178">
        <f t="shared" si="69"/>
        <v>324.53000000000003</v>
      </c>
      <c r="T178" s="44">
        <f>E178+апр!I176</f>
        <v>324.58500000000004</v>
      </c>
      <c r="U178" s="30">
        <f>F178+апр!J176</f>
        <v>379.41300000000001</v>
      </c>
    </row>
    <row r="179" spans="1:21" ht="35.25" customHeight="1">
      <c r="A179" s="16" t="s">
        <v>163</v>
      </c>
      <c r="B179" s="9" t="s">
        <v>165</v>
      </c>
      <c r="C179" s="8" t="s">
        <v>4</v>
      </c>
      <c r="D179" s="10">
        <f>D180</f>
        <v>2.2330000000000001</v>
      </c>
      <c r="E179" s="8"/>
      <c r="F179" s="8"/>
      <c r="G179" s="10">
        <f t="shared" si="74"/>
        <v>0</v>
      </c>
      <c r="H179" s="10">
        <f>H180</f>
        <v>308.69799999999998</v>
      </c>
      <c r="I179" s="8"/>
      <c r="J179" s="8"/>
      <c r="K179" s="10">
        <f t="shared" si="76"/>
        <v>0</v>
      </c>
      <c r="L179" s="16"/>
      <c r="M179" s="220"/>
      <c r="N179" s="221"/>
      <c r="O179" s="122">
        <f t="shared" si="79"/>
        <v>-308.69799999999998</v>
      </c>
      <c r="P179" s="123">
        <f t="shared" si="80"/>
        <v>-100</v>
      </c>
      <c r="Q179" s="114"/>
      <c r="S179">
        <f t="shared" si="69"/>
        <v>11.165000000000001</v>
      </c>
      <c r="T179" s="44">
        <f>E179+апр!I177</f>
        <v>0</v>
      </c>
      <c r="U179" s="30">
        <f>F179+апр!J177</f>
        <v>0</v>
      </c>
    </row>
    <row r="180" spans="1:21" ht="18.75" customHeight="1">
      <c r="A180" s="16"/>
      <c r="B180" s="9" t="s">
        <v>100</v>
      </c>
      <c r="C180" s="8" t="s">
        <v>4</v>
      </c>
      <c r="D180" s="10">
        <v>2.2330000000000001</v>
      </c>
      <c r="E180" s="8"/>
      <c r="F180" s="8"/>
      <c r="G180" s="10">
        <f t="shared" si="74"/>
        <v>0</v>
      </c>
      <c r="H180" s="10">
        <f>D180+май!H180</f>
        <v>308.69799999999998</v>
      </c>
      <c r="I180" s="8"/>
      <c r="J180" s="10">
        <f>F180+май!J178</f>
        <v>0</v>
      </c>
      <c r="K180" s="10">
        <f t="shared" si="76"/>
        <v>0</v>
      </c>
      <c r="L180" s="16"/>
      <c r="M180" s="97"/>
      <c r="N180" s="98"/>
      <c r="O180" s="122">
        <f t="shared" si="79"/>
        <v>-308.69799999999998</v>
      </c>
      <c r="P180" s="123">
        <f t="shared" si="80"/>
        <v>-100</v>
      </c>
      <c r="Q180" s="114"/>
      <c r="S180">
        <f t="shared" si="69"/>
        <v>11.165000000000001</v>
      </c>
      <c r="T180" s="44">
        <f>E180+апр!I178</f>
        <v>0</v>
      </c>
      <c r="U180" s="30">
        <f>F180+апр!J178</f>
        <v>0</v>
      </c>
    </row>
    <row r="181" spans="1:21" ht="17.25" customHeight="1">
      <c r="A181" s="16" t="s">
        <v>164</v>
      </c>
      <c r="B181" s="6" t="s">
        <v>169</v>
      </c>
      <c r="C181" s="99" t="s">
        <v>4</v>
      </c>
      <c r="D181" s="7">
        <f t="shared" ref="D181:F181" si="89">D182+D183+D184</f>
        <v>318.99799999999999</v>
      </c>
      <c r="E181" s="7">
        <f t="shared" si="89"/>
        <v>637.41600000000005</v>
      </c>
      <c r="F181" s="7">
        <f t="shared" si="89"/>
        <v>0</v>
      </c>
      <c r="G181" s="10">
        <f t="shared" si="74"/>
        <v>-637.41600000000005</v>
      </c>
      <c r="H181" s="7">
        <f t="shared" ref="H181:J181" si="90">H182+H183+H184</f>
        <v>1496.2729999999999</v>
      </c>
      <c r="I181" s="7">
        <f t="shared" si="90"/>
        <v>3248.413</v>
      </c>
      <c r="J181" s="7">
        <f t="shared" si="90"/>
        <v>1726.258</v>
      </c>
      <c r="K181" s="10">
        <f t="shared" si="76"/>
        <v>-1522.155</v>
      </c>
      <c r="L181" s="16">
        <f t="shared" si="85"/>
        <v>-46.858419788370504</v>
      </c>
      <c r="M181" s="220"/>
      <c r="N181" s="221"/>
      <c r="O181" s="122">
        <f t="shared" si="79"/>
        <v>229.98500000000013</v>
      </c>
      <c r="P181" s="123">
        <f t="shared" si="80"/>
        <v>15.370523961870605</v>
      </c>
      <c r="Q181" s="114"/>
      <c r="S181">
        <f t="shared" si="69"/>
        <v>1594.99</v>
      </c>
      <c r="T181" s="44">
        <f>E181+апр!I179</f>
        <v>3187.0800000000004</v>
      </c>
      <c r="U181" s="30">
        <f>F181+апр!J179</f>
        <v>0</v>
      </c>
    </row>
    <row r="182" spans="1:21" ht="17.25" customHeight="1">
      <c r="A182" s="8" t="s">
        <v>166</v>
      </c>
      <c r="B182" s="9" t="s">
        <v>170</v>
      </c>
      <c r="C182" s="8" t="s">
        <v>4</v>
      </c>
      <c r="D182" s="10">
        <v>61.292999999999999</v>
      </c>
      <c r="E182" s="8">
        <v>61.332999999999998</v>
      </c>
      <c r="F182" s="8"/>
      <c r="G182" s="10">
        <f t="shared" si="74"/>
        <v>-61.332999999999998</v>
      </c>
      <c r="H182" s="10">
        <f>D182+май!H182</f>
        <v>507.43299999999999</v>
      </c>
      <c r="I182" s="8">
        <f>E182+май!I180</f>
        <v>367.99799999999993</v>
      </c>
      <c r="J182" s="10">
        <f>F182+май!J180</f>
        <v>0</v>
      </c>
      <c r="K182" s="10">
        <f t="shared" si="76"/>
        <v>-367.99799999999993</v>
      </c>
      <c r="L182" s="16">
        <f t="shared" si="85"/>
        <v>-100</v>
      </c>
      <c r="M182" s="220"/>
      <c r="N182" s="221"/>
      <c r="O182" s="122">
        <f t="shared" si="79"/>
        <v>-507.43299999999999</v>
      </c>
      <c r="P182" s="123">
        <f t="shared" si="80"/>
        <v>-100</v>
      </c>
      <c r="Q182" s="114"/>
      <c r="S182">
        <f t="shared" si="69"/>
        <v>306.46499999999997</v>
      </c>
      <c r="T182" s="44">
        <f>E182+апр!I180</f>
        <v>306.66499999999996</v>
      </c>
      <c r="U182" s="30">
        <f>F182+апр!J180</f>
        <v>0</v>
      </c>
    </row>
    <row r="183" spans="1:21" ht="17.25" customHeight="1">
      <c r="A183" s="8" t="s">
        <v>167</v>
      </c>
      <c r="B183" s="9" t="s">
        <v>171</v>
      </c>
      <c r="C183" s="8" t="s">
        <v>4</v>
      </c>
      <c r="D183" s="10">
        <v>168.477</v>
      </c>
      <c r="E183" s="8">
        <v>486.83300000000003</v>
      </c>
      <c r="F183" s="8"/>
      <c r="G183" s="10">
        <f t="shared" si="74"/>
        <v>-486.83300000000003</v>
      </c>
      <c r="H183" s="10">
        <f>D183+май!H183</f>
        <v>647.02200000000005</v>
      </c>
      <c r="I183" s="8">
        <f>E183+апр!I181</f>
        <v>2434.165</v>
      </c>
      <c r="J183" s="10">
        <f>F183+май!J181</f>
        <v>1454.7470000000001</v>
      </c>
      <c r="K183" s="10">
        <f t="shared" si="76"/>
        <v>-979.41799999999989</v>
      </c>
      <c r="L183" s="16">
        <f t="shared" si="85"/>
        <v>-40.236302797879354</v>
      </c>
      <c r="M183" s="227" t="s">
        <v>300</v>
      </c>
      <c r="N183" s="228"/>
      <c r="O183" s="122">
        <f t="shared" si="79"/>
        <v>807.72500000000002</v>
      </c>
      <c r="P183" s="123">
        <f t="shared" si="80"/>
        <v>124.83733165178307</v>
      </c>
      <c r="Q183" s="116"/>
      <c r="S183">
        <f t="shared" si="69"/>
        <v>842.38499999999999</v>
      </c>
      <c r="T183" s="44">
        <f>E183+апр!I181</f>
        <v>2434.165</v>
      </c>
      <c r="U183" s="30">
        <f>F183+апр!J181</f>
        <v>0</v>
      </c>
    </row>
    <row r="184" spans="1:21" ht="17.25" customHeight="1">
      <c r="A184" s="8" t="s">
        <v>267</v>
      </c>
      <c r="B184" s="9" t="s">
        <v>172</v>
      </c>
      <c r="C184" s="8" t="s">
        <v>4</v>
      </c>
      <c r="D184" s="10">
        <v>89.227999999999994</v>
      </c>
      <c r="E184" s="10">
        <v>89.25</v>
      </c>
      <c r="F184" s="8"/>
      <c r="G184" s="10">
        <f t="shared" si="74"/>
        <v>-89.25</v>
      </c>
      <c r="H184" s="10">
        <f>D184+май!H184</f>
        <v>341.81799999999998</v>
      </c>
      <c r="I184" s="8">
        <f>E184+апр!I182</f>
        <v>446.25</v>
      </c>
      <c r="J184" s="10">
        <f>F184+май!J182</f>
        <v>271.51100000000002</v>
      </c>
      <c r="K184" s="10">
        <f t="shared" si="76"/>
        <v>-174.73899999999998</v>
      </c>
      <c r="L184" s="16">
        <f t="shared" si="85"/>
        <v>-39.157198879551814</v>
      </c>
      <c r="M184" s="227" t="s">
        <v>300</v>
      </c>
      <c r="N184" s="228"/>
      <c r="O184" s="122">
        <f t="shared" si="79"/>
        <v>-70.30699999999996</v>
      </c>
      <c r="P184" s="123">
        <f t="shared" si="80"/>
        <v>-20.568548174759655</v>
      </c>
      <c r="Q184" s="116"/>
      <c r="S184">
        <f t="shared" si="69"/>
        <v>446.14</v>
      </c>
      <c r="T184" s="44">
        <f>E184+апр!I182</f>
        <v>446.25</v>
      </c>
      <c r="U184" s="30">
        <f>F184+апр!J182</f>
        <v>0</v>
      </c>
    </row>
    <row r="185" spans="1:21" ht="53.25" customHeight="1">
      <c r="A185" s="8" t="s">
        <v>168</v>
      </c>
      <c r="B185" s="9" t="s">
        <v>174</v>
      </c>
      <c r="C185" s="8" t="s">
        <v>4</v>
      </c>
      <c r="D185" s="10">
        <v>95.709000000000003</v>
      </c>
      <c r="E185" s="8">
        <v>93.167000000000002</v>
      </c>
      <c r="F185" s="8">
        <v>84.578000000000003</v>
      </c>
      <c r="G185" s="10">
        <f t="shared" si="74"/>
        <v>-8.5889999999999986</v>
      </c>
      <c r="H185" s="10">
        <f>D185+май!H185</f>
        <v>191.97900000000001</v>
      </c>
      <c r="I185" s="8">
        <f>E185+апр!I183</f>
        <v>465.83500000000004</v>
      </c>
      <c r="J185" s="10">
        <f>F185+май!J183</f>
        <v>500.80799999999999</v>
      </c>
      <c r="K185" s="10">
        <f t="shared" si="76"/>
        <v>34.972999999999956</v>
      </c>
      <c r="L185" s="16">
        <f t="shared" si="85"/>
        <v>7.5075938905406332</v>
      </c>
      <c r="M185" s="222" t="s">
        <v>303</v>
      </c>
      <c r="N185" s="223"/>
      <c r="O185" s="122">
        <f t="shared" si="79"/>
        <v>308.82899999999995</v>
      </c>
      <c r="P185" s="123">
        <f t="shared" si="80"/>
        <v>160.86603222227427</v>
      </c>
      <c r="Q185" s="115"/>
      <c r="S185">
        <f t="shared" si="69"/>
        <v>478.54500000000002</v>
      </c>
      <c r="T185" s="44">
        <f>E185+апр!I183</f>
        <v>465.83500000000004</v>
      </c>
      <c r="U185" s="30">
        <f>F185+апр!J183</f>
        <v>399.25200000000007</v>
      </c>
    </row>
    <row r="186" spans="1:21" ht="33" customHeight="1">
      <c r="A186" s="99" t="s">
        <v>173</v>
      </c>
      <c r="B186" s="6" t="s">
        <v>176</v>
      </c>
      <c r="C186" s="99" t="s">
        <v>4</v>
      </c>
      <c r="D186" s="7">
        <f t="shared" ref="D186:F186" si="91">D187+D188+D189</f>
        <v>50.518000000000001</v>
      </c>
      <c r="E186" s="7">
        <v>50.5</v>
      </c>
      <c r="F186" s="7">
        <f t="shared" si="91"/>
        <v>0</v>
      </c>
      <c r="G186" s="10">
        <f t="shared" si="74"/>
        <v>-50.5</v>
      </c>
      <c r="H186" s="7">
        <f t="shared" ref="H186" si="92">H187+H188+H189</f>
        <v>319.33799999999997</v>
      </c>
      <c r="I186" s="8">
        <f>E186+апр!I184</f>
        <v>252.5</v>
      </c>
      <c r="J186" s="7">
        <f t="shared" ref="J186" si="93">J187+J188+J189</f>
        <v>0</v>
      </c>
      <c r="K186" s="10">
        <f t="shared" si="76"/>
        <v>-252.5</v>
      </c>
      <c r="L186" s="16">
        <f t="shared" si="85"/>
        <v>-100</v>
      </c>
      <c r="M186" s="229" t="s">
        <v>293</v>
      </c>
      <c r="N186" s="230"/>
      <c r="O186" s="122">
        <f t="shared" si="79"/>
        <v>-319.33799999999997</v>
      </c>
      <c r="P186" s="123">
        <f t="shared" si="80"/>
        <v>-100</v>
      </c>
      <c r="Q186" s="111"/>
      <c r="R186" s="7">
        <f>R187+R188+R189</f>
        <v>343.50800000000004</v>
      </c>
      <c r="S186">
        <f t="shared" si="69"/>
        <v>252.59</v>
      </c>
      <c r="T186" s="44">
        <f>E186+апр!I184</f>
        <v>252.5</v>
      </c>
      <c r="U186" s="30">
        <f>F186+апр!J184</f>
        <v>0</v>
      </c>
    </row>
    <row r="187" spans="1:21" ht="17.25" customHeight="1">
      <c r="A187" s="8" t="s">
        <v>268</v>
      </c>
      <c r="B187" s="9" t="s">
        <v>177</v>
      </c>
      <c r="C187" s="8" t="s">
        <v>4</v>
      </c>
      <c r="D187" s="10">
        <v>19.254000000000001</v>
      </c>
      <c r="E187" s="8"/>
      <c r="F187" s="10"/>
      <c r="G187" s="10">
        <f t="shared" si="74"/>
        <v>0</v>
      </c>
      <c r="H187" s="10">
        <f>D187+май!H187</f>
        <v>131.75399999999999</v>
      </c>
      <c r="I187" s="8">
        <f>E187+апр!I185</f>
        <v>0</v>
      </c>
      <c r="J187" s="10">
        <f>F187+май!J185</f>
        <v>0</v>
      </c>
      <c r="K187" s="10">
        <f t="shared" si="76"/>
        <v>0</v>
      </c>
      <c r="L187" s="16"/>
      <c r="M187" s="220"/>
      <c r="N187" s="221"/>
      <c r="O187" s="122">
        <f t="shared" si="79"/>
        <v>-131.75399999999999</v>
      </c>
      <c r="P187" s="123">
        <f t="shared" si="80"/>
        <v>-100</v>
      </c>
      <c r="Q187" s="108"/>
      <c r="R187" s="10">
        <v>130.12</v>
      </c>
      <c r="S187">
        <f t="shared" si="69"/>
        <v>96.27000000000001</v>
      </c>
      <c r="T187" s="44">
        <f>E187+апр!I185</f>
        <v>0</v>
      </c>
      <c r="U187" s="30">
        <f>F187+апр!J185</f>
        <v>0</v>
      </c>
    </row>
    <row r="188" spans="1:21" ht="17.25" customHeight="1">
      <c r="A188" s="8" t="s">
        <v>269</v>
      </c>
      <c r="B188" s="9" t="s">
        <v>178</v>
      </c>
      <c r="C188" s="8" t="s">
        <v>4</v>
      </c>
      <c r="D188" s="10">
        <v>8.7639999999999993</v>
      </c>
      <c r="E188" s="8"/>
      <c r="F188" s="8"/>
      <c r="G188" s="10">
        <f t="shared" si="74"/>
        <v>0</v>
      </c>
      <c r="H188" s="10">
        <f>D188+май!H186</f>
        <v>52.583999999999989</v>
      </c>
      <c r="I188" s="8">
        <f>E188+апр!I186</f>
        <v>0</v>
      </c>
      <c r="J188" s="10">
        <f>F188+май!J186</f>
        <v>0</v>
      </c>
      <c r="K188" s="10">
        <f t="shared" si="76"/>
        <v>0</v>
      </c>
      <c r="L188" s="16"/>
      <c r="M188" s="220"/>
      <c r="N188" s="221"/>
      <c r="O188" s="122">
        <f t="shared" si="79"/>
        <v>-52.583999999999989</v>
      </c>
      <c r="P188" s="123">
        <f t="shared" si="80"/>
        <v>-100</v>
      </c>
      <c r="Q188" s="108"/>
      <c r="R188" s="8">
        <v>15.369</v>
      </c>
      <c r="S188">
        <f t="shared" si="69"/>
        <v>43.819999999999993</v>
      </c>
      <c r="T188" s="44">
        <f>E188+апр!I186</f>
        <v>0</v>
      </c>
      <c r="U188" s="30">
        <f>F188+апр!J186</f>
        <v>0</v>
      </c>
    </row>
    <row r="189" spans="1:21" ht="17.25" customHeight="1">
      <c r="A189" s="8" t="s">
        <v>270</v>
      </c>
      <c r="B189" s="9" t="s">
        <v>179</v>
      </c>
      <c r="C189" s="8" t="s">
        <v>4</v>
      </c>
      <c r="D189" s="10">
        <v>22.5</v>
      </c>
      <c r="E189" s="8"/>
      <c r="F189" s="8"/>
      <c r="G189" s="10">
        <f t="shared" si="74"/>
        <v>0</v>
      </c>
      <c r="H189" s="10">
        <f>D189+май!H187</f>
        <v>135</v>
      </c>
      <c r="I189" s="8">
        <f>E189+апр!I187</f>
        <v>0</v>
      </c>
      <c r="J189" s="10">
        <f>F189+май!J187</f>
        <v>0</v>
      </c>
      <c r="K189" s="10">
        <f t="shared" si="76"/>
        <v>0</v>
      </c>
      <c r="L189" s="16"/>
      <c r="M189" s="220"/>
      <c r="N189" s="221"/>
      <c r="O189" s="122">
        <f t="shared" si="79"/>
        <v>-135</v>
      </c>
      <c r="P189" s="123">
        <f t="shared" si="80"/>
        <v>-100</v>
      </c>
      <c r="Q189" s="108"/>
      <c r="R189" s="8">
        <v>198.01900000000001</v>
      </c>
      <c r="S189">
        <f t="shared" si="69"/>
        <v>112.5</v>
      </c>
      <c r="T189" s="44">
        <f>E189+апр!I187</f>
        <v>0</v>
      </c>
      <c r="U189" s="30">
        <f>F189+апр!J187</f>
        <v>0</v>
      </c>
    </row>
    <row r="190" spans="1:21" ht="17.25" customHeight="1">
      <c r="A190" s="99" t="s">
        <v>175</v>
      </c>
      <c r="B190" s="6" t="s">
        <v>180</v>
      </c>
      <c r="C190" s="99" t="s">
        <v>4</v>
      </c>
      <c r="D190" s="7">
        <f>D191+D192+D193+D194+D199+D200+D201+D202+D206</f>
        <v>186.78400000000005</v>
      </c>
      <c r="E190" s="7">
        <f>E191+E192+E193+E194+E199+E200+E201+E202+E206</f>
        <v>193.416</v>
      </c>
      <c r="F190" s="7">
        <f>F191+F192+F193+F194+F199+F200+F201+F202+F206</f>
        <v>97.399999999999991</v>
      </c>
      <c r="G190" s="10">
        <f t="shared" si="74"/>
        <v>-96.016000000000005</v>
      </c>
      <c r="H190" s="7">
        <f>H191+H192+H193+H194+H199+H200+H201+H202+H206</f>
        <v>8476.4089999999997</v>
      </c>
      <c r="I190" s="7">
        <f>I191+I192+I193+I194+I199+I200+I201+I202+I206</f>
        <v>1160.4209999999998</v>
      </c>
      <c r="J190" s="7">
        <f>J191+J192+J193+J194+J199+J200+J201+J202+J206</f>
        <v>544.72399999999993</v>
      </c>
      <c r="K190" s="10">
        <f t="shared" si="76"/>
        <v>-615.69699999999989</v>
      </c>
      <c r="L190" s="16">
        <f t="shared" si="85"/>
        <v>-53.058071165551127</v>
      </c>
      <c r="M190" s="226"/>
      <c r="N190" s="221"/>
      <c r="O190" s="122">
        <f t="shared" si="79"/>
        <v>-7931.6849999999995</v>
      </c>
      <c r="P190" s="123">
        <f t="shared" si="80"/>
        <v>-93.573646576044169</v>
      </c>
      <c r="Q190" s="114"/>
      <c r="S190">
        <f t="shared" si="69"/>
        <v>933.9200000000003</v>
      </c>
      <c r="T190" s="44">
        <f>E190+апр!I188</f>
        <v>967.07999999999993</v>
      </c>
      <c r="U190" s="30">
        <f>F190+апр!J188</f>
        <v>522.71500000000003</v>
      </c>
    </row>
    <row r="191" spans="1:21" ht="17.25" customHeight="1">
      <c r="A191" s="18" t="s">
        <v>271</v>
      </c>
      <c r="B191" s="9" t="s">
        <v>181</v>
      </c>
      <c r="C191" s="8" t="s">
        <v>4</v>
      </c>
      <c r="D191" s="10">
        <v>0</v>
      </c>
      <c r="E191" s="8"/>
      <c r="F191" s="8"/>
      <c r="G191" s="10">
        <f t="shared" si="74"/>
        <v>0</v>
      </c>
      <c r="H191" s="10">
        <f>D191+май!H191</f>
        <v>7.4550000000000001</v>
      </c>
      <c r="I191" s="8">
        <f>E191+май!I189</f>
        <v>0</v>
      </c>
      <c r="J191" s="10">
        <f>F191+май!J189</f>
        <v>0</v>
      </c>
      <c r="K191" s="10">
        <f t="shared" si="76"/>
        <v>0</v>
      </c>
      <c r="L191" s="16"/>
      <c r="M191" s="220"/>
      <c r="N191" s="221"/>
      <c r="O191" s="122">
        <f t="shared" si="79"/>
        <v>-7.4550000000000001</v>
      </c>
      <c r="P191" s="123">
        <f t="shared" si="80"/>
        <v>-100</v>
      </c>
      <c r="Q191" s="114"/>
      <c r="S191">
        <f t="shared" si="69"/>
        <v>0</v>
      </c>
      <c r="T191" s="44">
        <f>E191+апр!I189</f>
        <v>0</v>
      </c>
      <c r="U191" s="30">
        <f>F191+апр!J189</f>
        <v>0</v>
      </c>
    </row>
    <row r="192" spans="1:21" ht="17.25" customHeight="1">
      <c r="A192" s="18" t="s">
        <v>272</v>
      </c>
      <c r="B192" s="9" t="s">
        <v>182</v>
      </c>
      <c r="C192" s="8" t="s">
        <v>4</v>
      </c>
      <c r="D192" s="10">
        <v>15.651</v>
      </c>
      <c r="E192" s="10">
        <v>22.25</v>
      </c>
      <c r="F192" s="55">
        <v>33.444000000000003</v>
      </c>
      <c r="G192" s="10">
        <f t="shared" si="74"/>
        <v>11.194000000000003</v>
      </c>
      <c r="H192" s="10">
        <f>D192+май!H190</f>
        <v>93.905999999999992</v>
      </c>
      <c r="I192" s="10">
        <f>E192+май!I190</f>
        <v>133.5</v>
      </c>
      <c r="J192" s="10">
        <f>F192+май!J190</f>
        <v>185.95100000000002</v>
      </c>
      <c r="K192" s="10">
        <f t="shared" si="76"/>
        <v>52.451000000000022</v>
      </c>
      <c r="L192" s="16">
        <f t="shared" si="85"/>
        <v>39.289138576779045</v>
      </c>
      <c r="M192" s="220"/>
      <c r="N192" s="221"/>
      <c r="O192" s="122">
        <f t="shared" si="79"/>
        <v>92.04500000000003</v>
      </c>
      <c r="P192" s="123">
        <f t="shared" si="80"/>
        <v>98.018230996954443</v>
      </c>
      <c r="Q192" s="114"/>
      <c r="S192">
        <f t="shared" si="69"/>
        <v>78.254999999999995</v>
      </c>
      <c r="T192" s="44">
        <f>E192+апр!I190</f>
        <v>111.25</v>
      </c>
      <c r="U192" s="30">
        <f>F192+апр!J190</f>
        <v>164.79900000000004</v>
      </c>
    </row>
    <row r="193" spans="1:21" ht="33.75" customHeight="1">
      <c r="A193" s="18" t="s">
        <v>273</v>
      </c>
      <c r="B193" s="9" t="s">
        <v>237</v>
      </c>
      <c r="C193" s="8" t="s">
        <v>4</v>
      </c>
      <c r="D193" s="10">
        <v>1.4910000000000001</v>
      </c>
      <c r="E193" s="10">
        <v>1.5</v>
      </c>
      <c r="F193" s="54">
        <v>0.5</v>
      </c>
      <c r="G193" s="10">
        <f t="shared" si="74"/>
        <v>-1</v>
      </c>
      <c r="H193" s="10">
        <f>D193+май!H191</f>
        <v>8.9459999999999997</v>
      </c>
      <c r="I193" s="10">
        <f>E193+май!I191</f>
        <v>9</v>
      </c>
      <c r="J193" s="10">
        <f>F193+май!J191</f>
        <v>10.09</v>
      </c>
      <c r="K193" s="10">
        <f t="shared" si="76"/>
        <v>1.0899999999999999</v>
      </c>
      <c r="L193" s="16">
        <f t="shared" si="85"/>
        <v>12.111111111111111</v>
      </c>
      <c r="M193" s="220"/>
      <c r="N193" s="221"/>
      <c r="O193" s="122">
        <f t="shared" si="79"/>
        <v>1.1440000000000001</v>
      </c>
      <c r="P193" s="123">
        <f t="shared" si="80"/>
        <v>12.78783813995082</v>
      </c>
      <c r="Q193" s="114"/>
      <c r="S193">
        <f t="shared" si="69"/>
        <v>7.4550000000000001</v>
      </c>
      <c r="T193" s="44">
        <f>E193+апр!I191</f>
        <v>7.5</v>
      </c>
      <c r="U193" s="30">
        <f>F193+апр!J191</f>
        <v>9.59</v>
      </c>
    </row>
    <row r="194" spans="1:21" ht="36.75" customHeight="1">
      <c r="A194" s="18" t="s">
        <v>274</v>
      </c>
      <c r="B194" s="9" t="s">
        <v>183</v>
      </c>
      <c r="C194" s="8" t="s">
        <v>4</v>
      </c>
      <c r="D194" s="10">
        <f t="shared" ref="D194:H194" si="94">D195+D196+D197+D198</f>
        <v>149.55900000000003</v>
      </c>
      <c r="E194" s="10">
        <f t="shared" si="94"/>
        <v>149.583</v>
      </c>
      <c r="F194" s="10">
        <f t="shared" si="94"/>
        <v>61.625999999999991</v>
      </c>
      <c r="G194" s="10">
        <f t="shared" si="74"/>
        <v>-87.957000000000008</v>
      </c>
      <c r="H194" s="10">
        <f t="shared" si="94"/>
        <v>897.35400000000004</v>
      </c>
      <c r="I194" s="10">
        <f t="shared" ref="I194:J194" si="95">I195+I196+I197+I198</f>
        <v>897.49799999999982</v>
      </c>
      <c r="J194" s="10">
        <f t="shared" si="95"/>
        <v>335.90699999999998</v>
      </c>
      <c r="K194" s="10">
        <f t="shared" si="76"/>
        <v>-561.59099999999989</v>
      </c>
      <c r="L194" s="16">
        <f t="shared" si="85"/>
        <v>-62.572952808808488</v>
      </c>
      <c r="M194" s="220"/>
      <c r="N194" s="221"/>
      <c r="O194" s="122">
        <f t="shared" si="79"/>
        <v>-561.44700000000012</v>
      </c>
      <c r="P194" s="123">
        <f t="shared" si="80"/>
        <v>-62.566946823661574</v>
      </c>
      <c r="Q194" s="114"/>
      <c r="S194">
        <f t="shared" si="69"/>
        <v>747.79500000000007</v>
      </c>
      <c r="T194" s="44">
        <f>E194+апр!I192</f>
        <v>747.91499999999996</v>
      </c>
      <c r="U194" s="30">
        <f>F194+апр!J192</f>
        <v>335.90699999999998</v>
      </c>
    </row>
    <row r="195" spans="1:21" ht="74.25" customHeight="1">
      <c r="A195" s="8" t="s">
        <v>275</v>
      </c>
      <c r="B195" s="9" t="s">
        <v>184</v>
      </c>
      <c r="C195" s="8" t="s">
        <v>4</v>
      </c>
      <c r="D195" s="10">
        <v>33.363999999999997</v>
      </c>
      <c r="E195" s="8">
        <v>33.332999999999998</v>
      </c>
      <c r="F195" s="55">
        <v>34.540999999999997</v>
      </c>
      <c r="G195" s="10">
        <f t="shared" si="74"/>
        <v>1.2079999999999984</v>
      </c>
      <c r="H195" s="10">
        <f>D195+май!H193</f>
        <v>200.184</v>
      </c>
      <c r="I195" s="8">
        <f>E195+май!I193</f>
        <v>199.99799999999999</v>
      </c>
      <c r="J195" s="10">
        <f>F195+май!J193</f>
        <v>224.01599999999999</v>
      </c>
      <c r="K195" s="10">
        <f t="shared" si="76"/>
        <v>24.018000000000001</v>
      </c>
      <c r="L195" s="16">
        <f t="shared" si="85"/>
        <v>12.009120091200913</v>
      </c>
      <c r="M195" s="220"/>
      <c r="N195" s="221"/>
      <c r="O195" s="122">
        <f t="shared" si="79"/>
        <v>23.831999999999994</v>
      </c>
      <c r="P195" s="123">
        <f t="shared" si="80"/>
        <v>11.905047356432078</v>
      </c>
      <c r="Q195" s="114"/>
      <c r="S195">
        <f t="shared" si="69"/>
        <v>166.82</v>
      </c>
      <c r="T195" s="44">
        <f>E195+апр!I193</f>
        <v>166.66499999999999</v>
      </c>
      <c r="U195" s="30">
        <f>F195+апр!J193</f>
        <v>224.01599999999999</v>
      </c>
    </row>
    <row r="196" spans="1:21" ht="93" customHeight="1">
      <c r="A196" s="8" t="s">
        <v>276</v>
      </c>
      <c r="B196" s="9" t="s">
        <v>238</v>
      </c>
      <c r="C196" s="8" t="s">
        <v>4</v>
      </c>
      <c r="D196" s="10">
        <v>89.792000000000002</v>
      </c>
      <c r="E196" s="8">
        <v>89.832999999999998</v>
      </c>
      <c r="F196" s="55">
        <v>1.8260000000000001</v>
      </c>
      <c r="G196" s="10">
        <f t="shared" si="74"/>
        <v>-88.007000000000005</v>
      </c>
      <c r="H196" s="10">
        <f>D196+май!H194</f>
        <v>538.75200000000007</v>
      </c>
      <c r="I196" s="8">
        <f>E196+май!I194</f>
        <v>538.99799999999993</v>
      </c>
      <c r="J196" s="10">
        <f>F196+май!J194</f>
        <v>1.8260000000000001</v>
      </c>
      <c r="K196" s="10">
        <f t="shared" si="76"/>
        <v>-537.17199999999991</v>
      </c>
      <c r="L196" s="16">
        <f t="shared" si="85"/>
        <v>-99.66122323273926</v>
      </c>
      <c r="M196" s="220"/>
      <c r="N196" s="221"/>
      <c r="O196" s="122">
        <f t="shared" si="79"/>
        <v>-536.92600000000004</v>
      </c>
      <c r="P196" s="123">
        <f t="shared" si="80"/>
        <v>-99.661068543597054</v>
      </c>
      <c r="Q196" s="114"/>
      <c r="S196">
        <f t="shared" si="69"/>
        <v>448.96000000000004</v>
      </c>
      <c r="T196" s="44">
        <f>E196+апр!I194</f>
        <v>449.16499999999996</v>
      </c>
      <c r="U196" s="30">
        <f>F196+апр!J194</f>
        <v>1.8260000000000001</v>
      </c>
    </row>
    <row r="197" spans="1:21" ht="90.75" customHeight="1">
      <c r="A197" s="8" t="s">
        <v>277</v>
      </c>
      <c r="B197" s="9" t="s">
        <v>185</v>
      </c>
      <c r="C197" s="8" t="s">
        <v>4</v>
      </c>
      <c r="D197" s="10">
        <v>7.9660000000000002</v>
      </c>
      <c r="E197" s="8">
        <v>8</v>
      </c>
      <c r="F197" s="55">
        <v>7.8730000000000002</v>
      </c>
      <c r="G197" s="10">
        <f t="shared" si="74"/>
        <v>-0.12699999999999978</v>
      </c>
      <c r="H197" s="10">
        <f>D197+май!H195</f>
        <v>47.795999999999999</v>
      </c>
      <c r="I197" s="8">
        <f>E197+май!I195</f>
        <v>48</v>
      </c>
      <c r="J197" s="10">
        <f>F197+май!J195</f>
        <v>23.134</v>
      </c>
      <c r="K197" s="10">
        <f t="shared" si="76"/>
        <v>-24.866</v>
      </c>
      <c r="L197" s="16">
        <f t="shared" si="85"/>
        <v>-51.80416666666666</v>
      </c>
      <c r="M197" s="220"/>
      <c r="N197" s="221"/>
      <c r="O197" s="122">
        <f t="shared" si="79"/>
        <v>-24.661999999999999</v>
      </c>
      <c r="P197" s="123">
        <f t="shared" si="80"/>
        <v>-51.598460122185955</v>
      </c>
      <c r="Q197" s="114"/>
      <c r="S197">
        <f t="shared" si="69"/>
        <v>39.83</v>
      </c>
      <c r="T197" s="44">
        <f>E197+апр!I195</f>
        <v>40</v>
      </c>
      <c r="U197" s="30">
        <f>F197+апр!J195</f>
        <v>23.134</v>
      </c>
    </row>
    <row r="198" spans="1:21" ht="37.5" customHeight="1">
      <c r="A198" s="8" t="s">
        <v>278</v>
      </c>
      <c r="B198" s="9" t="s">
        <v>186</v>
      </c>
      <c r="C198" s="8" t="s">
        <v>4</v>
      </c>
      <c r="D198" s="10">
        <v>18.437000000000001</v>
      </c>
      <c r="E198" s="8">
        <v>18.417000000000002</v>
      </c>
      <c r="F198" s="55">
        <v>17.385999999999999</v>
      </c>
      <c r="G198" s="10">
        <f t="shared" si="74"/>
        <v>-1.0310000000000024</v>
      </c>
      <c r="H198" s="10">
        <f>D198+май!H196</f>
        <v>110.622</v>
      </c>
      <c r="I198" s="8">
        <f>E198+май!I196</f>
        <v>110.50200000000001</v>
      </c>
      <c r="J198" s="10">
        <f>F198+май!J196</f>
        <v>86.930999999999997</v>
      </c>
      <c r="K198" s="10">
        <f t="shared" si="76"/>
        <v>-23.571000000000012</v>
      </c>
      <c r="L198" s="16">
        <f t="shared" si="85"/>
        <v>-21.330835640983885</v>
      </c>
      <c r="M198" s="220"/>
      <c r="N198" s="221"/>
      <c r="O198" s="122">
        <f t="shared" si="79"/>
        <v>-23.691000000000003</v>
      </c>
      <c r="P198" s="123">
        <f t="shared" si="80"/>
        <v>-21.416173997938927</v>
      </c>
      <c r="Q198" s="114"/>
      <c r="S198">
        <f t="shared" si="69"/>
        <v>92.185000000000002</v>
      </c>
      <c r="T198" s="44">
        <f>E198+апр!I196</f>
        <v>92.085000000000008</v>
      </c>
      <c r="U198" s="30">
        <f>F198+апр!J196</f>
        <v>86.930999999999997</v>
      </c>
    </row>
    <row r="199" spans="1:21" ht="17.25" customHeight="1">
      <c r="A199" s="18" t="s">
        <v>279</v>
      </c>
      <c r="B199" s="26" t="s">
        <v>187</v>
      </c>
      <c r="C199" s="8" t="s">
        <v>4</v>
      </c>
      <c r="D199" s="10">
        <v>15.818</v>
      </c>
      <c r="E199" s="8">
        <v>15.833</v>
      </c>
      <c r="F199" s="8"/>
      <c r="G199" s="10">
        <f t="shared" si="74"/>
        <v>-15.833</v>
      </c>
      <c r="H199" s="10">
        <f>D199+май!H197</f>
        <v>94.908000000000001</v>
      </c>
      <c r="I199" s="8">
        <f>E199+май!H197</f>
        <v>94.923000000000002</v>
      </c>
      <c r="J199" s="10">
        <f>F199+май!J197</f>
        <v>0</v>
      </c>
      <c r="K199" s="10">
        <f t="shared" si="76"/>
        <v>-94.923000000000002</v>
      </c>
      <c r="L199" s="16">
        <f t="shared" si="85"/>
        <v>-100</v>
      </c>
      <c r="M199" s="220"/>
      <c r="N199" s="221"/>
      <c r="O199" s="122">
        <f t="shared" si="79"/>
        <v>-94.908000000000001</v>
      </c>
      <c r="P199" s="123">
        <f t="shared" si="80"/>
        <v>-100</v>
      </c>
      <c r="Q199" s="114"/>
      <c r="S199">
        <f t="shared" si="69"/>
        <v>79.09</v>
      </c>
      <c r="T199" s="44">
        <f>E199+апр!I197</f>
        <v>79.165000000000006</v>
      </c>
      <c r="U199" s="30">
        <f>F199+апр!J197</f>
        <v>0</v>
      </c>
    </row>
    <row r="200" spans="1:21" ht="17.25" customHeight="1">
      <c r="A200" s="18"/>
      <c r="B200" s="26" t="s">
        <v>125</v>
      </c>
      <c r="C200" s="8" t="s">
        <v>4</v>
      </c>
      <c r="D200" s="10">
        <v>0.34200000000000003</v>
      </c>
      <c r="E200" s="8">
        <v>0.33300000000000002</v>
      </c>
      <c r="F200" s="8"/>
      <c r="G200" s="10">
        <f t="shared" si="74"/>
        <v>-0.33300000000000002</v>
      </c>
      <c r="H200" s="10">
        <f>D200+май!H200</f>
        <v>19.957000000000001</v>
      </c>
      <c r="I200" s="8">
        <f>E200+май!I198</f>
        <v>1.998</v>
      </c>
      <c r="J200" s="10">
        <f>F200+май!J198</f>
        <v>0</v>
      </c>
      <c r="K200" s="10">
        <f t="shared" si="76"/>
        <v>-1.998</v>
      </c>
      <c r="L200" s="16">
        <f t="shared" si="85"/>
        <v>-100</v>
      </c>
      <c r="M200" s="220"/>
      <c r="N200" s="221"/>
      <c r="O200" s="122">
        <f t="shared" si="79"/>
        <v>-19.957000000000001</v>
      </c>
      <c r="P200" s="123">
        <f t="shared" si="80"/>
        <v>-100</v>
      </c>
      <c r="Q200" s="114"/>
      <c r="S200">
        <f t="shared" si="69"/>
        <v>1.7100000000000002</v>
      </c>
      <c r="T200" s="44">
        <f>E200+апр!I198</f>
        <v>1.665</v>
      </c>
      <c r="U200" s="30">
        <f>F200+апр!J198</f>
        <v>0</v>
      </c>
    </row>
    <row r="201" spans="1:21" ht="17.25" customHeight="1">
      <c r="A201" s="18" t="s">
        <v>280</v>
      </c>
      <c r="B201" s="26" t="s">
        <v>188</v>
      </c>
      <c r="C201" s="8" t="s">
        <v>4</v>
      </c>
      <c r="D201" s="10">
        <v>0</v>
      </c>
      <c r="E201" s="8"/>
      <c r="F201" s="8"/>
      <c r="G201" s="10">
        <f t="shared" si="74"/>
        <v>0</v>
      </c>
      <c r="H201" s="10">
        <f>D201+май!H201</f>
        <v>0</v>
      </c>
      <c r="I201" s="8">
        <f>E201+май!I199</f>
        <v>0</v>
      </c>
      <c r="J201" s="10">
        <f>F201+май!J199</f>
        <v>0</v>
      </c>
      <c r="K201" s="10">
        <f t="shared" si="76"/>
        <v>0</v>
      </c>
      <c r="L201" s="16"/>
      <c r="M201" s="220"/>
      <c r="N201" s="221"/>
      <c r="O201" s="122">
        <f t="shared" si="79"/>
        <v>0</v>
      </c>
      <c r="P201" s="123" t="e">
        <f t="shared" si="80"/>
        <v>#DIV/0!</v>
      </c>
      <c r="Q201" s="114"/>
      <c r="S201">
        <f t="shared" si="69"/>
        <v>0</v>
      </c>
      <c r="T201" s="44">
        <f>E201+апр!I199</f>
        <v>0</v>
      </c>
      <c r="U201" s="30">
        <f>F201+апр!J199</f>
        <v>0</v>
      </c>
    </row>
    <row r="202" spans="1:21" ht="27" customHeight="1">
      <c r="A202" s="18" t="s">
        <v>281</v>
      </c>
      <c r="B202" s="26" t="s">
        <v>189</v>
      </c>
      <c r="C202" s="8" t="s">
        <v>4</v>
      </c>
      <c r="D202" s="10">
        <v>3.923</v>
      </c>
      <c r="E202" s="8">
        <v>3.9169999999999998</v>
      </c>
      <c r="F202" s="10">
        <v>1.83</v>
      </c>
      <c r="G202" s="10">
        <f t="shared" si="74"/>
        <v>-2.0869999999999997</v>
      </c>
      <c r="H202" s="10">
        <f>D202+май!H202</f>
        <v>3.923</v>
      </c>
      <c r="I202" s="8">
        <f>E202+май!I200</f>
        <v>23.502000000000002</v>
      </c>
      <c r="J202" s="10">
        <f>F202+май!J200</f>
        <v>12.776</v>
      </c>
      <c r="K202" s="10">
        <f t="shared" si="76"/>
        <v>-10.726000000000003</v>
      </c>
      <c r="L202" s="16">
        <f t="shared" si="85"/>
        <v>-45.638669049442612</v>
      </c>
      <c r="M202" s="222" t="s">
        <v>289</v>
      </c>
      <c r="N202" s="223"/>
      <c r="O202" s="122">
        <f t="shared" si="79"/>
        <v>8.8529999999999998</v>
      </c>
      <c r="P202" s="123">
        <f t="shared" si="80"/>
        <v>225.66913076726993</v>
      </c>
      <c r="Q202" s="115"/>
      <c r="S202">
        <f t="shared" si="69"/>
        <v>19.615000000000002</v>
      </c>
      <c r="T202" s="44">
        <f>E202+апр!I200</f>
        <v>19.585000000000001</v>
      </c>
      <c r="U202" s="30">
        <f>F202+апр!J200</f>
        <v>12.419</v>
      </c>
    </row>
    <row r="203" spans="1:21" ht="17.25" hidden="1" customHeight="1">
      <c r="A203" s="18" t="s">
        <v>282</v>
      </c>
      <c r="B203" s="26" t="s">
        <v>225</v>
      </c>
      <c r="C203" s="8" t="s">
        <v>4</v>
      </c>
      <c r="D203" s="10">
        <v>0</v>
      </c>
      <c r="E203" s="8"/>
      <c r="F203" s="8"/>
      <c r="G203" s="10">
        <f t="shared" si="74"/>
        <v>0</v>
      </c>
      <c r="H203" s="10">
        <f>D203+апр!H201</f>
        <v>0</v>
      </c>
      <c r="I203" s="8">
        <f>E203+апр!I201</f>
        <v>0</v>
      </c>
      <c r="J203" s="10">
        <f>F203+апр!J201</f>
        <v>0</v>
      </c>
      <c r="K203" s="10">
        <f t="shared" si="76"/>
        <v>0</v>
      </c>
      <c r="L203" s="16" t="e">
        <f t="shared" si="85"/>
        <v>#DIV/0!</v>
      </c>
      <c r="M203" s="222" t="s">
        <v>290</v>
      </c>
      <c r="N203" s="223"/>
      <c r="O203" s="122">
        <f t="shared" si="79"/>
        <v>0</v>
      </c>
      <c r="P203" s="123" t="e">
        <f t="shared" si="80"/>
        <v>#DIV/0!</v>
      </c>
      <c r="Q203" s="115"/>
      <c r="S203">
        <f t="shared" ref="S203:S220" si="96">D203*5</f>
        <v>0</v>
      </c>
      <c r="T203" s="44">
        <f>E203+апр!I201</f>
        <v>0</v>
      </c>
      <c r="U203" s="30">
        <f>F203+апр!J201</f>
        <v>0</v>
      </c>
    </row>
    <row r="204" spans="1:21" ht="17.25" hidden="1" customHeight="1">
      <c r="A204" s="18" t="s">
        <v>283</v>
      </c>
      <c r="B204" s="26" t="s">
        <v>228</v>
      </c>
      <c r="C204" s="8" t="s">
        <v>4</v>
      </c>
      <c r="D204" s="10">
        <v>0</v>
      </c>
      <c r="E204" s="8"/>
      <c r="F204" s="8"/>
      <c r="G204" s="10">
        <f t="shared" si="74"/>
        <v>0</v>
      </c>
      <c r="H204" s="10">
        <f>D204+апр!H202</f>
        <v>0</v>
      </c>
      <c r="I204" s="8">
        <f>E204+апр!I202</f>
        <v>0</v>
      </c>
      <c r="J204" s="10">
        <f>F204+апр!J202</f>
        <v>0</v>
      </c>
      <c r="K204" s="10">
        <f t="shared" si="76"/>
        <v>0</v>
      </c>
      <c r="L204" s="16" t="e">
        <f t="shared" si="85"/>
        <v>#DIV/0!</v>
      </c>
      <c r="M204" s="222" t="s">
        <v>290</v>
      </c>
      <c r="N204" s="223"/>
      <c r="O204" s="122">
        <f t="shared" si="79"/>
        <v>0</v>
      </c>
      <c r="P204" s="123" t="e">
        <f t="shared" si="80"/>
        <v>#DIV/0!</v>
      </c>
      <c r="Q204" s="115"/>
      <c r="S204">
        <f t="shared" si="96"/>
        <v>0</v>
      </c>
      <c r="T204" s="44">
        <f>E204+апр!I202</f>
        <v>0</v>
      </c>
      <c r="U204" s="30">
        <f>F204+апр!J202</f>
        <v>0</v>
      </c>
    </row>
    <row r="205" spans="1:21" ht="34.5" hidden="1" customHeight="1">
      <c r="A205" s="18" t="s">
        <v>284</v>
      </c>
      <c r="B205" s="26" t="s">
        <v>231</v>
      </c>
      <c r="C205" s="8" t="s">
        <v>4</v>
      </c>
      <c r="D205" s="10">
        <v>0</v>
      </c>
      <c r="E205" s="8"/>
      <c r="F205" s="8"/>
      <c r="G205" s="10">
        <f t="shared" si="74"/>
        <v>0</v>
      </c>
      <c r="H205" s="10">
        <f>D205+апр!H203</f>
        <v>0</v>
      </c>
      <c r="I205" s="8">
        <f>E205+апр!I203</f>
        <v>0</v>
      </c>
      <c r="J205" s="10">
        <f>F205+апр!J203</f>
        <v>0</v>
      </c>
      <c r="K205" s="10">
        <f t="shared" si="76"/>
        <v>0</v>
      </c>
      <c r="L205" s="16" t="e">
        <f t="shared" si="85"/>
        <v>#DIV/0!</v>
      </c>
      <c r="M205" s="222" t="s">
        <v>290</v>
      </c>
      <c r="N205" s="223"/>
      <c r="O205" s="122">
        <f t="shared" si="79"/>
        <v>0</v>
      </c>
      <c r="P205" s="123" t="e">
        <f t="shared" si="80"/>
        <v>#DIV/0!</v>
      </c>
      <c r="Q205" s="115"/>
      <c r="S205">
        <f t="shared" si="96"/>
        <v>0</v>
      </c>
      <c r="T205" s="44">
        <f>E205+апр!I203</f>
        <v>0</v>
      </c>
      <c r="U205" s="30">
        <f>F205+апр!J203</f>
        <v>0</v>
      </c>
    </row>
    <row r="206" spans="1:21" ht="17.25" customHeight="1">
      <c r="A206" s="18" t="s">
        <v>282</v>
      </c>
      <c r="B206" s="26" t="s">
        <v>230</v>
      </c>
      <c r="C206" s="8" t="s">
        <v>4</v>
      </c>
      <c r="D206" s="10">
        <v>0</v>
      </c>
      <c r="E206" s="8"/>
      <c r="F206" s="8"/>
      <c r="G206" s="10">
        <f t="shared" si="74"/>
        <v>0</v>
      </c>
      <c r="H206" s="10">
        <f>D206+май!H206</f>
        <v>7349.96</v>
      </c>
      <c r="I206" s="8">
        <f>E206+май!I204</f>
        <v>0</v>
      </c>
      <c r="J206" s="10">
        <f>F206+май!J204</f>
        <v>0</v>
      </c>
      <c r="K206" s="10">
        <f t="shared" si="76"/>
        <v>0</v>
      </c>
      <c r="L206" s="16"/>
      <c r="M206" s="220"/>
      <c r="N206" s="221"/>
      <c r="O206" s="122">
        <f t="shared" si="79"/>
        <v>-7349.96</v>
      </c>
      <c r="P206" s="123">
        <f t="shared" si="80"/>
        <v>-100</v>
      </c>
      <c r="Q206" s="114"/>
      <c r="S206">
        <f t="shared" si="96"/>
        <v>0</v>
      </c>
      <c r="T206" s="44">
        <f>E206+апр!I204</f>
        <v>0</v>
      </c>
      <c r="U206" s="30">
        <f>F206+апр!J204</f>
        <v>0</v>
      </c>
    </row>
    <row r="207" spans="1:21" ht="21" customHeight="1">
      <c r="A207" s="99" t="s">
        <v>190</v>
      </c>
      <c r="B207" s="6" t="s">
        <v>191</v>
      </c>
      <c r="C207" s="99" t="s">
        <v>4</v>
      </c>
      <c r="D207" s="7">
        <f>D8+D140</f>
        <v>76555.231</v>
      </c>
      <c r="E207" s="21">
        <f>E8+E140</f>
        <v>71086.831999999995</v>
      </c>
      <c r="F207" s="7">
        <f>F8+F140</f>
        <v>84903.007500000022</v>
      </c>
      <c r="G207" s="10">
        <f t="shared" ref="G207:G215" si="97">F207-E207</f>
        <v>13816.175500000027</v>
      </c>
      <c r="H207" s="7">
        <f>H8+H140</f>
        <v>467460.11917322921</v>
      </c>
      <c r="I207" s="7">
        <f>I8+I140</f>
        <v>425522.72278061765</v>
      </c>
      <c r="J207" s="7">
        <f>J8+J140</f>
        <v>449552.46549999999</v>
      </c>
      <c r="K207" s="10">
        <f t="shared" ref="K207:K215" si="98">J207-I207</f>
        <v>24029.742719382339</v>
      </c>
      <c r="L207" s="16">
        <f t="shared" ref="L207:L215" si="99">K207/I207*100</f>
        <v>5.6471115249399046</v>
      </c>
      <c r="M207" s="220"/>
      <c r="N207" s="221"/>
      <c r="O207" s="122">
        <f>J207-H207</f>
        <v>-17907.653673229215</v>
      </c>
      <c r="P207" s="123">
        <f t="shared" si="80"/>
        <v>-3.8308409506465466</v>
      </c>
      <c r="Q207" s="114"/>
      <c r="R207" s="30"/>
      <c r="S207">
        <f t="shared" si="96"/>
        <v>382776.15500000003</v>
      </c>
      <c r="T207" s="44">
        <f>E207+апр!I205</f>
        <v>355434.16</v>
      </c>
      <c r="U207" s="30">
        <f>F207+апр!J205</f>
        <v>367887.6559999999</v>
      </c>
    </row>
    <row r="208" spans="1:21" ht="17.25" customHeight="1">
      <c r="A208" s="99" t="s">
        <v>192</v>
      </c>
      <c r="B208" s="6" t="s">
        <v>193</v>
      </c>
      <c r="C208" s="99" t="s">
        <v>4</v>
      </c>
      <c r="D208" s="7">
        <v>1469.992</v>
      </c>
      <c r="E208" s="99">
        <v>1470.0830000000001</v>
      </c>
      <c r="F208" s="21">
        <f>F211-F207</f>
        <v>-2645.312780000022</v>
      </c>
      <c r="G208" s="16">
        <f t="shared" si="97"/>
        <v>-4115.3957800000226</v>
      </c>
      <c r="H208" s="10">
        <f>D208+май!H206</f>
        <v>8819.9519999999993</v>
      </c>
      <c r="I208" s="8">
        <f>E208+май!I206</f>
        <v>8820.4980000000014</v>
      </c>
      <c r="J208" s="10">
        <f>F208+май!J206</f>
        <v>23016.353579999952</v>
      </c>
      <c r="K208" s="10">
        <f t="shared" si="98"/>
        <v>14195.85557999995</v>
      </c>
      <c r="L208" s="16">
        <f t="shared" si="99"/>
        <v>160.9416563554569</v>
      </c>
      <c r="M208" s="220"/>
      <c r="N208" s="221"/>
      <c r="O208" s="122">
        <f t="shared" si="79"/>
        <v>14196.401579999952</v>
      </c>
      <c r="P208" s="123">
        <f t="shared" si="80"/>
        <v>160.95780997447554</v>
      </c>
      <c r="Q208" s="114"/>
      <c r="S208">
        <f>D208*5</f>
        <v>7349.96</v>
      </c>
      <c r="T208" s="44">
        <f>E208+апр!I206</f>
        <v>7350.4150000000009</v>
      </c>
      <c r="U208" s="30">
        <f>F208+апр!J206</f>
        <v>5017.4067599999544</v>
      </c>
    </row>
    <row r="209" spans="1:22" ht="17.25" customHeight="1">
      <c r="A209" s="99" t="s">
        <v>194</v>
      </c>
      <c r="B209" s="6" t="s">
        <v>195</v>
      </c>
      <c r="C209" s="99" t="s">
        <v>4</v>
      </c>
      <c r="D209" s="7">
        <f>D207+D208</f>
        <v>78025.222999999998</v>
      </c>
      <c r="E209" s="21">
        <f>E207+E208</f>
        <v>72556.914999999994</v>
      </c>
      <c r="F209" s="7">
        <f>F207+F208</f>
        <v>82257.69472</v>
      </c>
      <c r="G209" s="16">
        <f t="shared" si="97"/>
        <v>9700.7797200000059</v>
      </c>
      <c r="H209" s="7">
        <f>H207+H208</f>
        <v>476280.0711732292</v>
      </c>
      <c r="I209" s="7">
        <f>I207+I208</f>
        <v>434343.22078061767</v>
      </c>
      <c r="J209" s="7">
        <f>J207+J208</f>
        <v>472568.81907999993</v>
      </c>
      <c r="K209" s="10">
        <f>J209-I209</f>
        <v>38225.598299382254</v>
      </c>
      <c r="L209" s="16">
        <f t="shared" si="99"/>
        <v>8.8007816101473395</v>
      </c>
      <c r="M209" s="220"/>
      <c r="N209" s="221"/>
      <c r="O209" s="122">
        <f t="shared" si="79"/>
        <v>-3711.2520932292682</v>
      </c>
      <c r="P209" s="123">
        <f t="shared" si="80"/>
        <v>-0.77921633044340377</v>
      </c>
      <c r="Q209" s="114"/>
      <c r="S209">
        <f t="shared" si="96"/>
        <v>390126.11499999999</v>
      </c>
      <c r="T209" s="44">
        <f>E209+апр!I207</f>
        <v>362784.57499999995</v>
      </c>
      <c r="U209" s="30">
        <f>F209+апр!J207</f>
        <v>372905.06275999988</v>
      </c>
    </row>
    <row r="210" spans="1:22" ht="17.25" customHeight="1">
      <c r="A210" s="224" t="s">
        <v>196</v>
      </c>
      <c r="B210" s="225" t="s">
        <v>197</v>
      </c>
      <c r="C210" s="99" t="s">
        <v>114</v>
      </c>
      <c r="D210" s="7">
        <v>559.39200000000005</v>
      </c>
      <c r="E210" s="99">
        <v>523.61</v>
      </c>
      <c r="F210" s="99">
        <v>596.41600000000005</v>
      </c>
      <c r="G210" s="10">
        <f t="shared" si="97"/>
        <v>72.80600000000004</v>
      </c>
      <c r="H210" s="10">
        <f>D210+май!H208</f>
        <v>3356.3519999999999</v>
      </c>
      <c r="I210" s="10">
        <f>E210+май!I208</f>
        <v>3141.6600000000003</v>
      </c>
      <c r="J210" s="10">
        <f>F210+май!J208</f>
        <v>3428.3490000000002</v>
      </c>
      <c r="K210" s="10">
        <f t="shared" si="98"/>
        <v>286.68899999999985</v>
      </c>
      <c r="L210" s="16">
        <f t="shared" si="99"/>
        <v>9.1253986745860409</v>
      </c>
      <c r="M210" s="220"/>
      <c r="N210" s="221"/>
      <c r="O210" s="122">
        <f t="shared" si="79"/>
        <v>71.997000000000298</v>
      </c>
      <c r="P210" s="123">
        <f t="shared" si="80"/>
        <v>2.1450968194039333</v>
      </c>
      <c r="Q210" s="114"/>
      <c r="S210">
        <f t="shared" si="96"/>
        <v>2796.96</v>
      </c>
      <c r="T210" s="44">
        <f>E210+апр!I208</f>
        <v>2618.0500000000002</v>
      </c>
      <c r="U210" s="30">
        <f>F210+апр!J208</f>
        <v>2703.7780000000002</v>
      </c>
    </row>
    <row r="211" spans="1:22" ht="17.25" customHeight="1">
      <c r="A211" s="224"/>
      <c r="B211" s="225"/>
      <c r="C211" s="99" t="s">
        <v>4</v>
      </c>
      <c r="D211" s="7">
        <f>D209</f>
        <v>78025.222999999998</v>
      </c>
      <c r="E211" s="21">
        <f>E209</f>
        <v>72556.914999999994</v>
      </c>
      <c r="F211" s="99">
        <f>F215*F210</f>
        <v>82257.69472</v>
      </c>
      <c r="G211" s="16">
        <f t="shared" si="97"/>
        <v>9700.7797200000059</v>
      </c>
      <c r="H211" s="10">
        <f>D211+май!H209</f>
        <v>468151.33799999999</v>
      </c>
      <c r="I211" s="7">
        <f>I209</f>
        <v>434343.22078061767</v>
      </c>
      <c r="J211" s="99">
        <f>J215*J210</f>
        <v>472568.81907999987</v>
      </c>
      <c r="K211" s="10">
        <f t="shared" si="98"/>
        <v>38225.598299382196</v>
      </c>
      <c r="L211" s="16">
        <f t="shared" si="99"/>
        <v>8.8007816101473253</v>
      </c>
      <c r="M211" s="220"/>
      <c r="N211" s="221"/>
      <c r="O211" s="122">
        <f t="shared" si="79"/>
        <v>4417.4810799998813</v>
      </c>
      <c r="P211" s="123">
        <f t="shared" si="80"/>
        <v>0.94360107970040263</v>
      </c>
      <c r="Q211" s="114"/>
      <c r="S211">
        <f t="shared" si="96"/>
        <v>390126.11499999999</v>
      </c>
      <c r="T211" s="44">
        <f>E211+апр!I209</f>
        <v>362784.57499999995</v>
      </c>
      <c r="U211" s="30">
        <f>F211+апр!J209</f>
        <v>372905.06275999988</v>
      </c>
    </row>
    <row r="212" spans="1:22" ht="17.25" customHeight="1">
      <c r="A212" s="99" t="s">
        <v>198</v>
      </c>
      <c r="B212" s="100" t="s">
        <v>199</v>
      </c>
      <c r="C212" s="99" t="s">
        <v>114</v>
      </c>
      <c r="D212" s="7">
        <v>761.69899999999996</v>
      </c>
      <c r="E212" s="21">
        <v>713</v>
      </c>
      <c r="F212" s="7">
        <v>713.25699999999995</v>
      </c>
      <c r="G212" s="10">
        <f t="shared" si="97"/>
        <v>0.25699999999994816</v>
      </c>
      <c r="H212" s="10">
        <f>D212+май!H210</f>
        <v>4570.1939999999995</v>
      </c>
      <c r="I212" s="10">
        <f>E212+май!I210</f>
        <v>4278</v>
      </c>
      <c r="J212" s="10">
        <f>F212+май!J210</f>
        <v>4223.37</v>
      </c>
      <c r="K212" s="10">
        <f t="shared" si="98"/>
        <v>-54.630000000000109</v>
      </c>
      <c r="L212" s="16">
        <f t="shared" si="99"/>
        <v>-1.2769985974754583</v>
      </c>
      <c r="M212" s="220"/>
      <c r="N212" s="221"/>
      <c r="O212" s="122">
        <f t="shared" ref="O212:O215" si="100">J212-H212</f>
        <v>-346.82399999999961</v>
      </c>
      <c r="P212" s="123">
        <f t="shared" ref="P212:P215" si="101">O212/H212*100</f>
        <v>-7.5888244569048862</v>
      </c>
      <c r="Q212" s="114"/>
      <c r="S212">
        <f t="shared" si="96"/>
        <v>3808.4949999999999</v>
      </c>
      <c r="T212" s="44">
        <f>E212+апр!I210</f>
        <v>3565</v>
      </c>
      <c r="U212" s="30">
        <f>F212+апр!J210</f>
        <v>3366.9390000000003</v>
      </c>
    </row>
    <row r="213" spans="1:22" ht="17.25" customHeight="1">
      <c r="A213" s="224" t="s">
        <v>200</v>
      </c>
      <c r="B213" s="225" t="s">
        <v>201</v>
      </c>
      <c r="C213" s="99" t="s">
        <v>202</v>
      </c>
      <c r="D213" s="21">
        <f>D214/D212*100</f>
        <v>26.559966600980168</v>
      </c>
      <c r="E213" s="21">
        <f>E214/E212*100</f>
        <v>26.562412342215985</v>
      </c>
      <c r="F213" s="21">
        <f>F214/F212*100</f>
        <v>16.381332394915145</v>
      </c>
      <c r="G213" s="10">
        <f t="shared" si="97"/>
        <v>-10.181079947300841</v>
      </c>
      <c r="H213" s="21">
        <f>H214/H212*100</f>
        <v>26.559966600980172</v>
      </c>
      <c r="I213" s="21">
        <f>I214/I212*100</f>
        <v>26.562412342215978</v>
      </c>
      <c r="J213" s="21">
        <f>J214/J212*100</f>
        <v>18.824327492026505</v>
      </c>
      <c r="K213" s="10">
        <f t="shared" si="98"/>
        <v>-7.7380848501894732</v>
      </c>
      <c r="L213" s="16">
        <f t="shared" si="99"/>
        <v>-29.131709689978862</v>
      </c>
      <c r="M213" s="220"/>
      <c r="N213" s="221"/>
      <c r="O213" s="122">
        <f t="shared" si="100"/>
        <v>-7.7356391089536665</v>
      </c>
      <c r="P213" s="123">
        <f t="shared" si="101"/>
        <v>-29.125183872287664</v>
      </c>
      <c r="Q213" s="114"/>
      <c r="S213">
        <f t="shared" si="96"/>
        <v>132.79983300490085</v>
      </c>
      <c r="T213" s="44">
        <f>E213+апр!I211</f>
        <v>53.124824684431971</v>
      </c>
      <c r="U213" s="30">
        <f>F213+апр!J211</f>
        <v>36.968576834904567</v>
      </c>
    </row>
    <row r="214" spans="1:22" ht="17.25" customHeight="1">
      <c r="A214" s="224"/>
      <c r="B214" s="225"/>
      <c r="C214" s="99" t="s">
        <v>114</v>
      </c>
      <c r="D214" s="7">
        <f>D212-D210</f>
        <v>202.3069999999999</v>
      </c>
      <c r="E214" s="7">
        <f>E212-E210</f>
        <v>189.39</v>
      </c>
      <c r="F214" s="7">
        <f>F212-F210</f>
        <v>116.84099999999989</v>
      </c>
      <c r="G214" s="10">
        <f t="shared" si="97"/>
        <v>-72.549000000000092</v>
      </c>
      <c r="H214" s="7">
        <f>H212-H210</f>
        <v>1213.8419999999996</v>
      </c>
      <c r="I214" s="7">
        <f>I212-I210</f>
        <v>1136.3399999999997</v>
      </c>
      <c r="J214" s="7">
        <f>J212-J210</f>
        <v>795.02099999999973</v>
      </c>
      <c r="K214" s="10">
        <f t="shared" si="98"/>
        <v>-341.31899999999996</v>
      </c>
      <c r="L214" s="16">
        <f t="shared" si="99"/>
        <v>-30.036696763292682</v>
      </c>
      <c r="M214" s="220"/>
      <c r="N214" s="221"/>
      <c r="O214" s="122">
        <f t="shared" si="100"/>
        <v>-418.82099999999991</v>
      </c>
      <c r="P214" s="123">
        <f t="shared" si="101"/>
        <v>-34.503749252373872</v>
      </c>
      <c r="Q214" s="114"/>
      <c r="S214">
        <f t="shared" si="96"/>
        <v>1011.5349999999995</v>
      </c>
      <c r="T214" s="44">
        <f>E214+апр!I212</f>
        <v>946.94999999999993</v>
      </c>
      <c r="U214" s="30">
        <f>F214+апр!J212</f>
        <v>663.16100000000006</v>
      </c>
    </row>
    <row r="215" spans="1:22" s="1" customFormat="1" ht="21" customHeight="1">
      <c r="A215" s="99" t="s">
        <v>203</v>
      </c>
      <c r="B215" s="6" t="s">
        <v>204</v>
      </c>
      <c r="C215" s="99" t="s">
        <v>205</v>
      </c>
      <c r="D215" s="21">
        <f>D209/D210</f>
        <v>139.48219316686686</v>
      </c>
      <c r="E215" s="21">
        <f>E211/E210</f>
        <v>138.57052959263572</v>
      </c>
      <c r="F215" s="99">
        <v>137.91999999999999</v>
      </c>
      <c r="G215" s="10">
        <f t="shared" si="97"/>
        <v>-0.65052959263573484</v>
      </c>
      <c r="H215" s="21">
        <f>H209/H210</f>
        <v>141.90408847857114</v>
      </c>
      <c r="I215" s="21">
        <f>I209/I210</f>
        <v>138.25277744269513</v>
      </c>
      <c r="J215" s="21">
        <f>J209/J210</f>
        <v>137.84151469993279</v>
      </c>
      <c r="K215" s="10">
        <f t="shared" si="98"/>
        <v>-0.41126274276234653</v>
      </c>
      <c r="L215" s="16">
        <f t="shared" si="99"/>
        <v>-0.29747159541356211</v>
      </c>
      <c r="M215" s="220"/>
      <c r="N215" s="221"/>
      <c r="O215" s="122">
        <f t="shared" si="100"/>
        <v>-4.0625737786383525</v>
      </c>
      <c r="P215" s="123">
        <f t="shared" si="101"/>
        <v>-2.8629011483709572</v>
      </c>
      <c r="Q215" s="114"/>
      <c r="R215"/>
      <c r="S215">
        <f t="shared" si="96"/>
        <v>697.41096583433432</v>
      </c>
      <c r="T215" s="44">
        <f>E215+апр!I213</f>
        <v>277.14105918527144</v>
      </c>
      <c r="U215" s="30">
        <f>F215+апр!J213</f>
        <v>275.84000047452685</v>
      </c>
      <c r="V215"/>
    </row>
    <row r="216" spans="1:22" ht="17.25" customHeight="1">
      <c r="A216" s="8"/>
      <c r="B216" s="9" t="s">
        <v>206</v>
      </c>
      <c r="C216" s="8"/>
      <c r="D216" s="21"/>
      <c r="E216" s="8"/>
      <c r="F216" s="8"/>
      <c r="G216" s="8"/>
      <c r="H216" s="21"/>
      <c r="I216" s="8"/>
      <c r="J216" s="8"/>
      <c r="K216" s="8"/>
      <c r="L216" s="16"/>
      <c r="M216" s="220"/>
      <c r="N216" s="221"/>
      <c r="O216" s="114"/>
      <c r="P216" s="114"/>
      <c r="Q216" s="114"/>
      <c r="S216">
        <f t="shared" si="96"/>
        <v>0</v>
      </c>
      <c r="T216" s="44">
        <f>E216+апр!I214</f>
        <v>0</v>
      </c>
      <c r="U216" s="30">
        <f>F216+апр!J214</f>
        <v>0</v>
      </c>
    </row>
    <row r="217" spans="1:22" ht="35.25" customHeight="1">
      <c r="A217" s="8">
        <v>7</v>
      </c>
      <c r="B217" s="9" t="s">
        <v>207</v>
      </c>
      <c r="C217" s="8" t="s">
        <v>208</v>
      </c>
      <c r="D217" s="14">
        <f>D218+D219</f>
        <v>253</v>
      </c>
      <c r="E217" s="14">
        <f t="shared" ref="E217:G217" si="102">E218+E219</f>
        <v>0</v>
      </c>
      <c r="F217" s="14">
        <f t="shared" si="102"/>
        <v>0</v>
      </c>
      <c r="G217" s="14">
        <f t="shared" si="102"/>
        <v>0</v>
      </c>
      <c r="H217" s="14">
        <f>H218+H219</f>
        <v>253</v>
      </c>
      <c r="I217" s="14">
        <f t="shared" ref="I217:K217" si="103">I218+I219</f>
        <v>0</v>
      </c>
      <c r="J217" s="14">
        <f t="shared" si="103"/>
        <v>172</v>
      </c>
      <c r="K217" s="14">
        <f t="shared" si="103"/>
        <v>0</v>
      </c>
      <c r="L217" s="16"/>
      <c r="M217" s="220"/>
      <c r="N217" s="221"/>
      <c r="O217" s="114"/>
      <c r="P217" s="114"/>
      <c r="Q217" s="114"/>
      <c r="S217">
        <f t="shared" si="96"/>
        <v>1265</v>
      </c>
      <c r="T217" s="44">
        <f>E217+апр!I215</f>
        <v>0</v>
      </c>
      <c r="U217" s="30">
        <f>F217+апр!J215</f>
        <v>172</v>
      </c>
    </row>
    <row r="218" spans="1:22" ht="17.25" customHeight="1">
      <c r="A218" s="18" t="s">
        <v>209</v>
      </c>
      <c r="B218" s="9" t="s">
        <v>210</v>
      </c>
      <c r="C218" s="8" t="s">
        <v>208</v>
      </c>
      <c r="D218" s="14">
        <v>236</v>
      </c>
      <c r="E218" s="8"/>
      <c r="F218" s="8"/>
      <c r="G218" s="8"/>
      <c r="H218" s="14">
        <v>236</v>
      </c>
      <c r="I218" s="8"/>
      <c r="J218" s="8">
        <v>164</v>
      </c>
      <c r="K218" s="8"/>
      <c r="L218" s="16"/>
      <c r="M218" s="220"/>
      <c r="N218" s="221"/>
      <c r="O218" s="114"/>
      <c r="P218" s="114"/>
      <c r="Q218" s="114"/>
      <c r="S218">
        <f t="shared" si="96"/>
        <v>1180</v>
      </c>
      <c r="T218" s="44">
        <f>E218+апр!I216</f>
        <v>0</v>
      </c>
      <c r="U218" s="30">
        <f>F218+апр!J216</f>
        <v>164</v>
      </c>
    </row>
    <row r="219" spans="1:22" ht="17.25" customHeight="1">
      <c r="A219" s="18" t="s">
        <v>211</v>
      </c>
      <c r="B219" s="9" t="s">
        <v>212</v>
      </c>
      <c r="C219" s="8" t="s">
        <v>208</v>
      </c>
      <c r="D219" s="14">
        <v>17</v>
      </c>
      <c r="E219" s="8"/>
      <c r="F219" s="8"/>
      <c r="G219" s="8"/>
      <c r="H219" s="14">
        <v>17</v>
      </c>
      <c r="I219" s="8"/>
      <c r="J219" s="8">
        <v>8</v>
      </c>
      <c r="K219" s="8"/>
      <c r="L219" s="16"/>
      <c r="M219" s="220"/>
      <c r="N219" s="221"/>
      <c r="O219" s="114"/>
      <c r="P219" s="114"/>
      <c r="Q219" s="114"/>
      <c r="S219">
        <f t="shared" si="96"/>
        <v>85</v>
      </c>
      <c r="T219" s="44">
        <f>E219+апр!I217</f>
        <v>0</v>
      </c>
      <c r="U219" s="30">
        <f>F219+апр!J217</f>
        <v>8</v>
      </c>
    </row>
    <row r="220" spans="1:22" ht="36" customHeight="1">
      <c r="A220" s="18" t="s">
        <v>213</v>
      </c>
      <c r="B220" s="9" t="s">
        <v>214</v>
      </c>
      <c r="C220" s="8" t="s">
        <v>16</v>
      </c>
      <c r="D220" s="14">
        <f>(D88+D147)/D217*1000</f>
        <v>86746.573122529648</v>
      </c>
      <c r="E220" s="8"/>
      <c r="F220" s="8"/>
      <c r="G220" s="8"/>
      <c r="H220" s="14">
        <f>(H88+H147)/H217*1000/6</f>
        <v>86746.573122529648</v>
      </c>
      <c r="I220" s="8"/>
      <c r="J220" s="14">
        <f>(J88+J147)/J217*1000/6</f>
        <v>116306.36821705425</v>
      </c>
      <c r="K220" s="8"/>
      <c r="L220" s="16"/>
      <c r="M220" s="220"/>
      <c r="N220" s="221"/>
      <c r="O220" s="114"/>
      <c r="P220" s="114"/>
      <c r="Q220" s="114"/>
      <c r="S220">
        <f t="shared" si="96"/>
        <v>433732.86561264825</v>
      </c>
      <c r="T220" s="44">
        <f>E220+апр!I218</f>
        <v>0</v>
      </c>
      <c r="U220" s="30">
        <f>F220+апр!J218</f>
        <v>113361.80523255812</v>
      </c>
    </row>
    <row r="221" spans="1:22" ht="17.25" customHeight="1">
      <c r="A221" s="18" t="s">
        <v>215</v>
      </c>
      <c r="B221" s="9" t="s">
        <v>210</v>
      </c>
      <c r="C221" s="8" t="s">
        <v>16</v>
      </c>
      <c r="D221" s="14">
        <f>D88/D218*1000</f>
        <v>84883.580508474581</v>
      </c>
      <c r="E221" s="8"/>
      <c r="F221" s="8"/>
      <c r="G221" s="8"/>
      <c r="H221" s="14">
        <f>H88/H218*1000/6</f>
        <v>84883.580508474566</v>
      </c>
      <c r="I221" s="8"/>
      <c r="J221" s="14">
        <f>J88/J218*1000/6</f>
        <v>113396.09654471544</v>
      </c>
      <c r="K221" s="8"/>
      <c r="L221" s="16"/>
      <c r="M221" s="220"/>
      <c r="N221" s="221"/>
      <c r="O221" s="114"/>
      <c r="P221" s="114"/>
      <c r="Q221" s="114"/>
      <c r="T221" s="44">
        <f>E221+апр!I219</f>
        <v>0</v>
      </c>
      <c r="U221" s="30">
        <f>F221+апр!J219</f>
        <v>110632.42835365853</v>
      </c>
    </row>
    <row r="222" spans="1:22" ht="17.25" customHeight="1">
      <c r="A222" s="18" t="s">
        <v>216</v>
      </c>
      <c r="B222" s="9" t="s">
        <v>212</v>
      </c>
      <c r="C222" s="8" t="s">
        <v>16</v>
      </c>
      <c r="D222" s="14">
        <f>D147/D219*1000</f>
        <v>112609.29411764705</v>
      </c>
      <c r="E222" s="8"/>
      <c r="F222" s="8"/>
      <c r="G222" s="8"/>
      <c r="H222" s="14">
        <f>H147/H219*1000/6</f>
        <v>112609.29411764705</v>
      </c>
      <c r="I222" s="8"/>
      <c r="J222" s="14">
        <f>J147/J219*1000/6</f>
        <v>175966.9375</v>
      </c>
      <c r="K222" s="8"/>
      <c r="L222" s="16"/>
      <c r="M222" s="220"/>
      <c r="N222" s="221"/>
      <c r="O222" s="114"/>
      <c r="P222" s="114"/>
      <c r="Q222" s="114"/>
      <c r="T222" s="44">
        <f>E222+апр!I220</f>
        <v>0</v>
      </c>
      <c r="U222" s="30">
        <f>F222+апр!J220</f>
        <v>169314.03125</v>
      </c>
    </row>
    <row r="223" spans="1:22" ht="18.75">
      <c r="A223" s="29"/>
      <c r="B223" s="29"/>
      <c r="C223" s="29"/>
      <c r="D223" s="29"/>
      <c r="E223" s="29"/>
      <c r="F223" s="29"/>
      <c r="G223" s="29"/>
      <c r="H223" s="29">
        <f>H222*I219*12/1000</f>
        <v>0</v>
      </c>
      <c r="I223" s="29">
        <f>H220*I218*12/1000</f>
        <v>0</v>
      </c>
      <c r="J223" s="29"/>
      <c r="K223" s="29"/>
      <c r="L223" s="29"/>
      <c r="M223" s="29"/>
      <c r="N223" s="29">
        <f>H223+I223</f>
        <v>0</v>
      </c>
      <c r="O223" s="29"/>
      <c r="P223" s="29"/>
      <c r="Q223" s="29"/>
    </row>
    <row r="224" spans="1:22" ht="18.75">
      <c r="A224" s="29"/>
      <c r="B224" s="29"/>
      <c r="C224" s="29"/>
      <c r="D224" s="29"/>
      <c r="E224" s="29"/>
      <c r="F224" s="29"/>
      <c r="G224" s="29"/>
      <c r="H224" s="29">
        <v>607.40800000000002</v>
      </c>
      <c r="I224" s="29">
        <v>9999.5409999999993</v>
      </c>
      <c r="J224" s="29"/>
      <c r="K224" s="29"/>
      <c r="L224" s="29"/>
      <c r="M224" s="29"/>
      <c r="N224" s="29"/>
      <c r="O224" s="29"/>
      <c r="P224" s="29"/>
      <c r="Q224" s="29"/>
    </row>
    <row r="225" spans="1:17" ht="18.75">
      <c r="A225" s="29"/>
      <c r="B225" s="29"/>
      <c r="C225" s="29"/>
      <c r="D225" s="29"/>
      <c r="E225" s="29"/>
      <c r="F225" s="29"/>
      <c r="G225" s="29"/>
      <c r="H225" s="29">
        <v>953.40200000000004</v>
      </c>
      <c r="I225" s="29">
        <v>10043.467000000001</v>
      </c>
      <c r="J225" s="29"/>
      <c r="K225" s="29"/>
      <c r="L225" s="29"/>
      <c r="M225" s="29"/>
      <c r="N225" s="29"/>
      <c r="O225" s="29"/>
      <c r="P225" s="29"/>
      <c r="Q225" s="29"/>
    </row>
    <row r="226" spans="1:17" ht="18.75">
      <c r="A226" s="29"/>
      <c r="B226" s="29"/>
      <c r="C226" s="29"/>
      <c r="D226" s="29"/>
      <c r="E226" s="29"/>
      <c r="F226" s="29"/>
      <c r="G226" s="29"/>
      <c r="H226" s="29"/>
      <c r="I226" s="29">
        <f>888.772+371.175+148.47</f>
        <v>1408.4170000000001</v>
      </c>
      <c r="J226" s="29"/>
      <c r="K226" s="29"/>
      <c r="L226" s="29"/>
      <c r="M226" s="29"/>
      <c r="N226" s="29"/>
      <c r="O226" s="29"/>
      <c r="P226" s="29"/>
      <c r="Q226" s="29"/>
    </row>
    <row r="227" spans="1:17" ht="18.75">
      <c r="A227" s="29"/>
      <c r="B227" s="29"/>
      <c r="C227" s="29"/>
      <c r="D227" s="29"/>
      <c r="E227" s="29"/>
      <c r="F227" s="29"/>
      <c r="G227" s="29"/>
      <c r="H227" s="29">
        <f>SUM(H223:H225)</f>
        <v>1560.81</v>
      </c>
      <c r="I227" s="29">
        <f>SUM(I223:I226)</f>
        <v>21451.425000000003</v>
      </c>
      <c r="J227" s="29"/>
      <c r="K227" s="29"/>
      <c r="L227" s="29"/>
      <c r="M227" s="29"/>
      <c r="N227" s="29">
        <f>SUM(H227:M227)</f>
        <v>23012.235000000004</v>
      </c>
      <c r="O227" s="29"/>
      <c r="P227" s="29"/>
      <c r="Q227" s="29"/>
    </row>
    <row r="228" spans="1:17" ht="72.75" customHeight="1">
      <c r="A228" s="29"/>
      <c r="B228" s="29" t="s">
        <v>295</v>
      </c>
      <c r="C228" s="29"/>
      <c r="D228" s="29"/>
      <c r="E228" s="29"/>
      <c r="F228" s="29"/>
      <c r="G228" s="29"/>
      <c r="H228" s="29"/>
      <c r="I228" s="29" t="s">
        <v>296</v>
      </c>
      <c r="J228" s="29"/>
      <c r="K228" s="29"/>
      <c r="L228" s="29"/>
      <c r="M228" s="29"/>
      <c r="N228" s="29"/>
      <c r="O228" s="29"/>
      <c r="P228" s="29"/>
      <c r="Q228" s="29"/>
    </row>
    <row r="229" spans="1:17" ht="9" customHeight="1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</row>
    <row r="230" spans="1:17" ht="52.5" hidden="1" customHeight="1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</row>
    <row r="231" spans="1:17" ht="15.75" hidden="1" customHeight="1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</row>
    <row r="232" spans="1:17" ht="27" hidden="1" customHeight="1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</row>
    <row r="233" spans="1:17" ht="30" customHeight="1">
      <c r="A233" s="29"/>
      <c r="B233" s="29" t="s">
        <v>233</v>
      </c>
      <c r="C233" s="29"/>
      <c r="D233" s="29"/>
      <c r="E233" s="29"/>
      <c r="F233" s="29"/>
      <c r="G233" s="29"/>
      <c r="H233" s="29"/>
      <c r="I233" s="29" t="s">
        <v>234</v>
      </c>
      <c r="J233" s="29"/>
      <c r="K233" s="29"/>
      <c r="L233" s="29"/>
      <c r="M233" s="29"/>
      <c r="N233" s="29"/>
      <c r="O233" s="29"/>
      <c r="P233" s="29"/>
      <c r="Q233" s="29"/>
    </row>
    <row r="234" spans="1:17" ht="28.5" customHeight="1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</row>
    <row r="235" spans="1:17" ht="4.5" hidden="1" customHeight="1">
      <c r="B235" s="3" t="s">
        <v>233</v>
      </c>
      <c r="C235" s="3"/>
      <c r="D235" s="3"/>
      <c r="E235" s="3"/>
      <c r="F235" s="3"/>
      <c r="G235" s="3"/>
      <c r="H235" t="s">
        <v>234</v>
      </c>
    </row>
    <row r="236" spans="1:17" ht="16.5" customHeight="1">
      <c r="B236" s="4"/>
      <c r="C236" s="2"/>
      <c r="D236" s="2"/>
      <c r="E236" s="2"/>
      <c r="F236" s="2"/>
      <c r="G236" s="2"/>
    </row>
    <row r="237" spans="1:17" ht="15.75">
      <c r="A237" s="2"/>
      <c r="B237" s="2"/>
      <c r="C237" s="2"/>
      <c r="D237" s="2"/>
      <c r="E237" s="2"/>
      <c r="F237" s="2"/>
      <c r="G237" s="2"/>
    </row>
    <row r="238" spans="1:17" ht="15.75">
      <c r="A238" s="2"/>
      <c r="B238" s="2"/>
      <c r="C238" s="2"/>
      <c r="D238" s="2"/>
      <c r="E238" s="2"/>
      <c r="F238" s="2"/>
      <c r="G238" s="2"/>
    </row>
    <row r="239" spans="1:17" ht="15.75">
      <c r="A239" s="2"/>
      <c r="B239" s="2"/>
      <c r="C239" s="2"/>
      <c r="D239" s="2"/>
      <c r="E239" s="2"/>
      <c r="F239" s="2"/>
      <c r="G239" s="2"/>
    </row>
    <row r="240" spans="1:17" ht="15.75">
      <c r="A240" s="4" t="s">
        <v>235</v>
      </c>
      <c r="B240" s="2"/>
      <c r="C240" s="2"/>
      <c r="D240" s="2"/>
      <c r="E240" s="2"/>
      <c r="F240" s="2"/>
      <c r="G240" s="2"/>
    </row>
    <row r="241" spans="1:7" ht="15.75">
      <c r="A241" s="2"/>
      <c r="B241" s="2"/>
      <c r="C241" s="2"/>
      <c r="D241" s="2"/>
      <c r="E241" s="2"/>
      <c r="F241" s="2"/>
      <c r="G241" s="2"/>
    </row>
  </sheetData>
  <mergeCells count="224">
    <mergeCell ref="O5:O6"/>
    <mergeCell ref="P5:P6"/>
    <mergeCell ref="E5:E6"/>
    <mergeCell ref="F5:F6"/>
    <mergeCell ref="G5:G6"/>
    <mergeCell ref="H5:H6"/>
    <mergeCell ref="I5:I6"/>
    <mergeCell ref="J5:J6"/>
    <mergeCell ref="A1:N1"/>
    <mergeCell ref="A2:N2"/>
    <mergeCell ref="A3:C3"/>
    <mergeCell ref="A4:A6"/>
    <mergeCell ref="B4:B6"/>
    <mergeCell ref="C4:C6"/>
    <mergeCell ref="D4:G4"/>
    <mergeCell ref="H4:L4"/>
    <mergeCell ref="M4:N6"/>
    <mergeCell ref="D5:D6"/>
    <mergeCell ref="M11:N11"/>
    <mergeCell ref="M12:N12"/>
    <mergeCell ref="M13:N13"/>
    <mergeCell ref="M14:N14"/>
    <mergeCell ref="M15:N15"/>
    <mergeCell ref="M16:N16"/>
    <mergeCell ref="K5:K6"/>
    <mergeCell ref="L5:L6"/>
    <mergeCell ref="M7:N7"/>
    <mergeCell ref="M8:N8"/>
    <mergeCell ref="M9:N9"/>
    <mergeCell ref="M10:N10"/>
    <mergeCell ref="M23:N23"/>
    <mergeCell ref="M24:N24"/>
    <mergeCell ref="M25:N25"/>
    <mergeCell ref="M26:N26"/>
    <mergeCell ref="M27:N27"/>
    <mergeCell ref="M28:N28"/>
    <mergeCell ref="M17:N17"/>
    <mergeCell ref="M18:N18"/>
    <mergeCell ref="M19:N19"/>
    <mergeCell ref="M20:N20"/>
    <mergeCell ref="M21:N21"/>
    <mergeCell ref="M22:N22"/>
    <mergeCell ref="M35:N35"/>
    <mergeCell ref="M36:N36"/>
    <mergeCell ref="M37:N37"/>
    <mergeCell ref="M38:N38"/>
    <mergeCell ref="M39:N39"/>
    <mergeCell ref="M40:N40"/>
    <mergeCell ref="M29:N29"/>
    <mergeCell ref="M30:N30"/>
    <mergeCell ref="M31:N31"/>
    <mergeCell ref="M32:N32"/>
    <mergeCell ref="M33:N33"/>
    <mergeCell ref="M34:N34"/>
    <mergeCell ref="M48:N48"/>
    <mergeCell ref="M49:N49"/>
    <mergeCell ref="M50:N50"/>
    <mergeCell ref="M51:N51"/>
    <mergeCell ref="M52:N52"/>
    <mergeCell ref="M53:N53"/>
    <mergeCell ref="M41:N41"/>
    <mergeCell ref="M42:N43"/>
    <mergeCell ref="M44:N44"/>
    <mergeCell ref="M45:N45"/>
    <mergeCell ref="M46:N46"/>
    <mergeCell ref="M47:N47"/>
    <mergeCell ref="M62:N62"/>
    <mergeCell ref="M63:N63"/>
    <mergeCell ref="M64:N64"/>
    <mergeCell ref="M65:N65"/>
    <mergeCell ref="M66:N66"/>
    <mergeCell ref="M67:N67"/>
    <mergeCell ref="M54:N54"/>
    <mergeCell ref="M55:N55"/>
    <mergeCell ref="M56:N56"/>
    <mergeCell ref="M57:N58"/>
    <mergeCell ref="M59:N59"/>
    <mergeCell ref="M60:N61"/>
    <mergeCell ref="M75:N75"/>
    <mergeCell ref="M76:N76"/>
    <mergeCell ref="M77:N77"/>
    <mergeCell ref="M78:N78"/>
    <mergeCell ref="M79:N79"/>
    <mergeCell ref="M80:N80"/>
    <mergeCell ref="M68:N68"/>
    <mergeCell ref="M69:N70"/>
    <mergeCell ref="M71:N71"/>
    <mergeCell ref="M72:N72"/>
    <mergeCell ref="M73:N73"/>
    <mergeCell ref="M74:N74"/>
    <mergeCell ref="M88:N88"/>
    <mergeCell ref="M89:N89"/>
    <mergeCell ref="M93:N93"/>
    <mergeCell ref="M94:N94"/>
    <mergeCell ref="M95:N95"/>
    <mergeCell ref="M96:N96"/>
    <mergeCell ref="M81:N81"/>
    <mergeCell ref="M82:N82"/>
    <mergeCell ref="M83:N83"/>
    <mergeCell ref="M84:N85"/>
    <mergeCell ref="M86:N86"/>
    <mergeCell ref="M87:N87"/>
    <mergeCell ref="M103:N103"/>
    <mergeCell ref="M104:N104"/>
    <mergeCell ref="M105:N105"/>
    <mergeCell ref="M106:N106"/>
    <mergeCell ref="M107:N107"/>
    <mergeCell ref="M108:N108"/>
    <mergeCell ref="M97:N97"/>
    <mergeCell ref="M98:N98"/>
    <mergeCell ref="M99:N99"/>
    <mergeCell ref="M100:N100"/>
    <mergeCell ref="M101:N101"/>
    <mergeCell ref="M102:N102"/>
    <mergeCell ref="M115:N115"/>
    <mergeCell ref="M116:N116"/>
    <mergeCell ref="M117:N117"/>
    <mergeCell ref="M118:N118"/>
    <mergeCell ref="M119:N119"/>
    <mergeCell ref="M120:N120"/>
    <mergeCell ref="M109:N109"/>
    <mergeCell ref="M110:N110"/>
    <mergeCell ref="M111:N111"/>
    <mergeCell ref="M112:N112"/>
    <mergeCell ref="M113:N113"/>
    <mergeCell ref="M114:N114"/>
    <mergeCell ref="M127:N127"/>
    <mergeCell ref="M128:N128"/>
    <mergeCell ref="M129:N129"/>
    <mergeCell ref="M130:N130"/>
    <mergeCell ref="M131:N131"/>
    <mergeCell ref="M132:N132"/>
    <mergeCell ref="M121:N121"/>
    <mergeCell ref="M122:N122"/>
    <mergeCell ref="M123:N123"/>
    <mergeCell ref="M124:N124"/>
    <mergeCell ref="M125:N125"/>
    <mergeCell ref="M126:N126"/>
    <mergeCell ref="M143:N143"/>
    <mergeCell ref="M144:N144"/>
    <mergeCell ref="M145:N145"/>
    <mergeCell ref="M146:N146"/>
    <mergeCell ref="M147:N147"/>
    <mergeCell ref="M148:N148"/>
    <mergeCell ref="M133:N133"/>
    <mergeCell ref="M134:N134"/>
    <mergeCell ref="M135:N135"/>
    <mergeCell ref="M140:N140"/>
    <mergeCell ref="M141:N141"/>
    <mergeCell ref="M142:N142"/>
    <mergeCell ref="M158:N158"/>
    <mergeCell ref="M159:N159"/>
    <mergeCell ref="M160:N160"/>
    <mergeCell ref="M161:N161"/>
    <mergeCell ref="M162:N162"/>
    <mergeCell ref="M163:N163"/>
    <mergeCell ref="M152:N152"/>
    <mergeCell ref="M153:N153"/>
    <mergeCell ref="M154:N154"/>
    <mergeCell ref="M155:N155"/>
    <mergeCell ref="M156:N156"/>
    <mergeCell ref="M157:N157"/>
    <mergeCell ref="M170:N170"/>
    <mergeCell ref="M171:N171"/>
    <mergeCell ref="M172:N172"/>
    <mergeCell ref="M173:N173"/>
    <mergeCell ref="M174:N174"/>
    <mergeCell ref="M175:N175"/>
    <mergeCell ref="M164:N164"/>
    <mergeCell ref="M165:N165"/>
    <mergeCell ref="M166:N166"/>
    <mergeCell ref="M167:N167"/>
    <mergeCell ref="M168:N168"/>
    <mergeCell ref="M169:N169"/>
    <mergeCell ref="M183:N183"/>
    <mergeCell ref="M184:N184"/>
    <mergeCell ref="M185:N185"/>
    <mergeCell ref="M186:N186"/>
    <mergeCell ref="M187:N187"/>
    <mergeCell ref="M188:N188"/>
    <mergeCell ref="M176:N176"/>
    <mergeCell ref="M177:N177"/>
    <mergeCell ref="M178:N178"/>
    <mergeCell ref="M179:N179"/>
    <mergeCell ref="M181:N181"/>
    <mergeCell ref="M182:N182"/>
    <mergeCell ref="M195:N195"/>
    <mergeCell ref="M196:N196"/>
    <mergeCell ref="M197:N197"/>
    <mergeCell ref="M198:N198"/>
    <mergeCell ref="M199:N199"/>
    <mergeCell ref="M200:N200"/>
    <mergeCell ref="M189:N189"/>
    <mergeCell ref="M190:N190"/>
    <mergeCell ref="M191:N191"/>
    <mergeCell ref="M192:N192"/>
    <mergeCell ref="M193:N193"/>
    <mergeCell ref="M194:N194"/>
    <mergeCell ref="M207:N207"/>
    <mergeCell ref="M208:N208"/>
    <mergeCell ref="M209:N209"/>
    <mergeCell ref="A210:A211"/>
    <mergeCell ref="B210:B211"/>
    <mergeCell ref="M210:N210"/>
    <mergeCell ref="M211:N211"/>
    <mergeCell ref="M201:N201"/>
    <mergeCell ref="M202:N202"/>
    <mergeCell ref="M203:N203"/>
    <mergeCell ref="M204:N204"/>
    <mergeCell ref="M205:N205"/>
    <mergeCell ref="M206:N206"/>
    <mergeCell ref="M222:N222"/>
    <mergeCell ref="M216:N216"/>
    <mergeCell ref="M217:N217"/>
    <mergeCell ref="M218:N218"/>
    <mergeCell ref="M219:N219"/>
    <mergeCell ref="M220:N220"/>
    <mergeCell ref="M221:N221"/>
    <mergeCell ref="M212:N212"/>
    <mergeCell ref="A213:A214"/>
    <mergeCell ref="B213:B214"/>
    <mergeCell ref="M213:N213"/>
    <mergeCell ref="M214:N214"/>
    <mergeCell ref="M215:N215"/>
  </mergeCells>
  <pageMargins left="0" right="0" top="0.94488188976377963" bottom="0.39370078740157483" header="0.31496062992125984" footer="0.31496062992125984"/>
  <pageSetup paperSize="9" scale="78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V243"/>
  <sheetViews>
    <sheetView workbookViewId="0">
      <pane xSplit="10" ySplit="15" topLeftCell="K199" activePane="bottomRight" state="frozen"/>
      <selection pane="topRight" activeCell="J1" sqref="J1"/>
      <selection pane="bottomLeft" activeCell="A16" sqref="A16"/>
      <selection pane="bottomRight" activeCell="H201" sqref="H201"/>
    </sheetView>
  </sheetViews>
  <sheetFormatPr defaultRowHeight="15"/>
  <cols>
    <col min="1" max="1" width="8.85546875" customWidth="1"/>
    <col min="2" max="2" width="38.42578125" customWidth="1"/>
    <col min="3" max="3" width="13.140625" customWidth="1"/>
    <col min="4" max="4" width="14.5703125" customWidth="1"/>
    <col min="5" max="5" width="13" customWidth="1"/>
    <col min="6" max="6" width="14.5703125" style="60" customWidth="1"/>
    <col min="7" max="8" width="15" customWidth="1"/>
    <col min="9" max="9" width="14.7109375" style="60" customWidth="1"/>
    <col min="10" max="10" width="18.140625" customWidth="1"/>
    <col min="11" max="11" width="16.140625" customWidth="1"/>
    <col min="12" max="12" width="13.85546875" customWidth="1"/>
    <col min="13" max="13" width="14.85546875" hidden="1" customWidth="1"/>
    <col min="14" max="14" width="2" hidden="1" customWidth="1"/>
    <col min="15" max="15" width="15" customWidth="1"/>
    <col min="16" max="17" width="11.140625" customWidth="1"/>
    <col min="18" max="18" width="13.42578125" customWidth="1"/>
    <col min="19" max="19" width="12.85546875" customWidth="1"/>
    <col min="20" max="20" width="13.28515625" customWidth="1"/>
    <col min="21" max="21" width="13.7109375" customWidth="1"/>
    <col min="22" max="22" width="11.85546875" customWidth="1"/>
  </cols>
  <sheetData>
    <row r="1" spans="1:22" ht="54" customHeight="1">
      <c r="A1" s="241" t="s">
        <v>226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126"/>
      <c r="P1" s="126"/>
      <c r="Q1" s="126"/>
    </row>
    <row r="2" spans="1:22" ht="42.75" customHeight="1">
      <c r="A2" s="242" t="s">
        <v>331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127"/>
      <c r="P2" s="127"/>
      <c r="Q2" s="127"/>
      <c r="T2" s="30"/>
    </row>
    <row r="3" spans="1:22" ht="1.5" customHeight="1">
      <c r="A3" s="243"/>
      <c r="B3" s="243"/>
      <c r="C3" s="243"/>
      <c r="D3" s="128"/>
      <c r="E3" s="128"/>
      <c r="F3" s="128"/>
      <c r="G3" s="128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22" ht="18.75">
      <c r="A4" s="244" t="s">
        <v>0</v>
      </c>
      <c r="B4" s="247" t="s">
        <v>1</v>
      </c>
      <c r="C4" s="244" t="s">
        <v>217</v>
      </c>
      <c r="D4" s="250" t="s">
        <v>304</v>
      </c>
      <c r="E4" s="251"/>
      <c r="F4" s="251"/>
      <c r="G4" s="252"/>
      <c r="H4" s="250" t="s">
        <v>227</v>
      </c>
      <c r="I4" s="251"/>
      <c r="J4" s="251"/>
      <c r="K4" s="251"/>
      <c r="L4" s="252"/>
      <c r="M4" s="253" t="s">
        <v>239</v>
      </c>
      <c r="N4" s="254"/>
      <c r="O4" s="121"/>
      <c r="P4" s="121"/>
      <c r="Q4" s="112"/>
    </row>
    <row r="5" spans="1:22" ht="15" customHeight="1">
      <c r="A5" s="245"/>
      <c r="B5" s="248"/>
      <c r="C5" s="245"/>
      <c r="D5" s="237" t="s">
        <v>305</v>
      </c>
      <c r="E5" s="237" t="s">
        <v>306</v>
      </c>
      <c r="F5" s="237" t="s">
        <v>229</v>
      </c>
      <c r="G5" s="237" t="s">
        <v>219</v>
      </c>
      <c r="H5" s="237" t="s">
        <v>305</v>
      </c>
      <c r="I5" s="237" t="s">
        <v>306</v>
      </c>
      <c r="J5" s="237" t="s">
        <v>229</v>
      </c>
      <c r="K5" s="237" t="s">
        <v>219</v>
      </c>
      <c r="L5" s="237" t="s">
        <v>236</v>
      </c>
      <c r="M5" s="255"/>
      <c r="N5" s="256"/>
      <c r="O5" s="237" t="s">
        <v>329</v>
      </c>
      <c r="P5" s="237" t="s">
        <v>330</v>
      </c>
      <c r="Q5" s="112"/>
      <c r="T5" s="30">
        <f>F78+F81+F84</f>
        <v>27615.511999999999</v>
      </c>
    </row>
    <row r="6" spans="1:22" ht="41.25" customHeight="1">
      <c r="A6" s="246"/>
      <c r="B6" s="249"/>
      <c r="C6" s="246"/>
      <c r="D6" s="238"/>
      <c r="E6" s="238"/>
      <c r="F6" s="238"/>
      <c r="G6" s="238"/>
      <c r="H6" s="238"/>
      <c r="I6" s="238"/>
      <c r="J6" s="238"/>
      <c r="K6" s="238"/>
      <c r="L6" s="238"/>
      <c r="M6" s="257"/>
      <c r="N6" s="258"/>
      <c r="O6" s="238"/>
      <c r="P6" s="238"/>
      <c r="Q6" s="112"/>
    </row>
    <row r="7" spans="1:22" ht="15.75" customHeight="1">
      <c r="A7" s="35">
        <v>1</v>
      </c>
      <c r="B7" s="35">
        <v>2</v>
      </c>
      <c r="C7" s="35">
        <v>3</v>
      </c>
      <c r="D7" s="35"/>
      <c r="E7" s="35"/>
      <c r="F7" s="35"/>
      <c r="G7" s="35"/>
      <c r="H7" s="35">
        <v>4</v>
      </c>
      <c r="I7" s="35">
        <v>5</v>
      </c>
      <c r="J7" s="35">
        <v>6</v>
      </c>
      <c r="K7" s="35"/>
      <c r="L7" s="35">
        <v>7</v>
      </c>
      <c r="M7" s="239">
        <v>8</v>
      </c>
      <c r="N7" s="240"/>
      <c r="O7" s="119"/>
      <c r="P7" s="120"/>
      <c r="Q7" s="113"/>
      <c r="R7" s="30">
        <f>J8-R8</f>
        <v>235017.40049999993</v>
      </c>
      <c r="S7">
        <v>272681.63099999999</v>
      </c>
      <c r="T7" s="30">
        <f>J8-S7</f>
        <v>235657.85549999995</v>
      </c>
    </row>
    <row r="8" spans="1:22" ht="39" customHeight="1">
      <c r="A8" s="132" t="s">
        <v>2</v>
      </c>
      <c r="B8" s="6" t="s">
        <v>3</v>
      </c>
      <c r="C8" s="132" t="s">
        <v>4</v>
      </c>
      <c r="D8" s="7">
        <f>D9+D87+D93+D95+D97</f>
        <v>73170.115000000005</v>
      </c>
      <c r="E8" s="21">
        <f>E9+E87+E93+E95+E97</f>
        <v>68097.582999999999</v>
      </c>
      <c r="F8" s="7">
        <f>F9+F87+F93+F95+F97</f>
        <v>74132.987999999998</v>
      </c>
      <c r="G8" s="7">
        <f>F8-E8</f>
        <v>6035.4049999999988</v>
      </c>
      <c r="H8" s="7">
        <f>H9+H87+H93+H95+H97</f>
        <v>512190.80500000005</v>
      </c>
      <c r="I8" s="21">
        <f>I9+I87+I93+I95+I97</f>
        <v>476681.74800000002</v>
      </c>
      <c r="J8" s="7">
        <f>J9+J87+J93+J95+J97</f>
        <v>508339.48649999994</v>
      </c>
      <c r="K8" s="71">
        <f>J8-I8</f>
        <v>31657.738499999919</v>
      </c>
      <c r="L8" s="21">
        <f>K8/I8*100</f>
        <v>6.6412734770788653</v>
      </c>
      <c r="M8" s="220"/>
      <c r="N8" s="221"/>
      <c r="O8" s="122">
        <f>J8-H8</f>
        <v>-3851.3185000001104</v>
      </c>
      <c r="P8" s="123">
        <f>O8/H8*100</f>
        <v>-0.75193042561553014</v>
      </c>
      <c r="Q8" s="118"/>
      <c r="R8">
        <f>640.455+272681.631</f>
        <v>273322.08600000001</v>
      </c>
      <c r="S8">
        <f>D8*5</f>
        <v>365850.57500000001</v>
      </c>
      <c r="T8" s="44">
        <f>E8+апр!I8</f>
        <v>340487.91499999998</v>
      </c>
      <c r="U8" s="30">
        <f>F8+апр!J8</f>
        <v>347944.44049999991</v>
      </c>
      <c r="V8" s="30">
        <f>J8-U8</f>
        <v>160395.04600000003</v>
      </c>
    </row>
    <row r="9" spans="1:22" ht="17.25" customHeight="1">
      <c r="A9" s="132" t="s">
        <v>5</v>
      </c>
      <c r="B9" s="6" t="s">
        <v>6</v>
      </c>
      <c r="C9" s="132" t="s">
        <v>4</v>
      </c>
      <c r="D9" s="7">
        <f>D10+D37+D72</f>
        <v>35732.106</v>
      </c>
      <c r="E9" s="21">
        <f>E10+E37+E72</f>
        <v>32135.084000000003</v>
      </c>
      <c r="F9" s="7">
        <f>F10+F37+F72</f>
        <v>38081.466999999997</v>
      </c>
      <c r="G9" s="7">
        <f>F9-E9</f>
        <v>5946.3829999999944</v>
      </c>
      <c r="H9" s="7">
        <f>H10+H37+H72</f>
        <v>250124.74200000003</v>
      </c>
      <c r="I9" s="21">
        <f>I10+I37+I72</f>
        <v>224945.58799999999</v>
      </c>
      <c r="J9" s="7">
        <f>J10+J37+J72</f>
        <v>259726.867</v>
      </c>
      <c r="K9" s="21">
        <f>J9-I9</f>
        <v>34781.27900000001</v>
      </c>
      <c r="L9" s="21">
        <f>K9/I9*100</f>
        <v>15.462085435523196</v>
      </c>
      <c r="M9" s="220"/>
      <c r="N9" s="221"/>
      <c r="O9" s="122">
        <f t="shared" ref="O9:O72" si="0">J9-H9</f>
        <v>9602.1249999999709</v>
      </c>
      <c r="P9" s="123">
        <f t="shared" ref="P9:P72" si="1">O9/H9*100</f>
        <v>3.8389344945331194</v>
      </c>
      <c r="Q9" s="114"/>
      <c r="S9">
        <f t="shared" ref="S9:S72" si="2">D9*5</f>
        <v>178660.53</v>
      </c>
      <c r="T9" s="44">
        <f>E9+апр!I9</f>
        <v>160675.42000000001</v>
      </c>
      <c r="U9" s="30">
        <f>F9+апр!J9</f>
        <v>177048.489</v>
      </c>
    </row>
    <row r="10" spans="1:22" ht="17.25" customHeight="1">
      <c r="A10" s="8" t="s">
        <v>7</v>
      </c>
      <c r="B10" s="9" t="s">
        <v>8</v>
      </c>
      <c r="C10" s="8" t="s">
        <v>4</v>
      </c>
      <c r="D10" s="10">
        <f>D11+D30+D35</f>
        <v>7601.0440000000008</v>
      </c>
      <c r="E10" s="10">
        <f>E11+E30+E35</f>
        <v>5895.3339999999998</v>
      </c>
      <c r="F10" s="10">
        <f>F11+F30+F35</f>
        <v>7187.8340000000007</v>
      </c>
      <c r="G10" s="10">
        <f>F10-E10</f>
        <v>1292.5000000000009</v>
      </c>
      <c r="H10" s="10">
        <f>H11+H30+H35</f>
        <v>53207.308000000005</v>
      </c>
      <c r="I10" s="10">
        <f>I11+I30+I35</f>
        <v>41267.337999999996</v>
      </c>
      <c r="J10" s="10">
        <f>J11+J30+J35</f>
        <v>49982.985000000001</v>
      </c>
      <c r="K10" s="10">
        <f>J10-I10</f>
        <v>8715.6470000000045</v>
      </c>
      <c r="L10" s="16">
        <f>K10/I10*100</f>
        <v>21.119964171180623</v>
      </c>
      <c r="M10" s="220"/>
      <c r="N10" s="221"/>
      <c r="O10" s="122">
        <f t="shared" si="0"/>
        <v>-3224.323000000004</v>
      </c>
      <c r="P10" s="123">
        <f t="shared" si="1"/>
        <v>-6.0599250764575494</v>
      </c>
      <c r="Q10" s="114"/>
      <c r="S10">
        <f t="shared" si="2"/>
        <v>38005.22</v>
      </c>
      <c r="T10" s="44">
        <f>E10+апр!I10</f>
        <v>29476.67</v>
      </c>
      <c r="U10" s="30">
        <f>F10+апр!J10</f>
        <v>29890.546000000002</v>
      </c>
    </row>
    <row r="11" spans="1:22" ht="17.25" customHeight="1">
      <c r="A11" s="8" t="s">
        <v>9</v>
      </c>
      <c r="B11" s="9" t="s">
        <v>10</v>
      </c>
      <c r="C11" s="8" t="s">
        <v>4</v>
      </c>
      <c r="D11" s="10">
        <f>D12+D15+D18+D21+D24+D27</f>
        <v>5032.2450000000008</v>
      </c>
      <c r="E11" s="8">
        <v>4970.0829999999996</v>
      </c>
      <c r="F11" s="10">
        <f>F12+F15+F18+F21+F24+F27</f>
        <v>6337.7250000000004</v>
      </c>
      <c r="G11" s="10">
        <f t="shared" ref="G11:G74" si="3">F11-E11</f>
        <v>1367.6420000000007</v>
      </c>
      <c r="H11" s="10">
        <f>H12+H15+H18+H21+H24+H27</f>
        <v>35225.715000000004</v>
      </c>
      <c r="I11" s="8">
        <f>E11+июнь!I11</f>
        <v>34790.580999999998</v>
      </c>
      <c r="J11" s="10">
        <f>J12+J15+J18+J21+J24+J27</f>
        <v>30090.447</v>
      </c>
      <c r="K11" s="10">
        <f t="shared" ref="K11:K74" si="4">J11-I11</f>
        <v>-4700.1339999999982</v>
      </c>
      <c r="L11" s="16">
        <f t="shared" ref="L11:L72" si="5">K11/I11*100</f>
        <v>-13.509788755755469</v>
      </c>
      <c r="M11" s="220"/>
      <c r="N11" s="221"/>
      <c r="O11" s="122">
        <f t="shared" si="0"/>
        <v>-5135.2680000000037</v>
      </c>
      <c r="P11" s="123">
        <f t="shared" si="1"/>
        <v>-14.578179605438821</v>
      </c>
      <c r="Q11" s="114"/>
      <c r="S11">
        <f t="shared" si="2"/>
        <v>25161.225000000006</v>
      </c>
      <c r="T11" s="44">
        <f>E11+апр!I11</f>
        <v>24850.414999999997</v>
      </c>
      <c r="U11" s="30">
        <f>F11+апр!J11</f>
        <v>18084.14</v>
      </c>
    </row>
    <row r="12" spans="1:22" ht="18.75" customHeight="1">
      <c r="A12" s="8" t="s">
        <v>11</v>
      </c>
      <c r="B12" s="9" t="s">
        <v>12</v>
      </c>
      <c r="C12" s="8" t="s">
        <v>4</v>
      </c>
      <c r="D12" s="10">
        <v>852.13199999999995</v>
      </c>
      <c r="E12" s="8"/>
      <c r="F12" s="54">
        <v>1894.7940000000001</v>
      </c>
      <c r="G12" s="10">
        <f t="shared" si="3"/>
        <v>1894.7940000000001</v>
      </c>
      <c r="H12" s="10">
        <f>D12+июнь!H12</f>
        <v>5964.9239999999991</v>
      </c>
      <c r="I12" s="8"/>
      <c r="J12" s="54">
        <f>F12+июнь!J12</f>
        <v>6794.6810000000005</v>
      </c>
      <c r="K12" s="10">
        <f t="shared" si="4"/>
        <v>6794.6810000000005</v>
      </c>
      <c r="L12" s="16"/>
      <c r="M12" s="222" t="s">
        <v>297</v>
      </c>
      <c r="N12" s="223"/>
      <c r="O12" s="122">
        <f t="shared" si="0"/>
        <v>829.75700000000143</v>
      </c>
      <c r="P12" s="123">
        <f t="shared" si="1"/>
        <v>13.910604728576617</v>
      </c>
      <c r="Q12" s="115"/>
      <c r="S12">
        <f t="shared" si="2"/>
        <v>4260.66</v>
      </c>
      <c r="T12" s="44">
        <f>E12+апр!I12</f>
        <v>0</v>
      </c>
      <c r="U12" s="30">
        <f>F12+апр!J12</f>
        <v>4214.384</v>
      </c>
    </row>
    <row r="13" spans="1:22" ht="17.25" customHeight="1">
      <c r="A13" s="8"/>
      <c r="B13" s="12" t="s">
        <v>13</v>
      </c>
      <c r="C13" s="13" t="s">
        <v>14</v>
      </c>
      <c r="D13" s="14">
        <v>3667</v>
      </c>
      <c r="E13" s="13"/>
      <c r="F13" s="8">
        <v>6044</v>
      </c>
      <c r="G13" s="10">
        <f t="shared" si="3"/>
        <v>6044</v>
      </c>
      <c r="H13" s="10">
        <f>D13+июнь!H13</f>
        <v>25669</v>
      </c>
      <c r="I13" s="8"/>
      <c r="J13" s="54">
        <f>F13+июнь!J13</f>
        <v>21952</v>
      </c>
      <c r="K13" s="10">
        <f t="shared" si="4"/>
        <v>21952</v>
      </c>
      <c r="L13" s="16"/>
      <c r="M13" s="220"/>
      <c r="N13" s="221"/>
      <c r="O13" s="122">
        <f t="shared" si="0"/>
        <v>-3717</v>
      </c>
      <c r="P13" s="123">
        <f t="shared" si="1"/>
        <v>-14.480501772566132</v>
      </c>
      <c r="Q13" s="114"/>
      <c r="S13">
        <f t="shared" si="2"/>
        <v>18335</v>
      </c>
      <c r="T13" s="44">
        <f>E13+апр!I13</f>
        <v>0</v>
      </c>
      <c r="U13" s="30">
        <f>F13+апр!J13</f>
        <v>13685</v>
      </c>
    </row>
    <row r="14" spans="1:22" ht="17.25" customHeight="1">
      <c r="A14" s="15"/>
      <c r="B14" s="12" t="s">
        <v>15</v>
      </c>
      <c r="C14" s="13" t="s">
        <v>16</v>
      </c>
      <c r="D14" s="16">
        <f>D12/D13*1000</f>
        <v>232.37851104445048</v>
      </c>
      <c r="E14" s="16"/>
      <c r="F14" s="16">
        <f t="shared" ref="F14" si="6">F12/F13*1000</f>
        <v>313.5</v>
      </c>
      <c r="G14" s="10">
        <f t="shared" si="3"/>
        <v>313.5</v>
      </c>
      <c r="H14" s="16">
        <f>H12/H13*1000</f>
        <v>232.37851104445048</v>
      </c>
      <c r="I14" s="16"/>
      <c r="J14" s="16">
        <f t="shared" ref="J14" si="7">J12/J13*1000</f>
        <v>309.52446246355686</v>
      </c>
      <c r="K14" s="10">
        <f t="shared" si="4"/>
        <v>309.52446246355686</v>
      </c>
      <c r="L14" s="16"/>
      <c r="M14" s="220"/>
      <c r="N14" s="221"/>
      <c r="O14" s="122">
        <f t="shared" si="0"/>
        <v>77.145951419106382</v>
      </c>
      <c r="P14" s="123">
        <f t="shared" si="1"/>
        <v>33.198401638931898</v>
      </c>
      <c r="Q14" s="114"/>
      <c r="S14">
        <f t="shared" si="2"/>
        <v>1161.8925552222524</v>
      </c>
      <c r="T14" s="44">
        <f>E14+апр!I14</f>
        <v>0</v>
      </c>
      <c r="U14" s="30">
        <f>F14+апр!J14</f>
        <v>617.0715220520874</v>
      </c>
    </row>
    <row r="15" spans="1:22" ht="17.25" customHeight="1">
      <c r="A15" s="8" t="s">
        <v>17</v>
      </c>
      <c r="B15" s="9" t="s">
        <v>18</v>
      </c>
      <c r="C15" s="8" t="s">
        <v>4</v>
      </c>
      <c r="D15" s="10">
        <v>2808.576</v>
      </c>
      <c r="E15" s="8"/>
      <c r="F15" s="54">
        <v>2987.0309999999999</v>
      </c>
      <c r="G15" s="10">
        <f t="shared" si="3"/>
        <v>2987.0309999999999</v>
      </c>
      <c r="H15" s="10">
        <f>D15+июнь!H15</f>
        <v>19660.032000000003</v>
      </c>
      <c r="I15" s="8"/>
      <c r="J15" s="54">
        <f>F15+июнь!J15</f>
        <v>14165.972000000002</v>
      </c>
      <c r="K15" s="10">
        <f t="shared" si="4"/>
        <v>14165.972000000002</v>
      </c>
      <c r="L15" s="16"/>
      <c r="M15" s="220"/>
      <c r="N15" s="221"/>
      <c r="O15" s="122">
        <f t="shared" si="0"/>
        <v>-5494.0600000000013</v>
      </c>
      <c r="P15" s="123">
        <f t="shared" si="1"/>
        <v>-27.945325826529682</v>
      </c>
      <c r="Q15" s="114"/>
      <c r="S15">
        <f t="shared" si="2"/>
        <v>14042.880000000001</v>
      </c>
      <c r="T15" s="44">
        <f>E15+апр!I15</f>
        <v>0</v>
      </c>
      <c r="U15" s="30">
        <f>F15+апр!J15</f>
        <v>7957.8360000000002</v>
      </c>
    </row>
    <row r="16" spans="1:22" ht="17.25" customHeight="1">
      <c r="A16" s="8"/>
      <c r="B16" s="12" t="s">
        <v>13</v>
      </c>
      <c r="C16" s="13" t="s">
        <v>14</v>
      </c>
      <c r="D16" s="14">
        <v>15000</v>
      </c>
      <c r="E16" s="13"/>
      <c r="F16" s="8">
        <v>22192</v>
      </c>
      <c r="G16" s="10">
        <f t="shared" si="3"/>
        <v>22192</v>
      </c>
      <c r="H16" s="10">
        <f>D16+июнь!H16</f>
        <v>105000</v>
      </c>
      <c r="I16" s="8"/>
      <c r="J16" s="54">
        <f>F16+июнь!J16</f>
        <v>110633</v>
      </c>
      <c r="K16" s="10">
        <f t="shared" si="4"/>
        <v>110633</v>
      </c>
      <c r="L16" s="16"/>
      <c r="M16" s="220"/>
      <c r="N16" s="221"/>
      <c r="O16" s="122">
        <f t="shared" si="0"/>
        <v>5633</v>
      </c>
      <c r="P16" s="123">
        <f t="shared" si="1"/>
        <v>5.3647619047619051</v>
      </c>
      <c r="Q16" s="114"/>
      <c r="S16">
        <f t="shared" si="2"/>
        <v>75000</v>
      </c>
      <c r="T16" s="44">
        <f>E16+апр!I16</f>
        <v>0</v>
      </c>
      <c r="U16" s="30">
        <f>F16+апр!J16</f>
        <v>61518</v>
      </c>
    </row>
    <row r="17" spans="1:21" ht="17.25" customHeight="1">
      <c r="A17" s="8"/>
      <c r="B17" s="12" t="s">
        <v>15</v>
      </c>
      <c r="C17" s="13" t="s">
        <v>16</v>
      </c>
      <c r="D17" s="16">
        <f>D15/D16*1000</f>
        <v>187.23840000000001</v>
      </c>
      <c r="E17" s="16"/>
      <c r="F17" s="16">
        <f t="shared" ref="F17" si="8">F15/F16*1000</f>
        <v>134.59945025234319</v>
      </c>
      <c r="G17" s="10">
        <f t="shared" si="3"/>
        <v>134.59945025234319</v>
      </c>
      <c r="H17" s="16">
        <f>H15/H16*1000</f>
        <v>187.23840000000001</v>
      </c>
      <c r="I17" s="8"/>
      <c r="J17" s="13"/>
      <c r="K17" s="10">
        <f t="shared" si="4"/>
        <v>0</v>
      </c>
      <c r="L17" s="16"/>
      <c r="M17" s="220"/>
      <c r="N17" s="221"/>
      <c r="O17" s="122">
        <f t="shared" si="0"/>
        <v>-187.23840000000001</v>
      </c>
      <c r="P17" s="123">
        <f t="shared" si="1"/>
        <v>-100</v>
      </c>
      <c r="Q17" s="114"/>
      <c r="S17">
        <f t="shared" si="2"/>
        <v>936.19200000000001</v>
      </c>
      <c r="T17" s="44">
        <f>E17+апр!I17</f>
        <v>0</v>
      </c>
      <c r="U17" s="30">
        <f>F17+апр!J17</f>
        <v>134.59945025234319</v>
      </c>
    </row>
    <row r="18" spans="1:21" ht="17.25" customHeight="1">
      <c r="A18" s="8" t="s">
        <v>19</v>
      </c>
      <c r="B18" s="9" t="s">
        <v>20</v>
      </c>
      <c r="C18" s="8" t="s">
        <v>4</v>
      </c>
      <c r="D18" s="10">
        <v>241.64599999999999</v>
      </c>
      <c r="E18" s="8"/>
      <c r="F18" s="54">
        <v>311.5</v>
      </c>
      <c r="G18" s="10">
        <f t="shared" si="3"/>
        <v>311.5</v>
      </c>
      <c r="H18" s="10">
        <f>D18+июнь!H18</f>
        <v>1691.5219999999999</v>
      </c>
      <c r="I18" s="8"/>
      <c r="J18" s="54">
        <f>F18+июнь!J18</f>
        <v>509.96000000000004</v>
      </c>
      <c r="K18" s="10">
        <f t="shared" si="4"/>
        <v>509.96000000000004</v>
      </c>
      <c r="L18" s="16"/>
      <c r="M18" s="220"/>
      <c r="N18" s="221"/>
      <c r="O18" s="122">
        <f t="shared" si="0"/>
        <v>-1181.5619999999999</v>
      </c>
      <c r="P18" s="123">
        <f t="shared" si="1"/>
        <v>-69.852003107260799</v>
      </c>
      <c r="Q18" s="114"/>
      <c r="S18">
        <f t="shared" si="2"/>
        <v>1208.23</v>
      </c>
      <c r="T18" s="44">
        <f>E18+апр!I18</f>
        <v>0</v>
      </c>
      <c r="U18" s="30">
        <f>F18+апр!J18</f>
        <v>457.46000000000004</v>
      </c>
    </row>
    <row r="19" spans="1:21" ht="17.25" customHeight="1">
      <c r="A19" s="8"/>
      <c r="B19" s="12" t="s">
        <v>13</v>
      </c>
      <c r="C19" s="13" t="s">
        <v>14</v>
      </c>
      <c r="D19" s="14">
        <v>1025</v>
      </c>
      <c r="E19" s="13"/>
      <c r="F19" s="8">
        <v>890</v>
      </c>
      <c r="G19" s="10">
        <f t="shared" si="3"/>
        <v>890</v>
      </c>
      <c r="H19" s="10">
        <f>D19+июнь!H19</f>
        <v>7175</v>
      </c>
      <c r="I19" s="8"/>
      <c r="J19" s="54">
        <f>F19+июнь!J19</f>
        <v>1330</v>
      </c>
      <c r="K19" s="10">
        <f t="shared" si="4"/>
        <v>1330</v>
      </c>
      <c r="L19" s="16"/>
      <c r="M19" s="220"/>
      <c r="N19" s="221"/>
      <c r="O19" s="122">
        <f t="shared" si="0"/>
        <v>-5845</v>
      </c>
      <c r="P19" s="123">
        <f t="shared" si="1"/>
        <v>-81.463414634146332</v>
      </c>
      <c r="Q19" s="114"/>
      <c r="S19">
        <f t="shared" si="2"/>
        <v>5125</v>
      </c>
      <c r="T19" s="44">
        <f>E19+апр!I19</f>
        <v>0</v>
      </c>
      <c r="U19" s="30">
        <f>F19+апр!J19</f>
        <v>1180</v>
      </c>
    </row>
    <row r="20" spans="1:21" ht="17.25" customHeight="1">
      <c r="A20" s="8"/>
      <c r="B20" s="12" t="s">
        <v>15</v>
      </c>
      <c r="C20" s="13" t="s">
        <v>16</v>
      </c>
      <c r="D20" s="16">
        <f>D18/D19*1000</f>
        <v>235.75219512195119</v>
      </c>
      <c r="E20" s="16"/>
      <c r="F20" s="16">
        <f>F18/F19*1000</f>
        <v>350</v>
      </c>
      <c r="G20" s="10">
        <f t="shared" si="3"/>
        <v>350</v>
      </c>
      <c r="H20" s="16">
        <f>H18/H19*1000</f>
        <v>235.75219512195119</v>
      </c>
      <c r="I20" s="8"/>
      <c r="J20" s="58"/>
      <c r="K20" s="10">
        <f t="shared" si="4"/>
        <v>0</v>
      </c>
      <c r="L20" s="16"/>
      <c r="M20" s="220"/>
      <c r="N20" s="221"/>
      <c r="O20" s="122">
        <f t="shared" si="0"/>
        <v>-235.75219512195119</v>
      </c>
      <c r="P20" s="123">
        <f t="shared" si="1"/>
        <v>-100</v>
      </c>
      <c r="Q20" s="114"/>
      <c r="S20">
        <f t="shared" si="2"/>
        <v>1178.7609756097559</v>
      </c>
      <c r="T20" s="44">
        <f>E20+апр!I20</f>
        <v>0</v>
      </c>
      <c r="U20" s="30">
        <f>F20+апр!J20</f>
        <v>350</v>
      </c>
    </row>
    <row r="21" spans="1:21" ht="17.25" customHeight="1">
      <c r="A21" s="8" t="s">
        <v>21</v>
      </c>
      <c r="B21" s="9" t="s">
        <v>22</v>
      </c>
      <c r="C21" s="8" t="s">
        <v>4</v>
      </c>
      <c r="D21" s="10">
        <v>750.73</v>
      </c>
      <c r="E21" s="8"/>
      <c r="F21" s="54">
        <v>894.8</v>
      </c>
      <c r="G21" s="10">
        <f t="shared" si="3"/>
        <v>894.8</v>
      </c>
      <c r="H21" s="10">
        <f>D21+июнь!H21</f>
        <v>5255.1100000000006</v>
      </c>
      <c r="I21" s="8"/>
      <c r="J21" s="54">
        <f>F21+июнь!J21</f>
        <v>6768.4199999999992</v>
      </c>
      <c r="K21" s="10">
        <f t="shared" si="4"/>
        <v>6768.4199999999992</v>
      </c>
      <c r="L21" s="16"/>
      <c r="M21" s="220"/>
      <c r="N21" s="221"/>
      <c r="O21" s="122">
        <f t="shared" si="0"/>
        <v>1513.3099999999986</v>
      </c>
      <c r="P21" s="123">
        <f t="shared" si="1"/>
        <v>28.796923375533503</v>
      </c>
      <c r="Q21" s="114"/>
      <c r="S21">
        <f t="shared" si="2"/>
        <v>3753.65</v>
      </c>
      <c r="T21" s="44">
        <f>E21+апр!I21</f>
        <v>0</v>
      </c>
      <c r="U21" s="30">
        <f>F21+апр!J21</f>
        <v>4789.0199999999995</v>
      </c>
    </row>
    <row r="22" spans="1:21" ht="17.25" customHeight="1">
      <c r="A22" s="8"/>
      <c r="B22" s="12" t="s">
        <v>13</v>
      </c>
      <c r="C22" s="13" t="s">
        <v>14</v>
      </c>
      <c r="D22" s="14">
        <v>5883</v>
      </c>
      <c r="E22" s="13"/>
      <c r="F22" s="8">
        <v>5500</v>
      </c>
      <c r="G22" s="10">
        <f t="shared" si="3"/>
        <v>5500</v>
      </c>
      <c r="H22" s="10">
        <f>D22+июнь!H22</f>
        <v>41181</v>
      </c>
      <c r="I22" s="8"/>
      <c r="J22" s="54">
        <f>F22+июнь!J22</f>
        <v>40590</v>
      </c>
      <c r="K22" s="10">
        <f t="shared" si="4"/>
        <v>40590</v>
      </c>
      <c r="L22" s="16"/>
      <c r="M22" s="220"/>
      <c r="N22" s="221"/>
      <c r="O22" s="122">
        <f t="shared" si="0"/>
        <v>-591</v>
      </c>
      <c r="P22" s="123">
        <f t="shared" si="1"/>
        <v>-1.4351278502221898</v>
      </c>
      <c r="Q22" s="114"/>
      <c r="S22">
        <f t="shared" si="2"/>
        <v>29415</v>
      </c>
      <c r="T22" s="44">
        <f>E22+апр!I22</f>
        <v>0</v>
      </c>
      <c r="U22" s="30">
        <f>F22+апр!J22</f>
        <v>28290</v>
      </c>
    </row>
    <row r="23" spans="1:21" ht="17.25" customHeight="1">
      <c r="A23" s="8"/>
      <c r="B23" s="12" t="s">
        <v>15</v>
      </c>
      <c r="C23" s="13" t="s">
        <v>16</v>
      </c>
      <c r="D23" s="16">
        <f>D21/D22*1000</f>
        <v>127.61006289308177</v>
      </c>
      <c r="E23" s="16" t="e">
        <f t="shared" ref="E23:F23" si="9">E21/E22*1000</f>
        <v>#DIV/0!</v>
      </c>
      <c r="F23" s="16">
        <f t="shared" si="9"/>
        <v>162.69090909090909</v>
      </c>
      <c r="G23" s="10" t="e">
        <f t="shared" si="3"/>
        <v>#DIV/0!</v>
      </c>
      <c r="H23" s="16">
        <f>H21/H22*1000</f>
        <v>127.61006289308177</v>
      </c>
      <c r="I23" s="8"/>
      <c r="J23" s="13"/>
      <c r="K23" s="10">
        <f t="shared" si="4"/>
        <v>0</v>
      </c>
      <c r="L23" s="16"/>
      <c r="M23" s="220"/>
      <c r="N23" s="221"/>
      <c r="O23" s="122">
        <f t="shared" si="0"/>
        <v>-127.61006289308177</v>
      </c>
      <c r="P23" s="123">
        <f t="shared" si="1"/>
        <v>-100</v>
      </c>
      <c r="Q23" s="114"/>
      <c r="S23">
        <f t="shared" si="2"/>
        <v>638.05031446540886</v>
      </c>
      <c r="T23" s="44" t="e">
        <f>E23+апр!I23</f>
        <v>#DIV/0!</v>
      </c>
      <c r="U23" s="30">
        <f>F23+апр!J23</f>
        <v>162.69090909090909</v>
      </c>
    </row>
    <row r="24" spans="1:21" ht="17.25" customHeight="1">
      <c r="A24" s="8" t="s">
        <v>23</v>
      </c>
      <c r="B24" s="9" t="s">
        <v>24</v>
      </c>
      <c r="C24" s="8" t="s">
        <v>4</v>
      </c>
      <c r="D24" s="10">
        <v>165.005</v>
      </c>
      <c r="E24" s="8"/>
      <c r="F24" s="54"/>
      <c r="G24" s="10">
        <f t="shared" si="3"/>
        <v>0</v>
      </c>
      <c r="H24" s="10">
        <f>D24+июнь!H24</f>
        <v>1155.0349999999999</v>
      </c>
      <c r="I24" s="8"/>
      <c r="J24" s="54">
        <f>F24+июнь!J24</f>
        <v>483.41399999999999</v>
      </c>
      <c r="K24" s="10">
        <f t="shared" si="4"/>
        <v>483.41399999999999</v>
      </c>
      <c r="L24" s="16"/>
      <c r="M24" s="220"/>
      <c r="N24" s="221"/>
      <c r="O24" s="122">
        <f t="shared" si="0"/>
        <v>-671.62099999999987</v>
      </c>
      <c r="P24" s="123">
        <f t="shared" si="1"/>
        <v>-58.147242291359134</v>
      </c>
      <c r="Q24" s="114"/>
      <c r="S24">
        <f t="shared" si="2"/>
        <v>825.02499999999998</v>
      </c>
      <c r="T24" s="44">
        <f>E24+апр!I24</f>
        <v>0</v>
      </c>
      <c r="U24" s="30">
        <f>F24+апр!J24</f>
        <v>415.84</v>
      </c>
    </row>
    <row r="25" spans="1:21" ht="17.25" customHeight="1">
      <c r="A25" s="8"/>
      <c r="B25" s="12" t="s">
        <v>13</v>
      </c>
      <c r="C25" s="13" t="s">
        <v>14</v>
      </c>
      <c r="D25" s="14">
        <v>251</v>
      </c>
      <c r="E25" s="13"/>
      <c r="F25" s="8"/>
      <c r="G25" s="10">
        <f t="shared" si="3"/>
        <v>0</v>
      </c>
      <c r="H25" s="10">
        <f>D25+июнь!H25</f>
        <v>1757</v>
      </c>
      <c r="I25" s="8"/>
      <c r="J25" s="54">
        <f>F25+июнь!J25</f>
        <v>930</v>
      </c>
      <c r="K25" s="10">
        <f t="shared" si="4"/>
        <v>930</v>
      </c>
      <c r="L25" s="16"/>
      <c r="M25" s="220"/>
      <c r="N25" s="221"/>
      <c r="O25" s="122">
        <f t="shared" si="0"/>
        <v>-827</v>
      </c>
      <c r="P25" s="123">
        <f t="shared" si="1"/>
        <v>-47.068867387592491</v>
      </c>
      <c r="Q25" s="114"/>
      <c r="S25">
        <f t="shared" si="2"/>
        <v>1255</v>
      </c>
      <c r="T25" s="44">
        <f>E25+апр!I25</f>
        <v>0</v>
      </c>
      <c r="U25" s="30">
        <f>F25+апр!J25</f>
        <v>800</v>
      </c>
    </row>
    <row r="26" spans="1:21" ht="17.25" customHeight="1">
      <c r="A26" s="8"/>
      <c r="B26" s="12" t="s">
        <v>15</v>
      </c>
      <c r="C26" s="13" t="s">
        <v>16</v>
      </c>
      <c r="D26" s="16">
        <f>D24/D25*1000</f>
        <v>657.39043824701196</v>
      </c>
      <c r="E26" s="16" t="e">
        <f t="shared" ref="E26:F26" si="10">E24/E25*1000</f>
        <v>#DIV/0!</v>
      </c>
      <c r="F26" s="16" t="e">
        <f t="shared" si="10"/>
        <v>#DIV/0!</v>
      </c>
      <c r="G26" s="10" t="e">
        <f t="shared" si="3"/>
        <v>#DIV/0!</v>
      </c>
      <c r="H26" s="16">
        <f>H24/H25*1000</f>
        <v>657.39043824701184</v>
      </c>
      <c r="I26" s="16"/>
      <c r="J26" s="16">
        <f t="shared" ref="J26" si="11">J24/J25*1000</f>
        <v>519.80000000000007</v>
      </c>
      <c r="K26" s="16"/>
      <c r="L26" s="16"/>
      <c r="M26" s="220"/>
      <c r="N26" s="221"/>
      <c r="O26" s="122">
        <f t="shared" si="0"/>
        <v>-137.59043824701178</v>
      </c>
      <c r="P26" s="123">
        <f t="shared" si="1"/>
        <v>-20.929790006363419</v>
      </c>
      <c r="Q26" s="114"/>
      <c r="S26">
        <f t="shared" si="2"/>
        <v>3286.9521912350597</v>
      </c>
      <c r="T26" s="44" t="e">
        <f>E26+апр!I26</f>
        <v>#DIV/0!</v>
      </c>
      <c r="U26" s="30" t="e">
        <f>F26+апр!J26</f>
        <v>#DIV/0!</v>
      </c>
    </row>
    <row r="27" spans="1:21" ht="17.25" customHeight="1">
      <c r="A27" s="8" t="s">
        <v>23</v>
      </c>
      <c r="B27" s="9" t="s">
        <v>25</v>
      </c>
      <c r="C27" s="8" t="s">
        <v>4</v>
      </c>
      <c r="D27" s="10">
        <v>214.15600000000001</v>
      </c>
      <c r="E27" s="8"/>
      <c r="F27" s="54">
        <v>249.6</v>
      </c>
      <c r="G27" s="10">
        <f t="shared" si="3"/>
        <v>249.6</v>
      </c>
      <c r="H27" s="10">
        <f>D27+июнь!H27</f>
        <v>1499.0919999999999</v>
      </c>
      <c r="I27" s="8"/>
      <c r="J27" s="54">
        <f>F27+июнь!J27</f>
        <v>1368</v>
      </c>
      <c r="K27" s="10">
        <f t="shared" si="4"/>
        <v>1368</v>
      </c>
      <c r="L27" s="16"/>
      <c r="M27" s="220"/>
      <c r="N27" s="221"/>
      <c r="O27" s="122">
        <f t="shared" si="0"/>
        <v>-131.09199999999987</v>
      </c>
      <c r="P27" s="123">
        <f t="shared" si="1"/>
        <v>-8.744760161484411</v>
      </c>
      <c r="Q27" s="114"/>
      <c r="S27">
        <f t="shared" si="2"/>
        <v>1070.78</v>
      </c>
      <c r="T27" s="44">
        <f>E27+апр!I27</f>
        <v>0</v>
      </c>
      <c r="U27" s="30">
        <f>F27+апр!J27</f>
        <v>249.6</v>
      </c>
    </row>
    <row r="28" spans="1:21" ht="17.25" customHeight="1">
      <c r="A28" s="8"/>
      <c r="B28" s="12" t="s">
        <v>13</v>
      </c>
      <c r="C28" s="13" t="s">
        <v>14</v>
      </c>
      <c r="D28" s="14">
        <v>238</v>
      </c>
      <c r="E28" s="13"/>
      <c r="F28" s="8">
        <v>312</v>
      </c>
      <c r="G28" s="10">
        <f t="shared" si="3"/>
        <v>312</v>
      </c>
      <c r="H28" s="10">
        <f>D28+июнь!H28</f>
        <v>1666</v>
      </c>
      <c r="I28" s="8"/>
      <c r="J28" s="54">
        <f>F28+июнь!J28</f>
        <v>1710</v>
      </c>
      <c r="K28" s="10">
        <f t="shared" si="4"/>
        <v>1710</v>
      </c>
      <c r="L28" s="16"/>
      <c r="M28" s="220"/>
      <c r="N28" s="221"/>
      <c r="O28" s="122">
        <f t="shared" si="0"/>
        <v>44</v>
      </c>
      <c r="P28" s="123">
        <f t="shared" si="1"/>
        <v>2.6410564225690276</v>
      </c>
      <c r="Q28" s="114"/>
      <c r="S28">
        <f t="shared" si="2"/>
        <v>1190</v>
      </c>
      <c r="T28" s="44">
        <f>E28+апр!I28</f>
        <v>0</v>
      </c>
      <c r="U28" s="30">
        <f>F28+апр!J28</f>
        <v>312</v>
      </c>
    </row>
    <row r="29" spans="1:21" ht="17.25" customHeight="1">
      <c r="A29" s="8"/>
      <c r="B29" s="12" t="s">
        <v>15</v>
      </c>
      <c r="C29" s="13" t="s">
        <v>16</v>
      </c>
      <c r="D29" s="16">
        <f>D27/D28*1000</f>
        <v>899.81512605042019</v>
      </c>
      <c r="E29" s="13"/>
      <c r="F29" s="16">
        <f t="shared" ref="F29" si="12">F27/F28*1000</f>
        <v>799.99999999999989</v>
      </c>
      <c r="G29" s="10">
        <f t="shared" si="3"/>
        <v>799.99999999999989</v>
      </c>
      <c r="H29" s="16">
        <f>H27/H28*1000</f>
        <v>899.81512605042008</v>
      </c>
      <c r="I29" s="16"/>
      <c r="J29" s="16">
        <f t="shared" ref="J29" si="13">J27/J28*1000</f>
        <v>800</v>
      </c>
      <c r="K29" s="10">
        <f t="shared" si="4"/>
        <v>800</v>
      </c>
      <c r="L29" s="16"/>
      <c r="M29" s="220"/>
      <c r="N29" s="221"/>
      <c r="O29" s="122">
        <f t="shared" si="0"/>
        <v>-99.815126050420076</v>
      </c>
      <c r="P29" s="123">
        <f t="shared" si="1"/>
        <v>-11.09284820411288</v>
      </c>
      <c r="Q29" s="114"/>
      <c r="S29">
        <f t="shared" si="2"/>
        <v>4499.0756302521013</v>
      </c>
      <c r="T29" s="44">
        <f>E29+апр!I29</f>
        <v>0</v>
      </c>
      <c r="U29" s="30" t="e">
        <f>F29+апр!J29</f>
        <v>#DIV/0!</v>
      </c>
    </row>
    <row r="30" spans="1:21" ht="17.25" customHeight="1">
      <c r="A30" s="18" t="s">
        <v>26</v>
      </c>
      <c r="B30" s="9" t="s">
        <v>27</v>
      </c>
      <c r="C30" s="8" t="s">
        <v>4</v>
      </c>
      <c r="D30" s="10">
        <f t="shared" ref="D30" si="14">D31+D32+D33+D34</f>
        <v>2406.0839999999998</v>
      </c>
      <c r="E30" s="8">
        <v>762.50099999999998</v>
      </c>
      <c r="F30" s="10">
        <f>F31+F32+F33+F34</f>
        <v>802.50099999999998</v>
      </c>
      <c r="G30" s="10">
        <f t="shared" si="3"/>
        <v>40</v>
      </c>
      <c r="H30" s="10">
        <f t="shared" ref="H30" si="15">H31+H32+H33+H34</f>
        <v>16842.588000000003</v>
      </c>
      <c r="I30" s="8">
        <f>E30+июнь!I30</f>
        <v>5337.5070000000005</v>
      </c>
      <c r="J30" s="10">
        <f t="shared" ref="J30" si="16">J31+J32+J33+J34</f>
        <v>17333.483999999997</v>
      </c>
      <c r="K30" s="10">
        <f t="shared" si="4"/>
        <v>11995.976999999995</v>
      </c>
      <c r="L30" s="16">
        <f t="shared" si="5"/>
        <v>224.74868885417845</v>
      </c>
      <c r="M30" s="220"/>
      <c r="N30" s="221"/>
      <c r="O30" s="122">
        <f t="shared" si="0"/>
        <v>490.89599999999336</v>
      </c>
      <c r="P30" s="123">
        <f t="shared" si="1"/>
        <v>2.9146114599489894</v>
      </c>
      <c r="Q30" s="114"/>
      <c r="S30">
        <f t="shared" si="2"/>
        <v>12030.419999999998</v>
      </c>
      <c r="T30" s="44">
        <f>E30+апр!I30</f>
        <v>3812.5050000000001</v>
      </c>
      <c r="U30" s="30">
        <f>F30+апр!J30</f>
        <v>9975.25</v>
      </c>
    </row>
    <row r="31" spans="1:21" ht="35.25" customHeight="1">
      <c r="A31" s="18" t="s">
        <v>28</v>
      </c>
      <c r="B31" s="9" t="s">
        <v>29</v>
      </c>
      <c r="C31" s="8" t="s">
        <v>4</v>
      </c>
      <c r="D31" s="10">
        <v>2288.5219999999999</v>
      </c>
      <c r="E31" s="8"/>
      <c r="F31" s="55">
        <v>744.62</v>
      </c>
      <c r="G31" s="10">
        <f t="shared" si="3"/>
        <v>744.62</v>
      </c>
      <c r="H31" s="10">
        <f>D31+июнь!H31</f>
        <v>16019.654000000002</v>
      </c>
      <c r="I31" s="8"/>
      <c r="J31" s="54">
        <f>F31+июнь!J31</f>
        <v>16308.833000000001</v>
      </c>
      <c r="K31" s="10">
        <f t="shared" si="4"/>
        <v>16308.833000000001</v>
      </c>
      <c r="L31" s="16"/>
      <c r="M31" s="220"/>
      <c r="N31" s="221"/>
      <c r="O31" s="122">
        <f t="shared" si="0"/>
        <v>289.17899999999827</v>
      </c>
      <c r="P31" s="123">
        <f t="shared" si="1"/>
        <v>1.8051513472138552</v>
      </c>
      <c r="Q31" s="114"/>
      <c r="S31">
        <f t="shared" si="2"/>
        <v>11442.61</v>
      </c>
      <c r="T31" s="44">
        <f>E31+апр!I31</f>
        <v>0</v>
      </c>
      <c r="U31" s="30">
        <f>F31+апр!J31</f>
        <v>9518.0550000000003</v>
      </c>
    </row>
    <row r="32" spans="1:21" ht="51.75" customHeight="1">
      <c r="A32" s="18" t="s">
        <v>30</v>
      </c>
      <c r="B32" s="9" t="s">
        <v>31</v>
      </c>
      <c r="C32" s="8" t="s">
        <v>4</v>
      </c>
      <c r="D32" s="10">
        <v>60.337000000000003</v>
      </c>
      <c r="E32" s="8"/>
      <c r="F32" s="54">
        <v>32.534999999999997</v>
      </c>
      <c r="G32" s="10">
        <f t="shared" si="3"/>
        <v>32.534999999999997</v>
      </c>
      <c r="H32" s="10">
        <f>D32+июнь!H32</f>
        <v>422.35899999999998</v>
      </c>
      <c r="I32" s="8"/>
      <c r="J32" s="54">
        <f>F32+июнь!J32</f>
        <v>774.89699999999993</v>
      </c>
      <c r="K32" s="10">
        <f t="shared" si="4"/>
        <v>774.89699999999993</v>
      </c>
      <c r="L32" s="16"/>
      <c r="M32" s="222" t="s">
        <v>285</v>
      </c>
      <c r="N32" s="223"/>
      <c r="O32" s="122">
        <f t="shared" si="0"/>
        <v>352.53799999999995</v>
      </c>
      <c r="P32" s="123">
        <f t="shared" si="1"/>
        <v>83.468802606313574</v>
      </c>
      <c r="Q32" s="115"/>
      <c r="S32">
        <f t="shared" si="2"/>
        <v>301.685</v>
      </c>
      <c r="T32" s="44">
        <f>E32+апр!I32</f>
        <v>0</v>
      </c>
      <c r="U32" s="30">
        <f>F32+апр!J32</f>
        <v>300.56499999999994</v>
      </c>
    </row>
    <row r="33" spans="1:21" ht="17.25" customHeight="1">
      <c r="A33" s="18" t="s">
        <v>32</v>
      </c>
      <c r="B33" s="9" t="s">
        <v>33</v>
      </c>
      <c r="C33" s="8" t="s">
        <v>4</v>
      </c>
      <c r="D33" s="10">
        <v>19.736999999999998</v>
      </c>
      <c r="E33" s="8"/>
      <c r="F33" s="55">
        <v>22.884</v>
      </c>
      <c r="G33" s="10">
        <f t="shared" si="3"/>
        <v>22.884</v>
      </c>
      <c r="H33" s="10">
        <f>D33+июнь!H33</f>
        <v>138.15899999999999</v>
      </c>
      <c r="I33" s="8"/>
      <c r="J33" s="54">
        <f>F33+июнь!J33</f>
        <v>161.88600000000002</v>
      </c>
      <c r="K33" s="10">
        <f t="shared" si="4"/>
        <v>161.88600000000002</v>
      </c>
      <c r="L33" s="16"/>
      <c r="M33" s="220"/>
      <c r="N33" s="221"/>
      <c r="O33" s="122">
        <f t="shared" si="0"/>
        <v>23.727000000000032</v>
      </c>
      <c r="P33" s="123">
        <f t="shared" si="1"/>
        <v>17.173691181899141</v>
      </c>
      <c r="Q33" s="114"/>
      <c r="S33">
        <f t="shared" si="2"/>
        <v>98.684999999999988</v>
      </c>
      <c r="T33" s="44">
        <f>E33+апр!I33</f>
        <v>0</v>
      </c>
      <c r="U33" s="30">
        <f>F33+апр!J33</f>
        <v>72.41</v>
      </c>
    </row>
    <row r="34" spans="1:21" ht="33" customHeight="1">
      <c r="A34" s="18" t="s">
        <v>34</v>
      </c>
      <c r="B34" s="9" t="s">
        <v>35</v>
      </c>
      <c r="C34" s="8" t="s">
        <v>4</v>
      </c>
      <c r="D34" s="10">
        <v>37.488</v>
      </c>
      <c r="E34" s="8"/>
      <c r="F34" s="55">
        <v>2.4620000000000002</v>
      </c>
      <c r="G34" s="10">
        <f t="shared" si="3"/>
        <v>2.4620000000000002</v>
      </c>
      <c r="H34" s="10">
        <f>D34+июнь!H34</f>
        <v>262.416</v>
      </c>
      <c r="I34" s="8"/>
      <c r="J34" s="54">
        <f>F34+июнь!J34</f>
        <v>87.868000000000023</v>
      </c>
      <c r="K34" s="10">
        <f t="shared" si="4"/>
        <v>87.868000000000023</v>
      </c>
      <c r="L34" s="16"/>
      <c r="M34" s="220"/>
      <c r="N34" s="221"/>
      <c r="O34" s="122">
        <f t="shared" si="0"/>
        <v>-174.54799999999997</v>
      </c>
      <c r="P34" s="123">
        <f t="shared" si="1"/>
        <v>-66.515761234071078</v>
      </c>
      <c r="Q34" s="114"/>
      <c r="S34">
        <f t="shared" si="2"/>
        <v>187.44</v>
      </c>
      <c r="T34" s="44">
        <f>E34+апр!I34</f>
        <v>0</v>
      </c>
      <c r="U34" s="30">
        <f>F34+апр!J34</f>
        <v>84.220000000000013</v>
      </c>
    </row>
    <row r="35" spans="1:21" ht="17.25" customHeight="1">
      <c r="A35" s="18" t="s">
        <v>36</v>
      </c>
      <c r="B35" s="9" t="s">
        <v>37</v>
      </c>
      <c r="C35" s="8" t="s">
        <v>4</v>
      </c>
      <c r="D35" s="10">
        <f t="shared" ref="D35:J35" si="17">D36</f>
        <v>162.715</v>
      </c>
      <c r="E35" s="10">
        <f t="shared" si="17"/>
        <v>162.75</v>
      </c>
      <c r="F35" s="10">
        <f t="shared" si="17"/>
        <v>47.607999999999997</v>
      </c>
      <c r="G35" s="10">
        <f t="shared" si="3"/>
        <v>-115.142</v>
      </c>
      <c r="H35" s="10">
        <f t="shared" si="17"/>
        <v>1139.0050000000001</v>
      </c>
      <c r="I35" s="10">
        <f t="shared" si="17"/>
        <v>1139.25</v>
      </c>
      <c r="J35" s="10">
        <f t="shared" si="17"/>
        <v>2559.0540000000001</v>
      </c>
      <c r="K35" s="10">
        <f t="shared" si="4"/>
        <v>1419.8040000000001</v>
      </c>
      <c r="L35" s="16">
        <f t="shared" si="5"/>
        <v>124.62620144832127</v>
      </c>
      <c r="M35" s="220"/>
      <c r="N35" s="221"/>
      <c r="O35" s="122">
        <f t="shared" si="0"/>
        <v>1420.049</v>
      </c>
      <c r="P35" s="123">
        <f t="shared" si="1"/>
        <v>124.6745185490845</v>
      </c>
      <c r="Q35" s="114"/>
      <c r="S35">
        <f t="shared" si="2"/>
        <v>813.57500000000005</v>
      </c>
      <c r="T35" s="44">
        <f>E35+апр!I35</f>
        <v>813.75</v>
      </c>
      <c r="U35" s="30">
        <f>F35+апр!J35</f>
        <v>1831.1559999999999</v>
      </c>
    </row>
    <row r="36" spans="1:21" ht="17.25" customHeight="1">
      <c r="A36" s="8" t="s">
        <v>38</v>
      </c>
      <c r="B36" s="9" t="s">
        <v>39</v>
      </c>
      <c r="C36" s="8" t="s">
        <v>4</v>
      </c>
      <c r="D36" s="10">
        <v>162.715</v>
      </c>
      <c r="E36" s="8">
        <v>162.75</v>
      </c>
      <c r="F36" s="54">
        <v>47.607999999999997</v>
      </c>
      <c r="G36" s="10">
        <f t="shared" si="3"/>
        <v>-115.142</v>
      </c>
      <c r="H36" s="10">
        <f>D36+июнь!H36</f>
        <v>1139.0050000000001</v>
      </c>
      <c r="I36" s="8">
        <f>E36+июнь!I36</f>
        <v>1139.25</v>
      </c>
      <c r="J36" s="54">
        <f>F36+июнь!J36</f>
        <v>2559.0540000000001</v>
      </c>
      <c r="K36" s="10">
        <f t="shared" si="4"/>
        <v>1419.8040000000001</v>
      </c>
      <c r="L36" s="16">
        <f t="shared" si="5"/>
        <v>124.62620144832127</v>
      </c>
      <c r="M36" s="220"/>
      <c r="N36" s="221"/>
      <c r="O36" s="122">
        <f t="shared" si="0"/>
        <v>1420.049</v>
      </c>
      <c r="P36" s="123">
        <f t="shared" si="1"/>
        <v>124.6745185490845</v>
      </c>
      <c r="Q36" s="114"/>
      <c r="S36">
        <f t="shared" si="2"/>
        <v>813.57500000000005</v>
      </c>
      <c r="T36" s="44">
        <f>E36+апр!I36</f>
        <v>813.75</v>
      </c>
      <c r="U36" s="30">
        <f>F36+апр!J36</f>
        <v>1831.1559999999999</v>
      </c>
    </row>
    <row r="37" spans="1:21" ht="17.25" customHeight="1">
      <c r="A37" s="18" t="s">
        <v>40</v>
      </c>
      <c r="B37" s="9" t="s">
        <v>41</v>
      </c>
      <c r="C37" s="8" t="s">
        <v>4</v>
      </c>
      <c r="D37" s="10">
        <f>D38+D41+D48+D51</f>
        <v>1613.3909999999998</v>
      </c>
      <c r="E37" s="8">
        <v>1933.0830000000001</v>
      </c>
      <c r="F37" s="10">
        <f>F38+F41+F48+F51</f>
        <v>1191.8809999999999</v>
      </c>
      <c r="G37" s="10">
        <f t="shared" si="3"/>
        <v>-741.20200000000023</v>
      </c>
      <c r="H37" s="10">
        <f>H38+H41+H48+H51</f>
        <v>11293.737000000001</v>
      </c>
      <c r="I37" s="8">
        <f>E37+июнь!I37</f>
        <v>13531.581000000002</v>
      </c>
      <c r="J37" s="10">
        <f>J38+J41+J48+J51</f>
        <v>14268.316000000001</v>
      </c>
      <c r="K37" s="10">
        <f t="shared" si="4"/>
        <v>736.73499999999876</v>
      </c>
      <c r="L37" s="16">
        <f t="shared" si="5"/>
        <v>5.4445596564067316</v>
      </c>
      <c r="M37" s="220"/>
      <c r="N37" s="221"/>
      <c r="O37" s="122">
        <f t="shared" si="0"/>
        <v>2974.5789999999997</v>
      </c>
      <c r="P37" s="123">
        <f t="shared" si="1"/>
        <v>26.338305912383113</v>
      </c>
      <c r="Q37" s="114"/>
      <c r="S37">
        <f t="shared" si="2"/>
        <v>8066.954999999999</v>
      </c>
      <c r="T37" s="44">
        <f>E37+апр!I37</f>
        <v>9665.4150000000009</v>
      </c>
      <c r="U37" s="30">
        <f>F37+апр!J37</f>
        <v>11243.612999999999</v>
      </c>
    </row>
    <row r="38" spans="1:21" ht="17.25" customHeight="1">
      <c r="A38" s="18" t="s">
        <v>42</v>
      </c>
      <c r="B38" s="9" t="s">
        <v>43</v>
      </c>
      <c r="C38" s="8" t="s">
        <v>4</v>
      </c>
      <c r="D38" s="10">
        <v>707.32500000000005</v>
      </c>
      <c r="E38" s="8">
        <v>707.33299999999997</v>
      </c>
      <c r="F38" s="8"/>
      <c r="G38" s="10">
        <f t="shared" si="3"/>
        <v>-707.33299999999997</v>
      </c>
      <c r="H38" s="10">
        <f>D38+июнь!H38</f>
        <v>4951.2749999999996</v>
      </c>
      <c r="I38" s="8">
        <f>E38+июнь!I38</f>
        <v>4951.3309999999992</v>
      </c>
      <c r="J38" s="54">
        <f>F38+июнь!J38</f>
        <v>5653.2079999999996</v>
      </c>
      <c r="K38" s="10">
        <f t="shared" si="4"/>
        <v>701.87700000000041</v>
      </c>
      <c r="L38" s="16">
        <f t="shared" si="5"/>
        <v>14.175521693055879</v>
      </c>
      <c r="M38" s="220"/>
      <c r="N38" s="221"/>
      <c r="O38" s="122">
        <f t="shared" si="0"/>
        <v>701.93299999999999</v>
      </c>
      <c r="P38" s="123">
        <f t="shared" si="1"/>
        <v>14.17681304310506</v>
      </c>
      <c r="Q38" s="114"/>
      <c r="S38">
        <f t="shared" si="2"/>
        <v>3536.625</v>
      </c>
      <c r="T38" s="44">
        <f>E38+апр!I38</f>
        <v>3536.665</v>
      </c>
      <c r="U38" s="30">
        <f>F38+апр!J38</f>
        <v>5547.366</v>
      </c>
    </row>
    <row r="39" spans="1:21" ht="17.25" customHeight="1">
      <c r="A39" s="8"/>
      <c r="B39" s="12" t="s">
        <v>13</v>
      </c>
      <c r="C39" s="13" t="s">
        <v>44</v>
      </c>
      <c r="D39" s="14">
        <v>87</v>
      </c>
      <c r="E39" s="13"/>
      <c r="F39" s="8"/>
      <c r="G39" s="10">
        <f t="shared" si="3"/>
        <v>0</v>
      </c>
      <c r="H39" s="10">
        <f>D39+июнь!H39</f>
        <v>609</v>
      </c>
      <c r="I39" s="8"/>
      <c r="J39" s="54">
        <f>F39+июнь!J39</f>
        <v>908</v>
      </c>
      <c r="K39" s="10">
        <f t="shared" si="4"/>
        <v>908</v>
      </c>
      <c r="L39" s="16"/>
      <c r="M39" s="220"/>
      <c r="N39" s="221"/>
      <c r="O39" s="122">
        <f t="shared" si="0"/>
        <v>299</v>
      </c>
      <c r="P39" s="123">
        <f t="shared" si="1"/>
        <v>49.096880131362894</v>
      </c>
      <c r="Q39" s="114"/>
      <c r="S39">
        <f t="shared" si="2"/>
        <v>435</v>
      </c>
      <c r="T39" s="44">
        <f>E39+апр!I39</f>
        <v>0</v>
      </c>
      <c r="U39" s="30">
        <f>F39+апр!J39</f>
        <v>891</v>
      </c>
    </row>
    <row r="40" spans="1:21" ht="17.25" customHeight="1">
      <c r="A40" s="8"/>
      <c r="B40" s="12" t="s">
        <v>15</v>
      </c>
      <c r="C40" s="13" t="s">
        <v>16</v>
      </c>
      <c r="D40" s="16">
        <f>D38/D39*1000</f>
        <v>8130.1724137931051</v>
      </c>
      <c r="E40" s="16"/>
      <c r="F40" s="16" t="e">
        <f t="shared" ref="F40" si="18">F38/F39*1000</f>
        <v>#DIV/0!</v>
      </c>
      <c r="G40" s="10" t="e">
        <f t="shared" si="3"/>
        <v>#DIV/0!</v>
      </c>
      <c r="H40" s="16">
        <f>H38/H39*1000</f>
        <v>8130.1724137931033</v>
      </c>
      <c r="I40" s="16"/>
      <c r="J40" s="16">
        <f t="shared" ref="J40" si="19">J38/J39*1000</f>
        <v>6226</v>
      </c>
      <c r="K40" s="10">
        <f t="shared" si="4"/>
        <v>6226</v>
      </c>
      <c r="L40" s="16"/>
      <c r="M40" s="220"/>
      <c r="N40" s="221"/>
      <c r="O40" s="122">
        <f t="shared" si="0"/>
        <v>-1904.1724137931033</v>
      </c>
      <c r="P40" s="123">
        <f t="shared" si="1"/>
        <v>-23.421058212278652</v>
      </c>
      <c r="Q40" s="114"/>
      <c r="S40">
        <f t="shared" si="2"/>
        <v>40650.862068965522</v>
      </c>
      <c r="T40" s="44">
        <f>E40+апр!I40</f>
        <v>0</v>
      </c>
      <c r="U40" s="30" t="e">
        <f>F40+апр!J40</f>
        <v>#DIV/0!</v>
      </c>
    </row>
    <row r="41" spans="1:21" ht="17.25" customHeight="1">
      <c r="A41" s="18" t="s">
        <v>45</v>
      </c>
      <c r="B41" s="9" t="s">
        <v>46</v>
      </c>
      <c r="C41" s="8" t="s">
        <v>4</v>
      </c>
      <c r="D41" s="10">
        <f t="shared" ref="D41:F41" si="20">D42+D45</f>
        <v>315.00200000000001</v>
      </c>
      <c r="E41" s="10">
        <f t="shared" si="20"/>
        <v>0</v>
      </c>
      <c r="F41" s="10">
        <f t="shared" si="20"/>
        <v>329.40100000000001</v>
      </c>
      <c r="G41" s="10">
        <f t="shared" si="3"/>
        <v>329.40100000000001</v>
      </c>
      <c r="H41" s="10">
        <f t="shared" ref="H41:J41" si="21">H42+H45</f>
        <v>2205.0140000000001</v>
      </c>
      <c r="I41" s="10">
        <f t="shared" si="21"/>
        <v>0</v>
      </c>
      <c r="J41" s="10">
        <f t="shared" si="21"/>
        <v>2405.4129999999996</v>
      </c>
      <c r="K41" s="10">
        <f t="shared" si="4"/>
        <v>2405.4129999999996</v>
      </c>
      <c r="L41" s="16"/>
      <c r="M41" s="220"/>
      <c r="N41" s="221"/>
      <c r="O41" s="122">
        <f t="shared" si="0"/>
        <v>200.39899999999943</v>
      </c>
      <c r="P41" s="123">
        <f t="shared" si="1"/>
        <v>9.0883323189784466</v>
      </c>
      <c r="Q41" s="114"/>
      <c r="S41">
        <f t="shared" si="2"/>
        <v>1575.01</v>
      </c>
      <c r="T41" s="44">
        <f>E41+апр!I41</f>
        <v>0</v>
      </c>
      <c r="U41" s="30">
        <f>F41+апр!J41</f>
        <v>1766.4590000000001</v>
      </c>
    </row>
    <row r="42" spans="1:21" ht="16.5" customHeight="1">
      <c r="A42" s="8"/>
      <c r="B42" s="9" t="s">
        <v>47</v>
      </c>
      <c r="C42" s="8" t="s">
        <v>4</v>
      </c>
      <c r="D42" s="10">
        <v>152.298</v>
      </c>
      <c r="E42" s="8"/>
      <c r="F42" s="8"/>
      <c r="G42" s="10">
        <f t="shared" si="3"/>
        <v>0</v>
      </c>
      <c r="H42" s="10">
        <f>D42+июнь!H42</f>
        <v>1066.086</v>
      </c>
      <c r="I42" s="8"/>
      <c r="J42" s="54">
        <f>F42+июнь!J42</f>
        <v>0</v>
      </c>
      <c r="K42" s="10">
        <f t="shared" si="4"/>
        <v>0</v>
      </c>
      <c r="L42" s="16"/>
      <c r="M42" s="233" t="s">
        <v>286</v>
      </c>
      <c r="N42" s="234"/>
      <c r="O42" s="122">
        <f t="shared" si="0"/>
        <v>-1066.086</v>
      </c>
      <c r="P42" s="123">
        <f t="shared" si="1"/>
        <v>-100</v>
      </c>
      <c r="Q42" s="115"/>
      <c r="S42">
        <f t="shared" si="2"/>
        <v>761.49</v>
      </c>
      <c r="T42" s="44">
        <f>E42+апр!I42</f>
        <v>0</v>
      </c>
      <c r="U42" s="30">
        <f>F42+апр!J42</f>
        <v>0</v>
      </c>
    </row>
    <row r="43" spans="1:21" ht="17.25" customHeight="1">
      <c r="A43" s="8"/>
      <c r="B43" s="12" t="s">
        <v>48</v>
      </c>
      <c r="C43" s="13" t="s">
        <v>49</v>
      </c>
      <c r="D43" s="14">
        <v>1917</v>
      </c>
      <c r="E43" s="13"/>
      <c r="F43" s="8"/>
      <c r="G43" s="10">
        <f t="shared" si="3"/>
        <v>0</v>
      </c>
      <c r="H43" s="10">
        <f>D43+июнь!H43</f>
        <v>13419</v>
      </c>
      <c r="I43" s="8"/>
      <c r="J43" s="54">
        <f>F43+июнь!J43</f>
        <v>0</v>
      </c>
      <c r="K43" s="10">
        <f t="shared" si="4"/>
        <v>0</v>
      </c>
      <c r="L43" s="16"/>
      <c r="M43" s="235"/>
      <c r="N43" s="236"/>
      <c r="O43" s="122">
        <f t="shared" si="0"/>
        <v>-13419</v>
      </c>
      <c r="P43" s="123">
        <f t="shared" si="1"/>
        <v>-100</v>
      </c>
      <c r="Q43" s="115"/>
      <c r="S43">
        <f t="shared" si="2"/>
        <v>9585</v>
      </c>
      <c r="T43" s="44">
        <f>E43+апр!I43</f>
        <v>0</v>
      </c>
      <c r="U43" s="30">
        <f>F43+апр!J43</f>
        <v>0</v>
      </c>
    </row>
    <row r="44" spans="1:21" ht="17.25" customHeight="1">
      <c r="A44" s="8"/>
      <c r="B44" s="12" t="s">
        <v>15</v>
      </c>
      <c r="C44" s="13" t="s">
        <v>16</v>
      </c>
      <c r="D44" s="16">
        <f>D42/D43*1000</f>
        <v>79.44600938967136</v>
      </c>
      <c r="E44" s="13"/>
      <c r="F44" s="8"/>
      <c r="G44" s="10">
        <f t="shared" si="3"/>
        <v>0</v>
      </c>
      <c r="H44" s="16">
        <f>H42/H43*1000</f>
        <v>79.44600938967136</v>
      </c>
      <c r="I44" s="16"/>
      <c r="J44" s="16" t="e">
        <f t="shared" ref="J44" si="22">J42/J43*1000</f>
        <v>#DIV/0!</v>
      </c>
      <c r="K44" s="10" t="e">
        <f t="shared" si="4"/>
        <v>#DIV/0!</v>
      </c>
      <c r="L44" s="16"/>
      <c r="M44" s="220"/>
      <c r="N44" s="221"/>
      <c r="O44" s="122" t="e">
        <f t="shared" si="0"/>
        <v>#DIV/0!</v>
      </c>
      <c r="P44" s="123" t="e">
        <f t="shared" si="1"/>
        <v>#DIV/0!</v>
      </c>
      <c r="Q44" s="114"/>
      <c r="S44">
        <f t="shared" si="2"/>
        <v>397.2300469483568</v>
      </c>
      <c r="T44" s="44">
        <f>E44+апр!I44</f>
        <v>0</v>
      </c>
      <c r="U44" s="30" t="e">
        <f>F44+апр!J44</f>
        <v>#DIV/0!</v>
      </c>
    </row>
    <row r="45" spans="1:21" ht="17.25" customHeight="1">
      <c r="A45" s="8"/>
      <c r="B45" s="19" t="s">
        <v>50</v>
      </c>
      <c r="C45" s="8" t="s">
        <v>4</v>
      </c>
      <c r="D45" s="10">
        <v>162.70400000000001</v>
      </c>
      <c r="E45" s="8"/>
      <c r="F45" s="54">
        <v>329.40100000000001</v>
      </c>
      <c r="G45" s="10">
        <f t="shared" si="3"/>
        <v>329.40100000000001</v>
      </c>
      <c r="H45" s="10">
        <f>D45+июнь!H45</f>
        <v>1138.9279999999999</v>
      </c>
      <c r="I45" s="8">
        <f>E45+июнь!I45</f>
        <v>0</v>
      </c>
      <c r="J45" s="54">
        <f>F45+июнь!J45</f>
        <v>2405.4129999999996</v>
      </c>
      <c r="K45" s="10">
        <f t="shared" si="4"/>
        <v>2405.4129999999996</v>
      </c>
      <c r="L45" s="16"/>
      <c r="M45" s="220"/>
      <c r="N45" s="221"/>
      <c r="O45" s="122">
        <f t="shared" si="0"/>
        <v>1266.4849999999997</v>
      </c>
      <c r="P45" s="123">
        <f t="shared" si="1"/>
        <v>111.19974221373079</v>
      </c>
      <c r="Q45" s="114"/>
      <c r="S45">
        <f t="shared" si="2"/>
        <v>813.52</v>
      </c>
      <c r="T45" s="44">
        <f>E45+апр!I45</f>
        <v>0</v>
      </c>
      <c r="U45" s="30">
        <f>F45+апр!J45</f>
        <v>1766.4590000000001</v>
      </c>
    </row>
    <row r="46" spans="1:21" ht="17.25" customHeight="1">
      <c r="A46" s="8"/>
      <c r="B46" s="12" t="s">
        <v>51</v>
      </c>
      <c r="C46" s="13" t="s">
        <v>49</v>
      </c>
      <c r="D46" s="14">
        <v>1417</v>
      </c>
      <c r="E46" s="13"/>
      <c r="F46" s="8">
        <v>2316</v>
      </c>
      <c r="G46" s="10">
        <f t="shared" si="3"/>
        <v>2316</v>
      </c>
      <c r="H46" s="10">
        <f>D46+июнь!H46</f>
        <v>9919</v>
      </c>
      <c r="I46" s="8"/>
      <c r="J46" s="54">
        <f>F46+июнь!J46</f>
        <v>16930</v>
      </c>
      <c r="K46" s="10">
        <f t="shared" si="4"/>
        <v>16930</v>
      </c>
      <c r="L46" s="16"/>
      <c r="M46" s="220"/>
      <c r="N46" s="221"/>
      <c r="O46" s="122">
        <f t="shared" si="0"/>
        <v>7011</v>
      </c>
      <c r="P46" s="123">
        <f t="shared" si="1"/>
        <v>70.68252848069362</v>
      </c>
      <c r="Q46" s="114"/>
      <c r="S46">
        <f t="shared" si="2"/>
        <v>7085</v>
      </c>
      <c r="T46" s="44">
        <f>E46+апр!I46</f>
        <v>0</v>
      </c>
      <c r="U46" s="30">
        <f>F46+апр!J46</f>
        <v>12438</v>
      </c>
    </row>
    <row r="47" spans="1:21" ht="17.25" customHeight="1">
      <c r="A47" s="8"/>
      <c r="B47" s="12" t="s">
        <v>15</v>
      </c>
      <c r="C47" s="13" t="s">
        <v>16</v>
      </c>
      <c r="D47" s="16">
        <f>D45/D46*1000</f>
        <v>114.82286520818631</v>
      </c>
      <c r="E47" s="16"/>
      <c r="F47" s="16">
        <f t="shared" ref="F47" si="23">F45/F46*1000</f>
        <v>142.22841105354058</v>
      </c>
      <c r="G47" s="10">
        <f t="shared" si="3"/>
        <v>142.22841105354058</v>
      </c>
      <c r="H47" s="16">
        <f>H45/H46*1000</f>
        <v>114.8228652081863</v>
      </c>
      <c r="I47" s="16"/>
      <c r="J47" s="16">
        <f t="shared" ref="J47" si="24">J45/J46*1000</f>
        <v>142.07991730655638</v>
      </c>
      <c r="K47" s="10">
        <f t="shared" si="4"/>
        <v>142.07991730655638</v>
      </c>
      <c r="L47" s="16"/>
      <c r="M47" s="220"/>
      <c r="N47" s="221"/>
      <c r="O47" s="122">
        <f t="shared" si="0"/>
        <v>27.257052098370082</v>
      </c>
      <c r="P47" s="123">
        <f t="shared" si="1"/>
        <v>23.738348672061171</v>
      </c>
      <c r="Q47" s="114"/>
      <c r="S47">
        <f t="shared" si="2"/>
        <v>574.11432604093159</v>
      </c>
      <c r="T47" s="44">
        <f>E47+апр!I47</f>
        <v>0</v>
      </c>
      <c r="U47" s="30">
        <f>F47+апр!J47</f>
        <v>284.20213166211596</v>
      </c>
    </row>
    <row r="48" spans="1:21" ht="17.25" customHeight="1">
      <c r="A48" s="18" t="s">
        <v>52</v>
      </c>
      <c r="B48" s="9" t="s">
        <v>53</v>
      </c>
      <c r="C48" s="8" t="s">
        <v>4</v>
      </c>
      <c r="D48" s="10">
        <v>515.60799999999995</v>
      </c>
      <c r="E48" s="8"/>
      <c r="F48" s="55">
        <v>819.37</v>
      </c>
      <c r="G48" s="10">
        <f t="shared" si="3"/>
        <v>819.37</v>
      </c>
      <c r="H48" s="10">
        <f>D48+июнь!H48</f>
        <v>3609.2560000000003</v>
      </c>
      <c r="I48" s="8"/>
      <c r="J48" s="54">
        <f>F48+июнь!J48</f>
        <v>5696.5970000000007</v>
      </c>
      <c r="K48" s="10">
        <f t="shared" si="4"/>
        <v>5696.5970000000007</v>
      </c>
      <c r="L48" s="16"/>
      <c r="M48" s="220"/>
      <c r="N48" s="221"/>
      <c r="O48" s="122">
        <f t="shared" si="0"/>
        <v>2087.3410000000003</v>
      </c>
      <c r="P48" s="123">
        <f t="shared" si="1"/>
        <v>57.832999377156959</v>
      </c>
      <c r="Q48" s="114"/>
      <c r="S48">
        <f t="shared" si="2"/>
        <v>2578.04</v>
      </c>
      <c r="T48" s="44">
        <f>E48+апр!I48</f>
        <v>0</v>
      </c>
      <c r="U48" s="30">
        <f>F48+апр!J48</f>
        <v>3765.5290000000005</v>
      </c>
    </row>
    <row r="49" spans="1:21" ht="17.25" customHeight="1">
      <c r="A49" s="8"/>
      <c r="B49" s="12" t="s">
        <v>13</v>
      </c>
      <c r="C49" s="13" t="s">
        <v>49</v>
      </c>
      <c r="D49" s="14">
        <v>5833</v>
      </c>
      <c r="E49" s="13"/>
      <c r="F49" s="8">
        <v>5437</v>
      </c>
      <c r="G49" s="10">
        <f t="shared" si="3"/>
        <v>5437</v>
      </c>
      <c r="H49" s="10">
        <f>D49+июнь!H49</f>
        <v>40831</v>
      </c>
      <c r="I49" s="8"/>
      <c r="J49" s="54">
        <f>F49+июнь!J49</f>
        <v>37001</v>
      </c>
      <c r="K49" s="10">
        <f t="shared" si="4"/>
        <v>37001</v>
      </c>
      <c r="L49" s="16"/>
      <c r="M49" s="220"/>
      <c r="N49" s="221"/>
      <c r="O49" s="122">
        <f t="shared" si="0"/>
        <v>-3830</v>
      </c>
      <c r="P49" s="123">
        <f t="shared" si="1"/>
        <v>-9.3801278440400679</v>
      </c>
      <c r="Q49" s="114"/>
      <c r="S49">
        <f t="shared" si="2"/>
        <v>29165</v>
      </c>
      <c r="T49" s="44">
        <f>E49+апр!I49</f>
        <v>0</v>
      </c>
      <c r="U49" s="30">
        <f>F49+апр!J49</f>
        <v>23760</v>
      </c>
    </row>
    <row r="50" spans="1:21" ht="17.25" customHeight="1">
      <c r="A50" s="8"/>
      <c r="B50" s="12" t="s">
        <v>15</v>
      </c>
      <c r="C50" s="13" t="s">
        <v>16</v>
      </c>
      <c r="D50" s="16">
        <f>D48/D49*1000</f>
        <v>88.394993999657117</v>
      </c>
      <c r="E50" s="16"/>
      <c r="F50" s="16">
        <f t="shared" ref="F50" si="25">F48/F49*1000</f>
        <v>150.7025933419165</v>
      </c>
      <c r="G50" s="10">
        <f t="shared" si="3"/>
        <v>150.7025933419165</v>
      </c>
      <c r="H50" s="16">
        <f>H48/H49*1000</f>
        <v>88.394993999657132</v>
      </c>
      <c r="I50" s="16"/>
      <c r="J50" s="16">
        <f t="shared" ref="J50" si="26">J48/J49*1000</f>
        <v>153.95792005621473</v>
      </c>
      <c r="K50" s="10">
        <f t="shared" si="4"/>
        <v>153.95792005621473</v>
      </c>
      <c r="L50" s="16"/>
      <c r="M50" s="220"/>
      <c r="N50" s="221"/>
      <c r="O50" s="122">
        <f t="shared" si="0"/>
        <v>65.5629260565576</v>
      </c>
      <c r="P50" s="123">
        <f t="shared" si="1"/>
        <v>74.170406139528566</v>
      </c>
      <c r="Q50" s="114"/>
      <c r="S50">
        <f t="shared" si="2"/>
        <v>441.97496999828559</v>
      </c>
      <c r="T50" s="44">
        <f>E50+апр!I50</f>
        <v>0</v>
      </c>
      <c r="U50" s="30">
        <f>F50+апр!J50</f>
        <v>311.49280236882259</v>
      </c>
    </row>
    <row r="51" spans="1:21" ht="17.25" customHeight="1">
      <c r="A51" s="18" t="s">
        <v>54</v>
      </c>
      <c r="B51" s="20" t="s">
        <v>55</v>
      </c>
      <c r="C51" s="8" t="s">
        <v>4</v>
      </c>
      <c r="D51" s="10">
        <f t="shared" ref="D51:F52" si="27">D54+D57+D60+D63+D66+D69</f>
        <v>75.456000000000003</v>
      </c>
      <c r="E51" s="10"/>
      <c r="F51" s="10">
        <f t="shared" si="27"/>
        <v>43.11</v>
      </c>
      <c r="G51" s="10">
        <f t="shared" si="3"/>
        <v>43.11</v>
      </c>
      <c r="H51" s="10">
        <f t="shared" ref="H51:H52" si="28">H54+H57+H60+H63+H66+H69</f>
        <v>528.19200000000001</v>
      </c>
      <c r="I51" s="10"/>
      <c r="J51" s="10">
        <f t="shared" ref="J51:J52" si="29">J54+J57+J60+J63+J66+J69</f>
        <v>513.09799999999996</v>
      </c>
      <c r="K51" s="10">
        <f t="shared" si="4"/>
        <v>513.09799999999996</v>
      </c>
      <c r="L51" s="16"/>
      <c r="M51" s="220"/>
      <c r="N51" s="221"/>
      <c r="O51" s="122">
        <f t="shared" si="0"/>
        <v>-15.094000000000051</v>
      </c>
      <c r="P51" s="123">
        <f t="shared" si="1"/>
        <v>-2.8576729674058012</v>
      </c>
      <c r="Q51" s="114"/>
      <c r="S51">
        <f t="shared" si="2"/>
        <v>377.28000000000003</v>
      </c>
      <c r="T51" s="44">
        <f>E51+апр!I51</f>
        <v>0</v>
      </c>
      <c r="U51" s="30">
        <f>F51+апр!J51</f>
        <v>164.25900000000001</v>
      </c>
    </row>
    <row r="52" spans="1:21" ht="17.25" customHeight="1">
      <c r="A52" s="8"/>
      <c r="B52" s="19" t="s">
        <v>13</v>
      </c>
      <c r="C52" s="13" t="s">
        <v>49</v>
      </c>
      <c r="D52" s="14">
        <f t="shared" si="27"/>
        <v>177</v>
      </c>
      <c r="E52" s="13"/>
      <c r="F52" s="14">
        <f t="shared" si="27"/>
        <v>47.5</v>
      </c>
      <c r="G52" s="10">
        <f t="shared" si="3"/>
        <v>47.5</v>
      </c>
      <c r="H52" s="14">
        <f t="shared" si="28"/>
        <v>1239</v>
      </c>
      <c r="I52" s="8"/>
      <c r="J52" s="14">
        <f t="shared" si="29"/>
        <v>1019.575</v>
      </c>
      <c r="K52" s="10">
        <f t="shared" si="4"/>
        <v>1019.575</v>
      </c>
      <c r="L52" s="16"/>
      <c r="M52" s="220"/>
      <c r="N52" s="221"/>
      <c r="O52" s="122">
        <f t="shared" si="0"/>
        <v>-219.42499999999995</v>
      </c>
      <c r="P52" s="123">
        <f t="shared" si="1"/>
        <v>-17.709846650524614</v>
      </c>
      <c r="Q52" s="114"/>
      <c r="S52">
        <f t="shared" si="2"/>
        <v>885</v>
      </c>
      <c r="T52" s="44">
        <f>E52+апр!I52</f>
        <v>0</v>
      </c>
      <c r="U52" s="30">
        <f>F52+апр!J52</f>
        <v>266.57499999999999</v>
      </c>
    </row>
    <row r="53" spans="1:21" ht="17.25" customHeight="1">
      <c r="A53" s="8"/>
      <c r="B53" s="19" t="s">
        <v>15</v>
      </c>
      <c r="C53" s="13" t="s">
        <v>16</v>
      </c>
      <c r="D53" s="16">
        <f>D51/D52*1000</f>
        <v>426.30508474576271</v>
      </c>
      <c r="E53" s="16"/>
      <c r="F53" s="16">
        <f t="shared" ref="F53" si="30">F51/F52*1000</f>
        <v>907.57894736842104</v>
      </c>
      <c r="G53" s="10">
        <f t="shared" si="3"/>
        <v>907.57894736842104</v>
      </c>
      <c r="H53" s="16">
        <f>H51/H52*1000</f>
        <v>426.30508474576271</v>
      </c>
      <c r="I53" s="16"/>
      <c r="J53" s="16">
        <f t="shared" ref="J53" si="31">J51/J52*1000</f>
        <v>503.24694112743049</v>
      </c>
      <c r="K53" s="10">
        <f t="shared" si="4"/>
        <v>503.24694112743049</v>
      </c>
      <c r="L53" s="16"/>
      <c r="M53" s="220"/>
      <c r="N53" s="221"/>
      <c r="O53" s="122">
        <f t="shared" si="0"/>
        <v>76.941856381667776</v>
      </c>
      <c r="P53" s="123">
        <f t="shared" si="1"/>
        <v>18.048542964847321</v>
      </c>
      <c r="Q53" s="114"/>
      <c r="S53">
        <f t="shared" si="2"/>
        <v>2131.5254237288136</v>
      </c>
      <c r="T53" s="44">
        <f>E53+апр!I53</f>
        <v>0</v>
      </c>
      <c r="U53" s="30">
        <f>F53+апр!J53</f>
        <v>1460.5813438079965</v>
      </c>
    </row>
    <row r="54" spans="1:21" ht="17.25" customHeight="1">
      <c r="A54" s="8"/>
      <c r="B54" s="20" t="s">
        <v>56</v>
      </c>
      <c r="C54" s="8" t="s">
        <v>4</v>
      </c>
      <c r="D54" s="10">
        <v>7.8079999999999998</v>
      </c>
      <c r="E54" s="8"/>
      <c r="F54" s="55">
        <v>7.5</v>
      </c>
      <c r="G54" s="10">
        <f t="shared" si="3"/>
        <v>7.5</v>
      </c>
      <c r="H54" s="10">
        <f>D54+июнь!H54</f>
        <v>54.655999999999999</v>
      </c>
      <c r="I54" s="8"/>
      <c r="J54" s="54">
        <f>F54+июнь!J54</f>
        <v>28.603999999999999</v>
      </c>
      <c r="K54" s="10">
        <f t="shared" si="4"/>
        <v>28.603999999999999</v>
      </c>
      <c r="L54" s="16"/>
      <c r="M54" s="220"/>
      <c r="N54" s="221"/>
      <c r="O54" s="122">
        <f t="shared" si="0"/>
        <v>-26.052</v>
      </c>
      <c r="P54" s="123">
        <f t="shared" si="1"/>
        <v>-47.6653981264637</v>
      </c>
      <c r="Q54" s="114"/>
      <c r="S54">
        <f t="shared" si="2"/>
        <v>39.04</v>
      </c>
      <c r="T54" s="44">
        <f>E54+апр!I54</f>
        <v>0</v>
      </c>
      <c r="U54" s="30">
        <f>F54+апр!J54</f>
        <v>21.103999999999999</v>
      </c>
    </row>
    <row r="55" spans="1:21" ht="17.25" customHeight="1">
      <c r="A55" s="8"/>
      <c r="B55" s="12" t="s">
        <v>13</v>
      </c>
      <c r="C55" s="13" t="s">
        <v>49</v>
      </c>
      <c r="D55" s="14">
        <v>31</v>
      </c>
      <c r="E55" s="13"/>
      <c r="F55" s="8">
        <v>16</v>
      </c>
      <c r="G55" s="10">
        <f t="shared" si="3"/>
        <v>16</v>
      </c>
      <c r="H55" s="10">
        <f>D55+июнь!H55</f>
        <v>217</v>
      </c>
      <c r="I55" s="8"/>
      <c r="J55" s="54">
        <f>F55+июнь!J55</f>
        <v>57</v>
      </c>
      <c r="K55" s="10">
        <f t="shared" si="4"/>
        <v>57</v>
      </c>
      <c r="L55" s="16"/>
      <c r="M55" s="220"/>
      <c r="N55" s="221"/>
      <c r="O55" s="122">
        <f t="shared" si="0"/>
        <v>-160</v>
      </c>
      <c r="P55" s="123">
        <f t="shared" si="1"/>
        <v>-73.732718894009224</v>
      </c>
      <c r="Q55" s="114"/>
      <c r="S55">
        <f t="shared" si="2"/>
        <v>155</v>
      </c>
      <c r="T55" s="44">
        <f>E55+апр!I55</f>
        <v>0</v>
      </c>
      <c r="U55" s="30">
        <f>F55+апр!J55</f>
        <v>41</v>
      </c>
    </row>
    <row r="56" spans="1:21" ht="17.25" customHeight="1">
      <c r="A56" s="8"/>
      <c r="B56" s="12" t="s">
        <v>15</v>
      </c>
      <c r="C56" s="13" t="s">
        <v>16</v>
      </c>
      <c r="D56" s="16">
        <f>D54/D55*1000</f>
        <v>251.87096774193546</v>
      </c>
      <c r="E56" s="16"/>
      <c r="F56" s="16">
        <f t="shared" ref="F56" si="32">F54/F55*1000</f>
        <v>468.75</v>
      </c>
      <c r="G56" s="10">
        <f t="shared" si="3"/>
        <v>468.75</v>
      </c>
      <c r="H56" s="16">
        <f>H54/H55*1000</f>
        <v>251.87096774193546</v>
      </c>
      <c r="I56" s="16"/>
      <c r="J56" s="16">
        <f t="shared" ref="J56" si="33">J54/J55*1000</f>
        <v>501.82456140350871</v>
      </c>
      <c r="K56" s="10">
        <f t="shared" si="4"/>
        <v>501.82456140350871</v>
      </c>
      <c r="L56" s="16"/>
      <c r="M56" s="220"/>
      <c r="N56" s="221"/>
      <c r="O56" s="122">
        <f t="shared" si="0"/>
        <v>249.95359366157325</v>
      </c>
      <c r="P56" s="123">
        <f t="shared" si="1"/>
        <v>99.23874748346276</v>
      </c>
      <c r="Q56" s="114"/>
      <c r="S56">
        <f t="shared" si="2"/>
        <v>1259.3548387096773</v>
      </c>
      <c r="T56" s="44">
        <f>E56+апр!I56</f>
        <v>0</v>
      </c>
      <c r="U56" s="30">
        <f>F56+апр!J56</f>
        <v>1012.91</v>
      </c>
    </row>
    <row r="57" spans="1:21" ht="17.25" customHeight="1">
      <c r="A57" s="8"/>
      <c r="B57" s="20" t="s">
        <v>57</v>
      </c>
      <c r="C57" s="8" t="s">
        <v>4</v>
      </c>
      <c r="D57" s="10">
        <v>13.96</v>
      </c>
      <c r="E57" s="8"/>
      <c r="F57" s="55"/>
      <c r="G57" s="10">
        <f t="shared" si="3"/>
        <v>0</v>
      </c>
      <c r="H57" s="10">
        <f>D57+июнь!H57</f>
        <v>97.720000000000027</v>
      </c>
      <c r="I57" s="8"/>
      <c r="J57" s="54">
        <f>F57+июнь!J57</f>
        <v>116.25</v>
      </c>
      <c r="K57" s="10">
        <f t="shared" si="4"/>
        <v>116.25</v>
      </c>
      <c r="L57" s="16"/>
      <c r="M57" s="233" t="s">
        <v>291</v>
      </c>
      <c r="N57" s="234"/>
      <c r="O57" s="122">
        <f t="shared" si="0"/>
        <v>18.529999999999973</v>
      </c>
      <c r="P57" s="123">
        <f t="shared" si="1"/>
        <v>18.962341383544789</v>
      </c>
      <c r="Q57" s="115"/>
      <c r="S57">
        <f t="shared" si="2"/>
        <v>69.800000000000011</v>
      </c>
      <c r="T57" s="44">
        <f>E57+апр!I57</f>
        <v>0</v>
      </c>
      <c r="U57" s="30">
        <f>F57+апр!J57</f>
        <v>0</v>
      </c>
    </row>
    <row r="58" spans="1:21" ht="17.25" customHeight="1">
      <c r="A58" s="8"/>
      <c r="B58" s="12" t="s">
        <v>13</v>
      </c>
      <c r="C58" s="13" t="s">
        <v>49</v>
      </c>
      <c r="D58" s="14">
        <v>33</v>
      </c>
      <c r="E58" s="13"/>
      <c r="F58" s="8"/>
      <c r="G58" s="10">
        <f t="shared" si="3"/>
        <v>0</v>
      </c>
      <c r="H58" s="10">
        <f>D58+июнь!H58</f>
        <v>231</v>
      </c>
      <c r="I58" s="8"/>
      <c r="J58" s="54">
        <f>F58+июнь!J58</f>
        <v>300</v>
      </c>
      <c r="K58" s="10">
        <f t="shared" si="4"/>
        <v>300</v>
      </c>
      <c r="L58" s="16"/>
      <c r="M58" s="235"/>
      <c r="N58" s="236"/>
      <c r="O58" s="122">
        <f t="shared" si="0"/>
        <v>69</v>
      </c>
      <c r="P58" s="123">
        <f t="shared" si="1"/>
        <v>29.870129870129869</v>
      </c>
      <c r="Q58" s="115"/>
      <c r="S58">
        <f t="shared" si="2"/>
        <v>165</v>
      </c>
      <c r="T58" s="44">
        <f>E58+апр!I58</f>
        <v>0</v>
      </c>
      <c r="U58" s="30">
        <f>F58+апр!J58</f>
        <v>0</v>
      </c>
    </row>
    <row r="59" spans="1:21" ht="17.25" customHeight="1">
      <c r="A59" s="8"/>
      <c r="B59" s="12" t="s">
        <v>15</v>
      </c>
      <c r="C59" s="13" t="s">
        <v>16</v>
      </c>
      <c r="D59" s="16">
        <f>D57/D58*1000</f>
        <v>423.03030303030306</v>
      </c>
      <c r="E59" s="13"/>
      <c r="F59" s="16" t="e">
        <f t="shared" ref="F59" si="34">F57/F58*1000</f>
        <v>#DIV/0!</v>
      </c>
      <c r="G59" s="10" t="e">
        <f t="shared" si="3"/>
        <v>#DIV/0!</v>
      </c>
      <c r="H59" s="16">
        <f>H57/H58*1000</f>
        <v>423.03030303030317</v>
      </c>
      <c r="I59" s="8"/>
      <c r="J59" s="13"/>
      <c r="K59" s="10">
        <f t="shared" si="4"/>
        <v>0</v>
      </c>
      <c r="L59" s="16"/>
      <c r="M59" s="220"/>
      <c r="N59" s="221"/>
      <c r="O59" s="122">
        <f t="shared" si="0"/>
        <v>-423.03030303030317</v>
      </c>
      <c r="P59" s="123">
        <f t="shared" si="1"/>
        <v>-100</v>
      </c>
      <c r="Q59" s="114"/>
      <c r="S59">
        <f t="shared" si="2"/>
        <v>2115.1515151515155</v>
      </c>
      <c r="T59" s="44">
        <f>E59+апр!I59</f>
        <v>0</v>
      </c>
      <c r="U59" s="30" t="e">
        <f>F59+апр!J59</f>
        <v>#DIV/0!</v>
      </c>
    </row>
    <row r="60" spans="1:21" ht="17.25" customHeight="1">
      <c r="A60" s="8"/>
      <c r="B60" s="20" t="s">
        <v>58</v>
      </c>
      <c r="C60" s="8" t="s">
        <v>4</v>
      </c>
      <c r="D60" s="10">
        <v>28.585000000000001</v>
      </c>
      <c r="E60" s="8"/>
      <c r="F60" s="55">
        <v>30</v>
      </c>
      <c r="G60" s="10">
        <f t="shared" si="3"/>
        <v>30</v>
      </c>
      <c r="H60" s="10">
        <f>D60+июнь!H60</f>
        <v>200.09500000000003</v>
      </c>
      <c r="I60" s="8"/>
      <c r="J60" s="54">
        <f>F60+июнь!J60</f>
        <v>261.09399999999999</v>
      </c>
      <c r="K60" s="10">
        <f t="shared" si="4"/>
        <v>261.09399999999999</v>
      </c>
      <c r="L60" s="16"/>
      <c r="M60" s="233" t="s">
        <v>291</v>
      </c>
      <c r="N60" s="234"/>
      <c r="O60" s="122">
        <f t="shared" si="0"/>
        <v>60.998999999999967</v>
      </c>
      <c r="P60" s="123">
        <f t="shared" si="1"/>
        <v>30.485019615682528</v>
      </c>
      <c r="Q60" s="115"/>
      <c r="S60">
        <f t="shared" si="2"/>
        <v>142.92500000000001</v>
      </c>
      <c r="T60" s="44">
        <f>E60+апр!I60</f>
        <v>0</v>
      </c>
      <c r="U60" s="30">
        <f>F60+апр!J60</f>
        <v>87.375</v>
      </c>
    </row>
    <row r="61" spans="1:21" ht="17.25" customHeight="1">
      <c r="A61" s="8"/>
      <c r="B61" s="12" t="s">
        <v>13</v>
      </c>
      <c r="C61" s="13" t="s">
        <v>49</v>
      </c>
      <c r="D61" s="14">
        <v>70</v>
      </c>
      <c r="E61" s="13"/>
      <c r="F61" s="8">
        <v>20</v>
      </c>
      <c r="G61" s="10">
        <f t="shared" si="3"/>
        <v>20</v>
      </c>
      <c r="H61" s="10">
        <f>D61+июнь!H61</f>
        <v>490</v>
      </c>
      <c r="I61" s="8"/>
      <c r="J61" s="54">
        <f>F61+июнь!J61</f>
        <v>455</v>
      </c>
      <c r="K61" s="10">
        <f t="shared" si="4"/>
        <v>455</v>
      </c>
      <c r="L61" s="16"/>
      <c r="M61" s="235"/>
      <c r="N61" s="236"/>
      <c r="O61" s="122">
        <f t="shared" si="0"/>
        <v>-35</v>
      </c>
      <c r="P61" s="123">
        <f t="shared" si="1"/>
        <v>-7.1428571428571423</v>
      </c>
      <c r="Q61" s="115"/>
      <c r="S61">
        <f t="shared" si="2"/>
        <v>350</v>
      </c>
      <c r="T61" s="44">
        <f>E61+апр!I61</f>
        <v>0</v>
      </c>
      <c r="U61" s="30">
        <f>F61+апр!J61</f>
        <v>128</v>
      </c>
    </row>
    <row r="62" spans="1:21" ht="17.25" customHeight="1">
      <c r="A62" s="8"/>
      <c r="B62" s="12" t="s">
        <v>15</v>
      </c>
      <c r="C62" s="13" t="s">
        <v>16</v>
      </c>
      <c r="D62" s="16">
        <f>D60/D61*1000</f>
        <v>408.35714285714289</v>
      </c>
      <c r="E62" s="16"/>
      <c r="F62" s="16">
        <f t="shared" ref="F62" si="35">F60/F61*1000</f>
        <v>1500</v>
      </c>
      <c r="G62" s="10">
        <f t="shared" si="3"/>
        <v>1500</v>
      </c>
      <c r="H62" s="16">
        <f>H60/H61*1000</f>
        <v>408.35714285714295</v>
      </c>
      <c r="I62" s="16"/>
      <c r="J62" s="16">
        <f t="shared" ref="J62" si="36">J60/J61*1000</f>
        <v>573.83296703296708</v>
      </c>
      <c r="K62" s="10">
        <f t="shared" si="4"/>
        <v>573.83296703296708</v>
      </c>
      <c r="L62" s="16"/>
      <c r="M62" s="220"/>
      <c r="N62" s="221"/>
      <c r="O62" s="122">
        <f t="shared" si="0"/>
        <v>165.47582417582413</v>
      </c>
      <c r="P62" s="123">
        <f t="shared" si="1"/>
        <v>40.52232881688888</v>
      </c>
      <c r="Q62" s="114"/>
      <c r="S62">
        <f t="shared" si="2"/>
        <v>2041.7857142857144</v>
      </c>
      <c r="T62" s="44">
        <f>E62+апр!I62</f>
        <v>0</v>
      </c>
      <c r="U62" s="30">
        <f>F62+апр!J62</f>
        <v>2031.25</v>
      </c>
    </row>
    <row r="63" spans="1:21" ht="17.25" customHeight="1">
      <c r="A63" s="8"/>
      <c r="B63" s="20" t="s">
        <v>220</v>
      </c>
      <c r="C63" s="8" t="s">
        <v>4</v>
      </c>
      <c r="D63" s="10">
        <v>12.234</v>
      </c>
      <c r="E63" s="8"/>
      <c r="F63" s="54">
        <v>4.43</v>
      </c>
      <c r="G63" s="10">
        <f t="shared" si="3"/>
        <v>4.43</v>
      </c>
      <c r="H63" s="10">
        <f>D63+июнь!H63</f>
        <v>85.637999999999991</v>
      </c>
      <c r="I63" s="8"/>
      <c r="J63" s="54">
        <f>F63+июнь!J63</f>
        <v>52.059999999999995</v>
      </c>
      <c r="K63" s="10">
        <f t="shared" si="4"/>
        <v>52.059999999999995</v>
      </c>
      <c r="L63" s="16"/>
      <c r="M63" s="220"/>
      <c r="N63" s="221"/>
      <c r="O63" s="122">
        <f t="shared" si="0"/>
        <v>-33.577999999999996</v>
      </c>
      <c r="P63" s="123">
        <f t="shared" si="1"/>
        <v>-39.209229547630727</v>
      </c>
      <c r="Q63" s="114"/>
      <c r="S63">
        <f t="shared" si="2"/>
        <v>61.17</v>
      </c>
      <c r="T63" s="44">
        <f>E63+апр!I63</f>
        <v>0</v>
      </c>
      <c r="U63" s="30">
        <f>F63+апр!J63</f>
        <v>13.09</v>
      </c>
    </row>
    <row r="64" spans="1:21" ht="17.25" customHeight="1">
      <c r="A64" s="8"/>
      <c r="B64" s="12" t="s">
        <v>13</v>
      </c>
      <c r="C64" s="13" t="s">
        <v>49</v>
      </c>
      <c r="D64" s="14">
        <v>23</v>
      </c>
      <c r="E64" s="13"/>
      <c r="F64" s="8">
        <v>10</v>
      </c>
      <c r="G64" s="10">
        <f t="shared" si="3"/>
        <v>10</v>
      </c>
      <c r="H64" s="10">
        <f>D64+июнь!H64</f>
        <v>161</v>
      </c>
      <c r="I64" s="8"/>
      <c r="J64" s="54">
        <f>F64+июнь!J64</f>
        <v>120</v>
      </c>
      <c r="K64" s="10">
        <f t="shared" si="4"/>
        <v>120</v>
      </c>
      <c r="L64" s="16"/>
      <c r="M64" s="220"/>
      <c r="N64" s="221"/>
      <c r="O64" s="122">
        <f t="shared" si="0"/>
        <v>-41</v>
      </c>
      <c r="P64" s="123">
        <f t="shared" si="1"/>
        <v>-25.465838509316768</v>
      </c>
      <c r="Q64" s="114"/>
      <c r="S64">
        <f t="shared" si="2"/>
        <v>115</v>
      </c>
      <c r="T64" s="44">
        <f>E64+апр!I64</f>
        <v>0</v>
      </c>
      <c r="U64" s="30">
        <f>F64+апр!J64</f>
        <v>30</v>
      </c>
    </row>
    <row r="65" spans="1:21" ht="17.25" customHeight="1">
      <c r="A65" s="8"/>
      <c r="B65" s="12" t="s">
        <v>15</v>
      </c>
      <c r="C65" s="13" t="s">
        <v>16</v>
      </c>
      <c r="D65" s="16">
        <f>D63/D64*1000</f>
        <v>531.91304347826087</v>
      </c>
      <c r="E65" s="16"/>
      <c r="F65" s="16">
        <f t="shared" ref="F65" si="37">F63/F64*1000</f>
        <v>442.99999999999994</v>
      </c>
      <c r="G65" s="10">
        <f t="shared" si="3"/>
        <v>442.99999999999994</v>
      </c>
      <c r="H65" s="16">
        <f>H63/H64*1000</f>
        <v>531.91304347826087</v>
      </c>
      <c r="I65" s="16"/>
      <c r="J65" s="16">
        <f t="shared" ref="J65" si="38">J63/J64*1000</f>
        <v>433.83333333333331</v>
      </c>
      <c r="K65" s="10">
        <f t="shared" si="4"/>
        <v>433.83333333333331</v>
      </c>
      <c r="L65" s="16"/>
      <c r="M65" s="220"/>
      <c r="N65" s="221"/>
      <c r="O65" s="122">
        <f t="shared" si="0"/>
        <v>-98.07971014492756</v>
      </c>
      <c r="P65" s="123">
        <f t="shared" si="1"/>
        <v>-18.439049643071225</v>
      </c>
      <c r="Q65" s="114"/>
      <c r="S65">
        <f t="shared" si="2"/>
        <v>2659.5652173913045</v>
      </c>
      <c r="T65" s="44">
        <f>E65+апр!I65</f>
        <v>0</v>
      </c>
      <c r="U65" s="30">
        <f>F65+апр!J65</f>
        <v>876</v>
      </c>
    </row>
    <row r="66" spans="1:21" ht="17.25" customHeight="1">
      <c r="A66" s="8"/>
      <c r="B66" s="9" t="s">
        <v>59</v>
      </c>
      <c r="C66" s="8" t="s">
        <v>4</v>
      </c>
      <c r="D66" s="10">
        <v>2.8610000000000002</v>
      </c>
      <c r="E66" s="8"/>
      <c r="F66" s="8"/>
      <c r="G66" s="10">
        <f t="shared" si="3"/>
        <v>0</v>
      </c>
      <c r="H66" s="10">
        <f>D66+июнь!H66</f>
        <v>20.027000000000001</v>
      </c>
      <c r="I66" s="8"/>
      <c r="J66" s="54">
        <f>F66+июнь!J66</f>
        <v>0</v>
      </c>
      <c r="K66" s="10">
        <f t="shared" si="4"/>
        <v>0</v>
      </c>
      <c r="L66" s="16"/>
      <c r="M66" s="220"/>
      <c r="N66" s="221"/>
      <c r="O66" s="122">
        <f t="shared" si="0"/>
        <v>-20.027000000000001</v>
      </c>
      <c r="P66" s="123">
        <f t="shared" si="1"/>
        <v>-100</v>
      </c>
      <c r="Q66" s="114"/>
      <c r="S66">
        <f t="shared" si="2"/>
        <v>14.305000000000001</v>
      </c>
      <c r="T66" s="44">
        <f>E66+апр!I66</f>
        <v>0</v>
      </c>
      <c r="U66" s="30">
        <f>F66+апр!J66</f>
        <v>0</v>
      </c>
    </row>
    <row r="67" spans="1:21" ht="17.25" customHeight="1">
      <c r="A67" s="8"/>
      <c r="B67" s="12" t="s">
        <v>13</v>
      </c>
      <c r="C67" s="13" t="s">
        <v>49</v>
      </c>
      <c r="D67" s="14">
        <v>2</v>
      </c>
      <c r="E67" s="13"/>
      <c r="F67" s="8"/>
      <c r="G67" s="10">
        <f t="shared" si="3"/>
        <v>0</v>
      </c>
      <c r="H67" s="10">
        <f>D67+июнь!H67</f>
        <v>14</v>
      </c>
      <c r="I67" s="8"/>
      <c r="J67" s="54">
        <f>F67+июнь!J67</f>
        <v>0</v>
      </c>
      <c r="K67" s="10">
        <f t="shared" si="4"/>
        <v>0</v>
      </c>
      <c r="L67" s="16"/>
      <c r="M67" s="220"/>
      <c r="N67" s="221"/>
      <c r="O67" s="122">
        <f t="shared" si="0"/>
        <v>-14</v>
      </c>
      <c r="P67" s="123">
        <f t="shared" si="1"/>
        <v>-100</v>
      </c>
      <c r="Q67" s="114"/>
      <c r="S67">
        <f t="shared" si="2"/>
        <v>10</v>
      </c>
      <c r="T67" s="44">
        <f>E67+апр!I67</f>
        <v>0</v>
      </c>
      <c r="U67" s="30">
        <f>F67+апр!J67</f>
        <v>0</v>
      </c>
    </row>
    <row r="68" spans="1:21" ht="17.25" customHeight="1">
      <c r="A68" s="8"/>
      <c r="B68" s="12" t="s">
        <v>15</v>
      </c>
      <c r="C68" s="13" t="s">
        <v>16</v>
      </c>
      <c r="D68" s="16">
        <f>D66/D67*1000</f>
        <v>1430.5</v>
      </c>
      <c r="E68" s="13"/>
      <c r="F68" s="8"/>
      <c r="G68" s="10">
        <f t="shared" si="3"/>
        <v>0</v>
      </c>
      <c r="H68" s="16">
        <f>H66/H67*1000</f>
        <v>1430.5</v>
      </c>
      <c r="I68" s="16"/>
      <c r="J68" s="16" t="e">
        <f t="shared" ref="J68" si="39">J66/J67*1000</f>
        <v>#DIV/0!</v>
      </c>
      <c r="K68" s="10" t="e">
        <f t="shared" si="4"/>
        <v>#DIV/0!</v>
      </c>
      <c r="L68" s="16"/>
      <c r="M68" s="220"/>
      <c r="N68" s="221"/>
      <c r="O68" s="122" t="e">
        <f t="shared" si="0"/>
        <v>#DIV/0!</v>
      </c>
      <c r="P68" s="123" t="e">
        <f t="shared" si="1"/>
        <v>#DIV/0!</v>
      </c>
      <c r="Q68" s="114"/>
      <c r="S68">
        <f t="shared" si="2"/>
        <v>7152.5</v>
      </c>
      <c r="T68" s="44">
        <f>E68+апр!I68</f>
        <v>0</v>
      </c>
      <c r="U68" s="30" t="e">
        <f>F68+апр!J68</f>
        <v>#DIV/0!</v>
      </c>
    </row>
    <row r="69" spans="1:21" ht="17.25" customHeight="1">
      <c r="A69" s="8"/>
      <c r="B69" s="20" t="s">
        <v>60</v>
      </c>
      <c r="C69" s="8" t="s">
        <v>4</v>
      </c>
      <c r="D69" s="10">
        <v>10.007999999999999</v>
      </c>
      <c r="E69" s="8"/>
      <c r="F69" s="54">
        <v>1.18</v>
      </c>
      <c r="G69" s="10">
        <f t="shared" si="3"/>
        <v>1.18</v>
      </c>
      <c r="H69" s="10">
        <f>D69+июнь!H69</f>
        <v>70.055999999999983</v>
      </c>
      <c r="I69" s="8"/>
      <c r="J69" s="54">
        <f>F69+июнь!J69</f>
        <v>55.09</v>
      </c>
      <c r="K69" s="10">
        <f t="shared" si="4"/>
        <v>55.09</v>
      </c>
      <c r="L69" s="16"/>
      <c r="M69" s="233" t="s">
        <v>292</v>
      </c>
      <c r="N69" s="234"/>
      <c r="O69" s="122">
        <f t="shared" si="0"/>
        <v>-14.96599999999998</v>
      </c>
      <c r="P69" s="123">
        <f t="shared" si="1"/>
        <v>-21.362909672262166</v>
      </c>
      <c r="Q69" s="115"/>
      <c r="S69">
        <f t="shared" si="2"/>
        <v>50.039999999999992</v>
      </c>
      <c r="T69" s="44">
        <f>E69+апр!I69</f>
        <v>0</v>
      </c>
      <c r="U69" s="30">
        <f>F69+апр!J69</f>
        <v>42.690000000000005</v>
      </c>
    </row>
    <row r="70" spans="1:21" ht="17.25" customHeight="1">
      <c r="A70" s="8"/>
      <c r="B70" s="12" t="s">
        <v>13</v>
      </c>
      <c r="C70" s="13" t="s">
        <v>61</v>
      </c>
      <c r="D70" s="14">
        <v>18</v>
      </c>
      <c r="E70" s="13"/>
      <c r="F70" s="8">
        <v>1.5</v>
      </c>
      <c r="G70" s="10">
        <f t="shared" si="3"/>
        <v>1.5</v>
      </c>
      <c r="H70" s="10">
        <f>D70+июнь!H70</f>
        <v>126</v>
      </c>
      <c r="I70" s="8"/>
      <c r="J70" s="54">
        <f>F70+июнь!J70</f>
        <v>87.575000000000003</v>
      </c>
      <c r="K70" s="10">
        <f t="shared" si="4"/>
        <v>87.575000000000003</v>
      </c>
      <c r="L70" s="16"/>
      <c r="M70" s="235"/>
      <c r="N70" s="236"/>
      <c r="O70" s="122">
        <f t="shared" si="0"/>
        <v>-38.424999999999997</v>
      </c>
      <c r="P70" s="123">
        <f t="shared" si="1"/>
        <v>-30.496031746031743</v>
      </c>
      <c r="Q70" s="115"/>
      <c r="S70">
        <f t="shared" si="2"/>
        <v>90</v>
      </c>
      <c r="T70" s="44">
        <f>E70+апр!I70</f>
        <v>0</v>
      </c>
      <c r="U70" s="30">
        <f>F70+апр!J70</f>
        <v>67.575000000000003</v>
      </c>
    </row>
    <row r="71" spans="1:21" ht="17.25" customHeight="1">
      <c r="A71" s="8"/>
      <c r="B71" s="12" t="s">
        <v>15</v>
      </c>
      <c r="C71" s="13" t="s">
        <v>16</v>
      </c>
      <c r="D71" s="16">
        <f>D69/D70*1000</f>
        <v>555.99999999999989</v>
      </c>
      <c r="E71" s="16"/>
      <c r="F71" s="16">
        <f t="shared" ref="F71" si="40">F69/F70*1000</f>
        <v>786.66666666666663</v>
      </c>
      <c r="G71" s="10">
        <f t="shared" si="3"/>
        <v>786.66666666666663</v>
      </c>
      <c r="H71" s="16">
        <f>H69/H70*1000</f>
        <v>555.99999999999977</v>
      </c>
      <c r="I71" s="16"/>
      <c r="J71" s="16">
        <f t="shared" ref="J71" si="41">J69/J70*1000</f>
        <v>629.06080502426494</v>
      </c>
      <c r="K71" s="10">
        <f t="shared" si="4"/>
        <v>629.06080502426494</v>
      </c>
      <c r="L71" s="16"/>
      <c r="M71" s="220"/>
      <c r="N71" s="221"/>
      <c r="O71" s="122">
        <f t="shared" si="0"/>
        <v>73.060805024265164</v>
      </c>
      <c r="P71" s="123">
        <f t="shared" si="1"/>
        <v>13.140432558321077</v>
      </c>
      <c r="Q71" s="114"/>
      <c r="S71">
        <f t="shared" si="2"/>
        <v>2779.9999999999995</v>
      </c>
      <c r="T71" s="44">
        <f>E71+апр!I71</f>
        <v>0</v>
      </c>
      <c r="U71" s="30">
        <f>F71+апр!J71</f>
        <v>1414.8921679909195</v>
      </c>
    </row>
    <row r="72" spans="1:21" ht="17.25" customHeight="1">
      <c r="A72" s="18" t="s">
        <v>62</v>
      </c>
      <c r="B72" s="20" t="s">
        <v>63</v>
      </c>
      <c r="C72" s="8" t="s">
        <v>4</v>
      </c>
      <c r="D72" s="10">
        <f>D73</f>
        <v>26517.671000000002</v>
      </c>
      <c r="E72" s="8">
        <v>24306.667000000001</v>
      </c>
      <c r="F72" s="10">
        <f>F73</f>
        <v>29701.751999999997</v>
      </c>
      <c r="G72" s="10">
        <f t="shared" si="3"/>
        <v>5395.0849999999955</v>
      </c>
      <c r="H72" s="10">
        <f>H73</f>
        <v>185623.69700000001</v>
      </c>
      <c r="I72" s="8">
        <f>E72+июнь!I72</f>
        <v>170146.66899999999</v>
      </c>
      <c r="J72" s="54">
        <f>F72+июнь!J72</f>
        <v>195475.56599999999</v>
      </c>
      <c r="K72" s="10">
        <f t="shared" si="4"/>
        <v>25328.896999999997</v>
      </c>
      <c r="L72" s="16">
        <f t="shared" si="5"/>
        <v>14.886507710591735</v>
      </c>
      <c r="M72" s="220"/>
      <c r="N72" s="221"/>
      <c r="O72" s="122">
        <f t="shared" si="0"/>
        <v>9851.8689999999769</v>
      </c>
      <c r="P72" s="123">
        <f t="shared" si="1"/>
        <v>5.3074414308211821</v>
      </c>
      <c r="Q72" s="114"/>
      <c r="S72">
        <f t="shared" si="2"/>
        <v>132588.35500000001</v>
      </c>
      <c r="T72" s="44">
        <f>E72+апр!I72</f>
        <v>121533.33500000001</v>
      </c>
      <c r="U72" s="30">
        <f>F72+апр!J72</f>
        <v>135914.33000000002</v>
      </c>
    </row>
    <row r="73" spans="1:21" ht="17.25" customHeight="1">
      <c r="A73" s="8"/>
      <c r="B73" s="28" t="s">
        <v>64</v>
      </c>
      <c r="C73" s="8" t="s">
        <v>4</v>
      </c>
      <c r="D73" s="10">
        <f>D75+D78+D81+D84</f>
        <v>26517.671000000002</v>
      </c>
      <c r="E73" s="10">
        <f t="shared" ref="E73:F73" si="42">E75+E78+E81+E84</f>
        <v>0</v>
      </c>
      <c r="F73" s="54">
        <f t="shared" si="42"/>
        <v>29701.751999999997</v>
      </c>
      <c r="G73" s="10">
        <f t="shared" si="3"/>
        <v>29701.751999999997</v>
      </c>
      <c r="H73" s="10">
        <f>H75+H78+H81+H84</f>
        <v>185623.69700000001</v>
      </c>
      <c r="I73" s="10">
        <f t="shared" ref="I73:J74" si="43">I75+I78+I81+I84</f>
        <v>0</v>
      </c>
      <c r="J73" s="10">
        <f t="shared" si="43"/>
        <v>168243.473</v>
      </c>
      <c r="K73" s="10">
        <f t="shared" si="4"/>
        <v>168243.473</v>
      </c>
      <c r="L73" s="16"/>
      <c r="M73" s="220"/>
      <c r="N73" s="221"/>
      <c r="O73" s="122">
        <f t="shared" ref="O73:O87" si="44">J73-H73</f>
        <v>-17380.224000000017</v>
      </c>
      <c r="P73" s="123">
        <f t="shared" ref="P73:P87" si="45">O73/H73*100</f>
        <v>-9.3631493612585555</v>
      </c>
      <c r="Q73" s="114"/>
      <c r="S73">
        <f t="shared" ref="S73:S136" si="46">D73*5</f>
        <v>132588.35500000001</v>
      </c>
      <c r="T73" s="44">
        <f>E73+апр!I73</f>
        <v>0</v>
      </c>
      <c r="U73" s="30">
        <f>F73+апр!J73</f>
        <v>108682.23699999999</v>
      </c>
    </row>
    <row r="74" spans="1:21" ht="17.25" customHeight="1">
      <c r="A74" s="8"/>
      <c r="B74" s="28" t="s">
        <v>65</v>
      </c>
      <c r="C74" s="22" t="s">
        <v>66</v>
      </c>
      <c r="D74" s="14">
        <f t="shared" ref="D74:F74" si="47">D76+D79+D82+D85</f>
        <v>1280770</v>
      </c>
      <c r="E74" s="14">
        <f t="shared" si="47"/>
        <v>0</v>
      </c>
      <c r="F74" s="14">
        <f t="shared" si="47"/>
        <v>1441782</v>
      </c>
      <c r="G74" s="14">
        <f t="shared" si="3"/>
        <v>1441782</v>
      </c>
      <c r="H74" s="14">
        <f t="shared" ref="H74" si="48">H76+H79+H82+H85</f>
        <v>8965390</v>
      </c>
      <c r="I74" s="59"/>
      <c r="J74" s="14">
        <f t="shared" si="43"/>
        <v>8181135.54</v>
      </c>
      <c r="K74" s="10">
        <f t="shared" si="4"/>
        <v>8181135.54</v>
      </c>
      <c r="L74" s="16"/>
      <c r="M74" s="220"/>
      <c r="N74" s="221"/>
      <c r="O74" s="122">
        <f t="shared" si="44"/>
        <v>-784254.46</v>
      </c>
      <c r="P74" s="123">
        <f t="shared" si="45"/>
        <v>-8.7475777406225497</v>
      </c>
      <c r="Q74" s="114"/>
      <c r="S74">
        <f t="shared" si="46"/>
        <v>6403850</v>
      </c>
      <c r="T74" s="44">
        <f>E74+апр!I74</f>
        <v>0</v>
      </c>
      <c r="U74" s="30">
        <f>F74+апр!J74</f>
        <v>5294888.1899999995</v>
      </c>
    </row>
    <row r="75" spans="1:21" ht="36" customHeight="1">
      <c r="A75" s="8"/>
      <c r="B75" s="12" t="s">
        <v>67</v>
      </c>
      <c r="C75" s="8" t="s">
        <v>4</v>
      </c>
      <c r="D75" s="10">
        <v>1338.4829999999999</v>
      </c>
      <c r="E75" s="8"/>
      <c r="F75" s="55">
        <v>2086.2399999999998</v>
      </c>
      <c r="G75" s="10">
        <f t="shared" ref="G75:G141" si="49">F75-E75</f>
        <v>2086.2399999999998</v>
      </c>
      <c r="H75" s="10">
        <f>D75+июнь!H75</f>
        <v>9369.3809999999994</v>
      </c>
      <c r="I75" s="8"/>
      <c r="J75" s="54">
        <f>F75+июнь!J75</f>
        <v>12699.406999999999</v>
      </c>
      <c r="K75" s="10">
        <f t="shared" ref="K75:K142" si="50">J75-I75</f>
        <v>12699.406999999999</v>
      </c>
      <c r="L75" s="16"/>
      <c r="M75" s="220"/>
      <c r="N75" s="221"/>
      <c r="O75" s="122">
        <f t="shared" si="44"/>
        <v>3330.0259999999998</v>
      </c>
      <c r="P75" s="123">
        <f t="shared" si="45"/>
        <v>35.541579534443095</v>
      </c>
      <c r="Q75" s="114"/>
      <c r="S75">
        <f t="shared" si="46"/>
        <v>6692.415</v>
      </c>
      <c r="T75" s="44">
        <f>E75+апр!I75</f>
        <v>0</v>
      </c>
      <c r="U75" s="30">
        <f>F75+апр!J75</f>
        <v>8713.4140000000007</v>
      </c>
    </row>
    <row r="76" spans="1:21" ht="17.25" customHeight="1">
      <c r="A76" s="8"/>
      <c r="B76" s="12" t="s">
        <v>68</v>
      </c>
      <c r="C76" s="22" t="s">
        <v>66</v>
      </c>
      <c r="D76" s="14">
        <v>68465</v>
      </c>
      <c r="E76" s="22"/>
      <c r="F76" s="59">
        <v>107491</v>
      </c>
      <c r="G76" s="14">
        <f t="shared" si="49"/>
        <v>107491</v>
      </c>
      <c r="H76" s="10">
        <f>D76+июнь!H76</f>
        <v>479255</v>
      </c>
      <c r="I76" s="59"/>
      <c r="J76" s="54">
        <f>F76+июнь!J76</f>
        <v>654748.54</v>
      </c>
      <c r="K76" s="10">
        <f t="shared" si="50"/>
        <v>654748.54</v>
      </c>
      <c r="L76" s="16"/>
      <c r="M76" s="220"/>
      <c r="N76" s="221"/>
      <c r="O76" s="122">
        <f t="shared" si="44"/>
        <v>175493.54000000004</v>
      </c>
      <c r="P76" s="123">
        <f t="shared" si="45"/>
        <v>36.61798833606327</v>
      </c>
      <c r="Q76" s="114"/>
      <c r="S76">
        <f t="shared" si="46"/>
        <v>342325</v>
      </c>
      <c r="T76" s="44">
        <f>E76+апр!I76</f>
        <v>0</v>
      </c>
      <c r="U76" s="30">
        <f>F76+апр!J76</f>
        <v>452926.19</v>
      </c>
    </row>
    <row r="77" spans="1:21" ht="17.25" customHeight="1">
      <c r="A77" s="8"/>
      <c r="B77" s="12" t="s">
        <v>15</v>
      </c>
      <c r="C77" s="13" t="s">
        <v>16</v>
      </c>
      <c r="D77" s="16">
        <f>D75/D76*1000</f>
        <v>19.54988680347623</v>
      </c>
      <c r="E77" s="16"/>
      <c r="F77" s="16">
        <f t="shared" ref="F77" si="51">F75/F76*1000</f>
        <v>19.40850861932627</v>
      </c>
      <c r="G77" s="10">
        <f t="shared" si="49"/>
        <v>19.40850861932627</v>
      </c>
      <c r="H77" s="16">
        <f>H75/H76*1000</f>
        <v>19.54988680347623</v>
      </c>
      <c r="I77" s="8"/>
      <c r="J77" s="13"/>
      <c r="K77" s="10">
        <f t="shared" si="50"/>
        <v>0</v>
      </c>
      <c r="L77" s="16"/>
      <c r="M77" s="220"/>
      <c r="N77" s="221"/>
      <c r="O77" s="122">
        <f t="shared" si="44"/>
        <v>-19.54988680347623</v>
      </c>
      <c r="P77" s="123">
        <f t="shared" si="45"/>
        <v>-100</v>
      </c>
      <c r="Q77" s="114"/>
      <c r="S77">
        <f t="shared" si="46"/>
        <v>97.749434017381148</v>
      </c>
      <c r="T77" s="44">
        <f>E77+апр!I77</f>
        <v>0</v>
      </c>
      <c r="U77" s="30">
        <f>F77+апр!J77</f>
        <v>19.40850861932627</v>
      </c>
    </row>
    <row r="78" spans="1:21" ht="55.5" customHeight="1">
      <c r="A78" s="8"/>
      <c r="B78" s="12" t="s">
        <v>69</v>
      </c>
      <c r="C78" s="8" t="s">
        <v>4</v>
      </c>
      <c r="D78" s="10">
        <v>1253.6469999999999</v>
      </c>
      <c r="E78" s="8"/>
      <c r="F78" s="54">
        <v>4119.8109999999997</v>
      </c>
      <c r="G78" s="10">
        <f t="shared" si="49"/>
        <v>4119.8109999999997</v>
      </c>
      <c r="H78" s="10">
        <f>D78+июнь!H78</f>
        <v>8775.5289999999986</v>
      </c>
      <c r="I78" s="8"/>
      <c r="J78" s="54">
        <f>F78+июнь!J78</f>
        <v>11479.412</v>
      </c>
      <c r="K78" s="10">
        <f t="shared" si="50"/>
        <v>11479.412</v>
      </c>
      <c r="L78" s="16"/>
      <c r="M78" s="220"/>
      <c r="N78" s="221"/>
      <c r="O78" s="122">
        <f t="shared" si="44"/>
        <v>2703.8830000000016</v>
      </c>
      <c r="P78" s="123">
        <f t="shared" si="45"/>
        <v>30.811624005800699</v>
      </c>
      <c r="Q78" s="114"/>
      <c r="S78">
        <f t="shared" si="46"/>
        <v>6268.2349999999997</v>
      </c>
      <c r="T78" s="44">
        <f>E78+апр!I78</f>
        <v>0</v>
      </c>
      <c r="U78" s="30">
        <f>F78+апр!J78</f>
        <v>9173.994999999999</v>
      </c>
    </row>
    <row r="79" spans="1:21" ht="17.25" customHeight="1">
      <c r="A79" s="8"/>
      <c r="B79" s="12" t="s">
        <v>68</v>
      </c>
      <c r="C79" s="22" t="s">
        <v>66</v>
      </c>
      <c r="D79" s="14">
        <v>63799</v>
      </c>
      <c r="E79" s="22"/>
      <c r="F79" s="59">
        <v>208598</v>
      </c>
      <c r="G79" s="14">
        <f t="shared" si="49"/>
        <v>208598</v>
      </c>
      <c r="H79" s="10">
        <f>D79+июнь!H79</f>
        <v>446593</v>
      </c>
      <c r="I79" s="59"/>
      <c r="J79" s="54">
        <f>F79+июнь!J79</f>
        <v>581324</v>
      </c>
      <c r="K79" s="10">
        <f t="shared" si="50"/>
        <v>581324</v>
      </c>
      <c r="L79" s="16"/>
      <c r="M79" s="220"/>
      <c r="N79" s="221"/>
      <c r="O79" s="122">
        <f t="shared" si="44"/>
        <v>134731</v>
      </c>
      <c r="P79" s="123">
        <f t="shared" si="45"/>
        <v>30.168632289355184</v>
      </c>
      <c r="Q79" s="114"/>
      <c r="S79">
        <f t="shared" si="46"/>
        <v>318995</v>
      </c>
      <c r="T79" s="44">
        <f>E79+апр!I79</f>
        <v>0</v>
      </c>
      <c r="U79" s="30">
        <f>F79+апр!J79</f>
        <v>464594</v>
      </c>
    </row>
    <row r="80" spans="1:21" ht="17.25" customHeight="1">
      <c r="A80" s="8"/>
      <c r="B80" s="12" t="s">
        <v>15</v>
      </c>
      <c r="C80" s="13" t="s">
        <v>16</v>
      </c>
      <c r="D80" s="16">
        <f>D78/D79*1000</f>
        <v>19.649947491339987</v>
      </c>
      <c r="E80" s="16"/>
      <c r="F80" s="16">
        <f t="shared" ref="F80" si="52">F78/F79*1000</f>
        <v>19.750002396954905</v>
      </c>
      <c r="G80" s="10">
        <f t="shared" si="49"/>
        <v>19.750002396954905</v>
      </c>
      <c r="H80" s="16">
        <f>H78/H79*1000</f>
        <v>19.649947491339987</v>
      </c>
      <c r="I80" s="8"/>
      <c r="J80" s="13"/>
      <c r="K80" s="10">
        <f t="shared" si="50"/>
        <v>0</v>
      </c>
      <c r="L80" s="16"/>
      <c r="M80" s="220"/>
      <c r="N80" s="221"/>
      <c r="O80" s="122">
        <f t="shared" si="44"/>
        <v>-19.649947491339987</v>
      </c>
      <c r="P80" s="123">
        <f t="shared" si="45"/>
        <v>-100</v>
      </c>
      <c r="Q80" s="114"/>
      <c r="S80">
        <f t="shared" si="46"/>
        <v>98.249737456699933</v>
      </c>
      <c r="T80" s="44">
        <f>E80+апр!I80</f>
        <v>0</v>
      </c>
      <c r="U80" s="30">
        <f>F80+апр!J80</f>
        <v>19.750002396954905</v>
      </c>
    </row>
    <row r="81" spans="1:21" ht="36" customHeight="1">
      <c r="A81" s="8"/>
      <c r="B81" s="12" t="s">
        <v>70</v>
      </c>
      <c r="C81" s="8" t="s">
        <v>4</v>
      </c>
      <c r="D81" s="10">
        <v>3651.203</v>
      </c>
      <c r="E81" s="8"/>
      <c r="F81" s="55">
        <v>1088.817</v>
      </c>
      <c r="G81" s="10">
        <f t="shared" si="49"/>
        <v>1088.817</v>
      </c>
      <c r="H81" s="10">
        <f>D81+июнь!H81</f>
        <v>25558.421000000002</v>
      </c>
      <c r="I81" s="8"/>
      <c r="J81" s="54">
        <f>F81+июнь!J81</f>
        <v>21683.427</v>
      </c>
      <c r="K81" s="10">
        <f t="shared" si="50"/>
        <v>21683.427</v>
      </c>
      <c r="L81" s="16"/>
      <c r="M81" s="220"/>
      <c r="N81" s="221"/>
      <c r="O81" s="122">
        <f t="shared" si="44"/>
        <v>-3874.9940000000024</v>
      </c>
      <c r="P81" s="123">
        <f t="shared" si="45"/>
        <v>-15.161320020513013</v>
      </c>
      <c r="Q81" s="114"/>
      <c r="S81">
        <f t="shared" si="46"/>
        <v>18256.014999999999</v>
      </c>
      <c r="T81" s="44">
        <f>E81+апр!I81</f>
        <v>0</v>
      </c>
      <c r="U81" s="30">
        <f>F81+апр!J81</f>
        <v>13782.913</v>
      </c>
    </row>
    <row r="82" spans="1:21" ht="17.25" customHeight="1">
      <c r="A82" s="8"/>
      <c r="B82" s="12" t="s">
        <v>68</v>
      </c>
      <c r="C82" s="22" t="s">
        <v>66</v>
      </c>
      <c r="D82" s="14">
        <v>185812</v>
      </c>
      <c r="E82" s="22"/>
      <c r="F82" s="59">
        <v>55130</v>
      </c>
      <c r="G82" s="14">
        <v>5230.0569999999998</v>
      </c>
      <c r="H82" s="10">
        <f>D82+июнь!H82</f>
        <v>1300684</v>
      </c>
      <c r="I82" s="59"/>
      <c r="J82" s="54">
        <f>F82+июнь!J82</f>
        <v>1097895</v>
      </c>
      <c r="K82" s="10">
        <f t="shared" si="50"/>
        <v>1097895</v>
      </c>
      <c r="L82" s="16"/>
      <c r="M82" s="220"/>
      <c r="N82" s="221"/>
      <c r="O82" s="122">
        <f t="shared" si="44"/>
        <v>-202789</v>
      </c>
      <c r="P82" s="123">
        <f t="shared" si="45"/>
        <v>-15.590950607526501</v>
      </c>
      <c r="Q82" s="114"/>
      <c r="S82">
        <f t="shared" si="46"/>
        <v>929060</v>
      </c>
      <c r="T82" s="44">
        <f>E82+апр!I82</f>
        <v>0</v>
      </c>
      <c r="U82" s="30">
        <f>F82+апр!J82</f>
        <v>697869</v>
      </c>
    </row>
    <row r="83" spans="1:21" ht="17.25" customHeight="1">
      <c r="A83" s="8"/>
      <c r="B83" s="12" t="s">
        <v>15</v>
      </c>
      <c r="C83" s="13" t="s">
        <v>16</v>
      </c>
      <c r="D83" s="16">
        <f>D81/D82*1000</f>
        <v>19.64998493100553</v>
      </c>
      <c r="E83" s="16"/>
      <c r="F83" s="16">
        <f t="shared" ref="F83" si="53">F81/F82*1000</f>
        <v>19.749990930527844</v>
      </c>
      <c r="G83" s="10">
        <f t="shared" si="49"/>
        <v>19.749990930527844</v>
      </c>
      <c r="H83" s="16">
        <f>H81/H82*1000</f>
        <v>19.649984931005534</v>
      </c>
      <c r="I83" s="8"/>
      <c r="J83" s="13"/>
      <c r="K83" s="10">
        <f t="shared" si="50"/>
        <v>0</v>
      </c>
      <c r="L83" s="16"/>
      <c r="M83" s="220"/>
      <c r="N83" s="221"/>
      <c r="O83" s="122">
        <f t="shared" si="44"/>
        <v>-19.649984931005534</v>
      </c>
      <c r="P83" s="123">
        <f t="shared" si="45"/>
        <v>-100</v>
      </c>
      <c r="Q83" s="114"/>
      <c r="S83">
        <f t="shared" si="46"/>
        <v>98.249924655027655</v>
      </c>
      <c r="T83" s="44">
        <f>E83+апр!I83</f>
        <v>0</v>
      </c>
      <c r="U83" s="30">
        <f>F83+апр!J83</f>
        <v>19.749990930527844</v>
      </c>
    </row>
    <row r="84" spans="1:21" ht="17.25" customHeight="1">
      <c r="A84" s="8"/>
      <c r="B84" s="12" t="s">
        <v>71</v>
      </c>
      <c r="C84" s="8" t="s">
        <v>4</v>
      </c>
      <c r="D84" s="10">
        <v>20274.338</v>
      </c>
      <c r="E84" s="8"/>
      <c r="F84" s="55">
        <v>22406.883999999998</v>
      </c>
      <c r="G84" s="10">
        <f t="shared" si="49"/>
        <v>22406.883999999998</v>
      </c>
      <c r="H84" s="10">
        <f>D84+июнь!H84</f>
        <v>141920.36600000001</v>
      </c>
      <c r="I84" s="8"/>
      <c r="J84" s="54">
        <f>F84+июнь!J84</f>
        <v>122381.22700000001</v>
      </c>
      <c r="K84" s="10">
        <f t="shared" si="50"/>
        <v>122381.22700000001</v>
      </c>
      <c r="L84" s="16"/>
      <c r="M84" s="233" t="s">
        <v>297</v>
      </c>
      <c r="N84" s="234"/>
      <c r="O84" s="122">
        <f t="shared" si="44"/>
        <v>-19539.138999999996</v>
      </c>
      <c r="P84" s="123">
        <f t="shared" si="45"/>
        <v>-13.767677994855223</v>
      </c>
      <c r="Q84" s="115"/>
      <c r="S84">
        <f t="shared" si="46"/>
        <v>101371.69</v>
      </c>
      <c r="T84" s="44">
        <f>E84+апр!I84</f>
        <v>0</v>
      </c>
      <c r="U84" s="30">
        <f>F84+апр!J84</f>
        <v>77011.915000000008</v>
      </c>
    </row>
    <row r="85" spans="1:21" ht="26.25" customHeight="1">
      <c r="A85" s="8"/>
      <c r="B85" s="12" t="s">
        <v>68</v>
      </c>
      <c r="C85" s="22" t="s">
        <v>66</v>
      </c>
      <c r="D85" s="14">
        <v>962694</v>
      </c>
      <c r="E85" s="22"/>
      <c r="F85" s="59">
        <v>1070563</v>
      </c>
      <c r="G85" s="14">
        <f t="shared" si="49"/>
        <v>1070563</v>
      </c>
      <c r="H85" s="10">
        <f>D85+июнь!H85</f>
        <v>6738858</v>
      </c>
      <c r="I85" s="59"/>
      <c r="J85" s="54">
        <f>F85+июнь!J85</f>
        <v>5847168</v>
      </c>
      <c r="K85" s="10">
        <f t="shared" si="50"/>
        <v>5847168</v>
      </c>
      <c r="L85" s="16"/>
      <c r="M85" s="235"/>
      <c r="N85" s="236"/>
      <c r="O85" s="122">
        <f t="shared" si="44"/>
        <v>-891690</v>
      </c>
      <c r="P85" s="123">
        <f t="shared" si="45"/>
        <v>-13.232063949114226</v>
      </c>
      <c r="Q85" s="115"/>
      <c r="S85">
        <f t="shared" si="46"/>
        <v>4813470</v>
      </c>
      <c r="T85" s="44">
        <f>E85+апр!I85</f>
        <v>0</v>
      </c>
      <c r="U85" s="30">
        <f>F85+апр!J85</f>
        <v>3679499</v>
      </c>
    </row>
    <row r="86" spans="1:21" ht="17.25" customHeight="1">
      <c r="A86" s="8"/>
      <c r="B86" s="12" t="s">
        <v>15</v>
      </c>
      <c r="C86" s="13" t="s">
        <v>16</v>
      </c>
      <c r="D86" s="16">
        <f>D84/D85*1000</f>
        <v>21.06000245145394</v>
      </c>
      <c r="E86" s="16"/>
      <c r="F86" s="16">
        <f t="shared" ref="F86" si="54">F84/F85*1000</f>
        <v>20.930000382976058</v>
      </c>
      <c r="G86" s="10">
        <f t="shared" si="49"/>
        <v>20.930000382976058</v>
      </c>
      <c r="H86" s="16">
        <f>H84/H85*1000</f>
        <v>21.06000245145394</v>
      </c>
      <c r="I86" s="8"/>
      <c r="J86" s="13"/>
      <c r="K86" s="10">
        <f t="shared" si="50"/>
        <v>0</v>
      </c>
      <c r="L86" s="16"/>
      <c r="M86" s="220"/>
      <c r="N86" s="221"/>
      <c r="O86" s="122">
        <f t="shared" si="44"/>
        <v>-21.06000245145394</v>
      </c>
      <c r="P86" s="123">
        <f t="shared" si="45"/>
        <v>-100</v>
      </c>
      <c r="Q86" s="114"/>
      <c r="S86">
        <f t="shared" si="46"/>
        <v>105.3000122572697</v>
      </c>
      <c r="T86" s="44">
        <f>E86+апр!I86</f>
        <v>0</v>
      </c>
      <c r="U86" s="30">
        <f>F86+апр!J86</f>
        <v>20.930000382976058</v>
      </c>
    </row>
    <row r="87" spans="1:21" ht="17.25" customHeight="1">
      <c r="A87" s="132" t="s">
        <v>72</v>
      </c>
      <c r="B87" s="6" t="s">
        <v>73</v>
      </c>
      <c r="C87" s="132" t="s">
        <v>4</v>
      </c>
      <c r="D87" s="7">
        <f>D88+D89+D90</f>
        <v>22015.745000000003</v>
      </c>
      <c r="E87" s="21">
        <f>E88+E89+E90+E91</f>
        <v>20888.748999999996</v>
      </c>
      <c r="F87" s="7">
        <f>F88+F89+F90+F91+F92</f>
        <v>18432.140999999996</v>
      </c>
      <c r="G87" s="16">
        <f t="shared" si="49"/>
        <v>-2456.6080000000002</v>
      </c>
      <c r="H87" s="7">
        <f>H88+H89+H90</f>
        <v>154110.215</v>
      </c>
      <c r="I87" s="7">
        <f>I88+I89+I90+I91</f>
        <v>146221.24300000002</v>
      </c>
      <c r="J87" s="7">
        <f>J88+J89+J90+J91+J92</f>
        <v>141590.647</v>
      </c>
      <c r="K87" s="10">
        <f t="shared" si="50"/>
        <v>-4630.5960000000196</v>
      </c>
      <c r="L87" s="16">
        <f t="shared" ref="L87:L154" si="55">K87/I87*100</f>
        <v>-3.1668421803800557</v>
      </c>
      <c r="M87" s="220"/>
      <c r="N87" s="221"/>
      <c r="O87" s="122">
        <f t="shared" si="44"/>
        <v>-12519.567999999999</v>
      </c>
      <c r="P87" s="123">
        <f t="shared" si="45"/>
        <v>-8.1237755719177986</v>
      </c>
      <c r="Q87" s="114"/>
      <c r="R87" s="30">
        <f>F88+март!J88+F92+F98+март!J92+март!J98</f>
        <v>74860.83</v>
      </c>
      <c r="S87">
        <f t="shared" si="46"/>
        <v>110078.72500000001</v>
      </c>
      <c r="T87" s="44">
        <f>E87+апр!I87</f>
        <v>104443.74499999998</v>
      </c>
      <c r="U87" s="30">
        <f>F87+апр!J87</f>
        <v>99009.821999999986</v>
      </c>
    </row>
    <row r="88" spans="1:21" ht="17.25" customHeight="1">
      <c r="A88" s="8" t="s">
        <v>74</v>
      </c>
      <c r="B88" s="9" t="s">
        <v>75</v>
      </c>
      <c r="C88" s="8" t="s">
        <v>4</v>
      </c>
      <c r="D88" s="10">
        <v>20032.525000000001</v>
      </c>
      <c r="E88" s="8">
        <v>18751.082999999999</v>
      </c>
      <c r="F88" s="54">
        <f>17266.857-F92-F98</f>
        <v>16547.329999999998</v>
      </c>
      <c r="G88" s="16">
        <f t="shared" si="49"/>
        <v>-2203.7530000000006</v>
      </c>
      <c r="H88" s="10">
        <f>D88+июнь!H88</f>
        <v>140227.67499999999</v>
      </c>
      <c r="I88" s="8">
        <f>E88+июнь!I88</f>
        <v>131257.58100000001</v>
      </c>
      <c r="J88" s="54">
        <f>F88+июнь!J88</f>
        <v>128129.08899999999</v>
      </c>
      <c r="K88" s="10">
        <f t="shared" si="50"/>
        <v>-3128.4920000000129</v>
      </c>
      <c r="L88" s="16">
        <f>K88/I88*100</f>
        <v>-2.3834752828486248</v>
      </c>
      <c r="M88" s="227"/>
      <c r="N88" s="228"/>
      <c r="O88" s="122">
        <f>J88-H88</f>
        <v>-12098.585999999996</v>
      </c>
      <c r="P88" s="123">
        <f>O88/H88*100</f>
        <v>-8.6278161568320932</v>
      </c>
      <c r="Q88" s="116"/>
      <c r="R88" s="30">
        <f>J88+J92+J98</f>
        <v>133047.041</v>
      </c>
      <c r="S88">
        <f t="shared" si="46"/>
        <v>100162.625</v>
      </c>
      <c r="T88" s="44">
        <f>E88+апр!I88</f>
        <v>93755.414999999994</v>
      </c>
      <c r="U88" s="30">
        <f>F88+апр!J88</f>
        <v>89122.202999999994</v>
      </c>
    </row>
    <row r="89" spans="1:21" ht="17.25" customHeight="1">
      <c r="A89" s="8" t="s">
        <v>76</v>
      </c>
      <c r="B89" s="9" t="s">
        <v>77</v>
      </c>
      <c r="C89" s="8" t="s">
        <v>4</v>
      </c>
      <c r="D89" s="10">
        <v>1101.788</v>
      </c>
      <c r="E89" s="8">
        <v>1012.583</v>
      </c>
      <c r="F89" s="54">
        <v>941.86599999999999</v>
      </c>
      <c r="G89" s="10">
        <f t="shared" si="49"/>
        <v>-70.716999999999985</v>
      </c>
      <c r="H89" s="10">
        <f>D89+июнь!H89</f>
        <v>7712.5160000000014</v>
      </c>
      <c r="I89" s="8">
        <f>E89+июнь!I89</f>
        <v>7088.0809999999992</v>
      </c>
      <c r="J89" s="54">
        <f>F89+июнь!J89</f>
        <v>6909.41</v>
      </c>
      <c r="K89" s="10">
        <f t="shared" si="50"/>
        <v>-178.67099999999937</v>
      </c>
      <c r="L89" s="16">
        <f t="shared" si="55"/>
        <v>-2.5207245797557816</v>
      </c>
      <c r="M89" s="227"/>
      <c r="N89" s="228"/>
      <c r="O89" s="122">
        <f t="shared" ref="O89:O147" si="56">J89-H89</f>
        <v>-803.10600000000159</v>
      </c>
      <c r="P89" s="123">
        <f t="shared" ref="P89:P147" si="57">O89/H89*100</f>
        <v>-10.413022157749838</v>
      </c>
      <c r="Q89" s="116"/>
      <c r="S89">
        <f t="shared" si="46"/>
        <v>5508.9400000000005</v>
      </c>
      <c r="T89" s="44">
        <f>E89+апр!I89</f>
        <v>5062.915</v>
      </c>
      <c r="U89" s="30">
        <f>F89+апр!J89</f>
        <v>5023.0640000000003</v>
      </c>
    </row>
    <row r="90" spans="1:21" ht="17.25" customHeight="1">
      <c r="A90" s="8" t="s">
        <v>308</v>
      </c>
      <c r="B90" s="9" t="s">
        <v>307</v>
      </c>
      <c r="C90" s="8" t="s">
        <v>4</v>
      </c>
      <c r="D90" s="10">
        <v>881.43200000000002</v>
      </c>
      <c r="E90" s="8">
        <v>843.83299999999997</v>
      </c>
      <c r="F90" s="55">
        <v>505.73599999999999</v>
      </c>
      <c r="G90" s="10">
        <f t="shared" si="49"/>
        <v>-338.09699999999998</v>
      </c>
      <c r="H90" s="10">
        <f>D90+июнь!H90</f>
        <v>6170.0239999999994</v>
      </c>
      <c r="I90" s="8">
        <f>E90+июнь!I90</f>
        <v>5906.8309999999992</v>
      </c>
      <c r="J90" s="54">
        <f>F90+июнь!J90</f>
        <v>3764.8690000000001</v>
      </c>
      <c r="K90" s="10">
        <f t="shared" si="50"/>
        <v>-2141.9619999999991</v>
      </c>
      <c r="L90" s="16">
        <f t="shared" si="55"/>
        <v>-36.262456129183299</v>
      </c>
      <c r="M90" s="129"/>
      <c r="N90" s="130"/>
      <c r="O90" s="122">
        <f t="shared" si="56"/>
        <v>-2405.1549999999993</v>
      </c>
      <c r="P90" s="123">
        <f t="shared" si="57"/>
        <v>-38.981290834525105</v>
      </c>
      <c r="Q90" s="116"/>
      <c r="S90">
        <f t="shared" si="46"/>
        <v>4407.16</v>
      </c>
      <c r="T90" s="44">
        <f>E90+апр!I90</f>
        <v>4219.165</v>
      </c>
      <c r="U90" s="30">
        <f>F90+апр!J90</f>
        <v>2737.6880000000001</v>
      </c>
    </row>
    <row r="91" spans="1:21" ht="17.25" customHeight="1">
      <c r="A91" s="8" t="s">
        <v>309</v>
      </c>
      <c r="B91" s="9" t="s">
        <v>310</v>
      </c>
      <c r="C91" s="8" t="s">
        <v>4</v>
      </c>
      <c r="D91" s="10"/>
      <c r="E91" s="8">
        <v>281.25</v>
      </c>
      <c r="F91" s="55">
        <v>238.72499999999999</v>
      </c>
      <c r="G91" s="10">
        <f t="shared" si="49"/>
        <v>-42.525000000000006</v>
      </c>
      <c r="H91" s="10">
        <f>D91+июнь!H91</f>
        <v>0</v>
      </c>
      <c r="I91" s="8">
        <f>E91+июнь!I91</f>
        <v>1968.75</v>
      </c>
      <c r="J91" s="54">
        <f>F91+июнь!J91</f>
        <v>1783.4639999999999</v>
      </c>
      <c r="K91" s="10">
        <f t="shared" si="50"/>
        <v>-185.28600000000006</v>
      </c>
      <c r="L91" s="16">
        <f t="shared" si="55"/>
        <v>-9.4113523809523834</v>
      </c>
      <c r="M91" s="129"/>
      <c r="N91" s="130"/>
      <c r="O91" s="122">
        <f t="shared" si="56"/>
        <v>1783.4639999999999</v>
      </c>
      <c r="P91" s="123" t="e">
        <f t="shared" si="57"/>
        <v>#DIV/0!</v>
      </c>
      <c r="Q91" s="116"/>
      <c r="S91">
        <f t="shared" si="46"/>
        <v>0</v>
      </c>
      <c r="T91" s="44">
        <f>E91+апр!I91</f>
        <v>1406.25</v>
      </c>
      <c r="U91" s="30">
        <f>F91+апр!J91</f>
        <v>1297.471</v>
      </c>
    </row>
    <row r="92" spans="1:21" ht="17.25" customHeight="1">
      <c r="A92" s="8"/>
      <c r="B92" s="9" t="s">
        <v>316</v>
      </c>
      <c r="C92" s="8" t="s">
        <v>4</v>
      </c>
      <c r="D92" s="10"/>
      <c r="E92" s="8"/>
      <c r="F92" s="54">
        <v>198.48400000000001</v>
      </c>
      <c r="G92" s="10"/>
      <c r="H92" s="10">
        <f>D92+июнь!H92</f>
        <v>0</v>
      </c>
      <c r="I92" s="8">
        <f>E92+июнь!I92</f>
        <v>0</v>
      </c>
      <c r="J92" s="54">
        <f>F92+июнь!J92</f>
        <v>1003.8149999999999</v>
      </c>
      <c r="K92" s="10"/>
      <c r="L92" s="16"/>
      <c r="M92" s="129"/>
      <c r="N92" s="130"/>
      <c r="O92" s="122">
        <f t="shared" si="56"/>
        <v>1003.8149999999999</v>
      </c>
      <c r="P92" s="123" t="e">
        <f t="shared" si="57"/>
        <v>#DIV/0!</v>
      </c>
      <c r="Q92" s="116"/>
      <c r="S92">
        <f t="shared" si="46"/>
        <v>0</v>
      </c>
      <c r="T92" s="44">
        <f>E92+апр!I92</f>
        <v>0</v>
      </c>
      <c r="U92" s="30">
        <f>F92+апр!J92</f>
        <v>829.39599999999996</v>
      </c>
    </row>
    <row r="93" spans="1:21" ht="17.25" customHeight="1">
      <c r="A93" s="132" t="s">
        <v>78</v>
      </c>
      <c r="B93" s="6" t="s">
        <v>79</v>
      </c>
      <c r="C93" s="132" t="s">
        <v>4</v>
      </c>
      <c r="D93" s="7">
        <f>D94</f>
        <v>12258.85</v>
      </c>
      <c r="E93" s="21">
        <f>E94</f>
        <v>12219.75</v>
      </c>
      <c r="F93" s="7">
        <f>F94</f>
        <v>15426.851000000001</v>
      </c>
      <c r="G93" s="10">
        <f t="shared" si="49"/>
        <v>3207.1010000000006</v>
      </c>
      <c r="H93" s="7">
        <f>H94</f>
        <v>85811.950000000012</v>
      </c>
      <c r="I93" s="21">
        <f>I94</f>
        <v>85538.25</v>
      </c>
      <c r="J93" s="7">
        <f>J94</f>
        <v>88878.517999999996</v>
      </c>
      <c r="K93" s="10">
        <f t="shared" si="50"/>
        <v>3340.2679999999964</v>
      </c>
      <c r="L93" s="16">
        <f t="shared" si="55"/>
        <v>3.9049992254926851</v>
      </c>
      <c r="M93" s="220"/>
      <c r="N93" s="221"/>
      <c r="O93" s="122">
        <f t="shared" si="56"/>
        <v>3066.5679999999847</v>
      </c>
      <c r="P93" s="123">
        <f t="shared" si="57"/>
        <v>3.5735908576835564</v>
      </c>
      <c r="Q93" s="114"/>
      <c r="S93">
        <f t="shared" si="46"/>
        <v>61294.25</v>
      </c>
      <c r="T93" s="44">
        <f>E93+апр!I93</f>
        <v>61098.75</v>
      </c>
      <c r="U93" s="30">
        <f>F93+апр!J93</f>
        <v>59800.538999999997</v>
      </c>
    </row>
    <row r="94" spans="1:21" ht="17.25" customHeight="1">
      <c r="A94" s="23" t="s">
        <v>80</v>
      </c>
      <c r="B94" s="9" t="s">
        <v>81</v>
      </c>
      <c r="C94" s="8" t="s">
        <v>4</v>
      </c>
      <c r="D94" s="10">
        <v>12258.85</v>
      </c>
      <c r="E94" s="8">
        <v>12219.75</v>
      </c>
      <c r="F94" s="55">
        <v>15426.851000000001</v>
      </c>
      <c r="G94" s="10">
        <f t="shared" si="49"/>
        <v>3207.1010000000006</v>
      </c>
      <c r="H94" s="10">
        <f>D94+июнь!H94</f>
        <v>85811.950000000012</v>
      </c>
      <c r="I94" s="8">
        <f>E94+июнь!I94</f>
        <v>85538.25</v>
      </c>
      <c r="J94" s="54">
        <f>F94+июнь!J94</f>
        <v>88878.517999999996</v>
      </c>
      <c r="K94" s="10">
        <f t="shared" si="50"/>
        <v>3340.2679999999964</v>
      </c>
      <c r="L94" s="16">
        <f t="shared" si="55"/>
        <v>3.9049992254926851</v>
      </c>
      <c r="M94" s="220"/>
      <c r="N94" s="221"/>
      <c r="O94" s="122">
        <f t="shared" si="56"/>
        <v>3066.5679999999847</v>
      </c>
      <c r="P94" s="123">
        <f t="shared" si="57"/>
        <v>3.5735908576835564</v>
      </c>
      <c r="Q94" s="114"/>
      <c r="S94">
        <f t="shared" si="46"/>
        <v>61294.25</v>
      </c>
      <c r="T94" s="44">
        <f>E94+апр!I94</f>
        <v>61098.75</v>
      </c>
      <c r="U94" s="30">
        <f>F94+апр!J94</f>
        <v>59800.538999999997</v>
      </c>
    </row>
    <row r="95" spans="1:21" ht="17.25" customHeight="1">
      <c r="A95" s="132" t="s">
        <v>82</v>
      </c>
      <c r="B95" s="6" t="s">
        <v>83</v>
      </c>
      <c r="C95" s="132" t="s">
        <v>4</v>
      </c>
      <c r="D95" s="7">
        <f t="shared" ref="D95:J95" si="58">D96</f>
        <v>588.22500000000002</v>
      </c>
      <c r="E95" s="7">
        <f t="shared" si="58"/>
        <v>291.66699999999997</v>
      </c>
      <c r="F95" s="7">
        <f>F96</f>
        <v>71.614999999999995</v>
      </c>
      <c r="G95" s="10">
        <f t="shared" si="49"/>
        <v>-220.05199999999996</v>
      </c>
      <c r="H95" s="7">
        <f t="shared" si="58"/>
        <v>4117.5749999999998</v>
      </c>
      <c r="I95" s="7">
        <f t="shared" si="58"/>
        <v>2041.6689999999996</v>
      </c>
      <c r="J95" s="7">
        <f t="shared" si="58"/>
        <v>128.637</v>
      </c>
      <c r="K95" s="10">
        <f t="shared" si="50"/>
        <v>-1913.0319999999997</v>
      </c>
      <c r="L95" s="16">
        <f t="shared" si="55"/>
        <v>-93.699419445561446</v>
      </c>
      <c r="M95" s="220"/>
      <c r="N95" s="221"/>
      <c r="O95" s="122">
        <f t="shared" si="56"/>
        <v>-3988.9379999999996</v>
      </c>
      <c r="P95" s="123">
        <f t="shared" si="57"/>
        <v>-96.875903899746817</v>
      </c>
      <c r="Q95" s="114"/>
      <c r="S95">
        <f t="shared" si="46"/>
        <v>2941.125</v>
      </c>
      <c r="T95" s="44">
        <f>E95+апр!I95</f>
        <v>1458.3349999999998</v>
      </c>
      <c r="U95" s="30">
        <f>F95+апр!J95</f>
        <v>72.384</v>
      </c>
    </row>
    <row r="96" spans="1:21" ht="54" customHeight="1">
      <c r="A96" s="8" t="s">
        <v>84</v>
      </c>
      <c r="B96" s="9" t="s">
        <v>85</v>
      </c>
      <c r="C96" s="8" t="s">
        <v>4</v>
      </c>
      <c r="D96" s="10">
        <v>588.22500000000002</v>
      </c>
      <c r="E96" s="8">
        <v>291.66699999999997</v>
      </c>
      <c r="F96" s="55">
        <v>71.614999999999995</v>
      </c>
      <c r="G96" s="10">
        <f t="shared" si="49"/>
        <v>-220.05199999999996</v>
      </c>
      <c r="H96" s="10">
        <f>D96+июнь!H96</f>
        <v>4117.5749999999998</v>
      </c>
      <c r="I96" s="8">
        <f>E96+июнь!I96</f>
        <v>2041.6689999999996</v>
      </c>
      <c r="J96" s="54">
        <f>F96+июнь!J96</f>
        <v>128.637</v>
      </c>
      <c r="K96" s="10">
        <f t="shared" si="50"/>
        <v>-1913.0319999999997</v>
      </c>
      <c r="L96" s="16">
        <f t="shared" si="55"/>
        <v>-93.699419445561446</v>
      </c>
      <c r="M96" s="227" t="s">
        <v>299</v>
      </c>
      <c r="N96" s="228"/>
      <c r="O96" s="122">
        <f t="shared" si="56"/>
        <v>-3988.9379999999996</v>
      </c>
      <c r="P96" s="123">
        <f t="shared" si="57"/>
        <v>-96.875903899746817</v>
      </c>
      <c r="Q96" s="116"/>
      <c r="S96">
        <f t="shared" si="46"/>
        <v>2941.125</v>
      </c>
      <c r="T96" s="44">
        <f>E96+апр!I96</f>
        <v>1458.3349999999998</v>
      </c>
      <c r="U96" s="30">
        <f>F96+апр!J96</f>
        <v>72.384</v>
      </c>
    </row>
    <row r="97" spans="1:21" ht="17.25" customHeight="1">
      <c r="A97" s="132" t="s">
        <v>86</v>
      </c>
      <c r="B97" s="6" t="s">
        <v>87</v>
      </c>
      <c r="C97" s="132" t="s">
        <v>4</v>
      </c>
      <c r="D97" s="7">
        <f t="shared" ref="D97" si="59">D98+D99+D103+D104+D109+D110</f>
        <v>2575.1889999999999</v>
      </c>
      <c r="E97" s="7">
        <f>E98+E99+E103+E104+E109+E110</f>
        <v>2562.3330000000001</v>
      </c>
      <c r="F97" s="7">
        <f>F98+F99+F103+F104+F109+F110</f>
        <v>2120.9139999999998</v>
      </c>
      <c r="G97" s="10">
        <f t="shared" si="49"/>
        <v>-441.41900000000032</v>
      </c>
      <c r="H97" s="7">
        <f t="shared" ref="H97" si="60">H98+H99+H103+H104+H109+H110</f>
        <v>18026.323</v>
      </c>
      <c r="I97" s="7">
        <f>I98+I99+I103+I104+I109+I110</f>
        <v>17934.998</v>
      </c>
      <c r="J97" s="7">
        <f>J98+J99+J103+J104+J109+J110</f>
        <v>18014.817500000001</v>
      </c>
      <c r="K97" s="10">
        <f t="shared" si="50"/>
        <v>79.819500000001426</v>
      </c>
      <c r="L97" s="16">
        <f t="shared" si="55"/>
        <v>0.44504883691652175</v>
      </c>
      <c r="M97" s="220"/>
      <c r="N97" s="221"/>
      <c r="O97" s="122">
        <f t="shared" si="56"/>
        <v>-11.505499999999302</v>
      </c>
      <c r="P97" s="123">
        <f t="shared" si="57"/>
        <v>-6.3826105856415086E-2</v>
      </c>
      <c r="Q97" s="114"/>
      <c r="S97">
        <f t="shared" si="46"/>
        <v>12875.945</v>
      </c>
      <c r="T97" s="44">
        <f>E97+апр!I97</f>
        <v>12811.665000000001</v>
      </c>
      <c r="U97" s="30">
        <f>F97+апр!J97</f>
        <v>12013.2065</v>
      </c>
    </row>
    <row r="98" spans="1:21" ht="17.25" customHeight="1">
      <c r="A98" s="8" t="s">
        <v>88</v>
      </c>
      <c r="B98" s="9" t="s">
        <v>89</v>
      </c>
      <c r="C98" s="8" t="s">
        <v>4</v>
      </c>
      <c r="D98" s="10">
        <v>626.41700000000003</v>
      </c>
      <c r="E98" s="8">
        <v>543.08299999999997</v>
      </c>
      <c r="F98" s="54">
        <v>521.04300000000001</v>
      </c>
      <c r="G98" s="10">
        <f t="shared" si="49"/>
        <v>-22.039999999999964</v>
      </c>
      <c r="H98" s="10">
        <f>D98+июнь!H98</f>
        <v>4384.9189999999999</v>
      </c>
      <c r="I98" s="8">
        <f>E98+июнь!I98</f>
        <v>3801.5810000000001</v>
      </c>
      <c r="J98" s="54">
        <f>F98+июнь!J98</f>
        <v>3914.1370000000002</v>
      </c>
      <c r="K98" s="10">
        <f t="shared" si="50"/>
        <v>112.55600000000004</v>
      </c>
      <c r="L98" s="16">
        <f t="shared" si="55"/>
        <v>2.9607681646136181</v>
      </c>
      <c r="M98" s="227" t="s">
        <v>298</v>
      </c>
      <c r="N98" s="228"/>
      <c r="O98" s="122">
        <f t="shared" si="56"/>
        <v>-470.7819999999997</v>
      </c>
      <c r="P98" s="123">
        <f t="shared" si="57"/>
        <v>-10.73638988542319</v>
      </c>
      <c r="Q98" s="116"/>
      <c r="S98">
        <f t="shared" si="46"/>
        <v>3132.085</v>
      </c>
      <c r="T98" s="44">
        <f>E98+апр!I98</f>
        <v>2715.415</v>
      </c>
      <c r="U98" s="30">
        <f>F98+апр!J98</f>
        <v>2811.4450000000002</v>
      </c>
    </row>
    <row r="99" spans="1:21" ht="53.25" customHeight="1">
      <c r="A99" s="8" t="s">
        <v>90</v>
      </c>
      <c r="B99" s="20" t="s">
        <v>242</v>
      </c>
      <c r="C99" s="8" t="s">
        <v>4</v>
      </c>
      <c r="D99" s="10">
        <f t="shared" ref="D99:F99" si="61">D100+D101+D102</f>
        <v>107.703</v>
      </c>
      <c r="E99" s="8">
        <v>107.667</v>
      </c>
      <c r="F99" s="10">
        <f t="shared" si="61"/>
        <v>0</v>
      </c>
      <c r="G99" s="10">
        <f t="shared" si="49"/>
        <v>-107.667</v>
      </c>
      <c r="H99" s="10">
        <f t="shared" ref="H99" si="62">H100+H101+H102</f>
        <v>753.92100000000005</v>
      </c>
      <c r="I99" s="8">
        <f>E99+июнь!I99</f>
        <v>753.6690000000001</v>
      </c>
      <c r="J99" s="10">
        <f t="shared" ref="J99" si="63">J100+J101+J102</f>
        <v>0</v>
      </c>
      <c r="K99" s="10">
        <f t="shared" si="50"/>
        <v>-753.6690000000001</v>
      </c>
      <c r="L99" s="16">
        <f t="shared" si="55"/>
        <v>-100</v>
      </c>
      <c r="M99" s="220"/>
      <c r="N99" s="221"/>
      <c r="O99" s="122">
        <f t="shared" si="56"/>
        <v>-753.92100000000005</v>
      </c>
      <c r="P99" s="123">
        <f t="shared" si="57"/>
        <v>-100</v>
      </c>
      <c r="Q99" s="114"/>
      <c r="S99">
        <f t="shared" si="46"/>
        <v>538.51499999999999</v>
      </c>
      <c r="T99" s="44">
        <f>E99+апр!I99</f>
        <v>538.33500000000004</v>
      </c>
      <c r="U99" s="30">
        <f>F99+апр!J99</f>
        <v>0</v>
      </c>
    </row>
    <row r="100" spans="1:21" ht="17.25" customHeight="1">
      <c r="A100" s="8" t="s">
        <v>91</v>
      </c>
      <c r="B100" s="20" t="s">
        <v>92</v>
      </c>
      <c r="C100" s="8" t="s">
        <v>4</v>
      </c>
      <c r="D100" s="10">
        <v>45.448999999999998</v>
      </c>
      <c r="E100" s="8"/>
      <c r="F100" s="55"/>
      <c r="G100" s="10">
        <f t="shared" si="49"/>
        <v>0</v>
      </c>
      <c r="H100" s="10">
        <f>D100+июнь!H100</f>
        <v>318.14300000000003</v>
      </c>
      <c r="I100" s="8"/>
      <c r="J100" s="54">
        <f>F100+июнь!J100</f>
        <v>0</v>
      </c>
      <c r="K100" s="10">
        <f t="shared" si="50"/>
        <v>0</v>
      </c>
      <c r="L100" s="16"/>
      <c r="M100" s="220"/>
      <c r="N100" s="221"/>
      <c r="O100" s="122">
        <f t="shared" si="56"/>
        <v>-318.14300000000003</v>
      </c>
      <c r="P100" s="123">
        <f t="shared" si="57"/>
        <v>-100</v>
      </c>
      <c r="Q100" s="114"/>
      <c r="S100">
        <f t="shared" si="46"/>
        <v>227.245</v>
      </c>
      <c r="T100" s="44">
        <f>E100+апр!I100</f>
        <v>0</v>
      </c>
      <c r="U100" s="30">
        <f>F100+апр!J100</f>
        <v>0</v>
      </c>
    </row>
    <row r="101" spans="1:21" ht="33.75" customHeight="1">
      <c r="A101" s="8" t="s">
        <v>93</v>
      </c>
      <c r="B101" s="20" t="s">
        <v>94</v>
      </c>
      <c r="C101" s="8" t="s">
        <v>4</v>
      </c>
      <c r="D101" s="10">
        <v>62.253999999999998</v>
      </c>
      <c r="E101" s="8"/>
      <c r="F101" s="55"/>
      <c r="G101" s="10">
        <f t="shared" si="49"/>
        <v>0</v>
      </c>
      <c r="H101" s="10">
        <f>D101+июнь!H101</f>
        <v>435.77800000000002</v>
      </c>
      <c r="I101" s="8"/>
      <c r="J101" s="54">
        <f>F101+июнь!J101</f>
        <v>0</v>
      </c>
      <c r="K101" s="10">
        <f t="shared" si="50"/>
        <v>0</v>
      </c>
      <c r="L101" s="16"/>
      <c r="M101" s="220"/>
      <c r="N101" s="221"/>
      <c r="O101" s="122">
        <f t="shared" si="56"/>
        <v>-435.77800000000002</v>
      </c>
      <c r="P101" s="123">
        <f t="shared" si="57"/>
        <v>-100</v>
      </c>
      <c r="Q101" s="114"/>
      <c r="S101">
        <f t="shared" si="46"/>
        <v>311.27</v>
      </c>
      <c r="T101" s="44">
        <f>E101+апр!I101</f>
        <v>0</v>
      </c>
      <c r="U101" s="30">
        <f>F101+апр!J101</f>
        <v>0</v>
      </c>
    </row>
    <row r="102" spans="1:21" ht="33.75" customHeight="1">
      <c r="A102" s="8" t="s">
        <v>95</v>
      </c>
      <c r="B102" s="20" t="s">
        <v>96</v>
      </c>
      <c r="C102" s="8" t="s">
        <v>4</v>
      </c>
      <c r="D102" s="10"/>
      <c r="E102" s="8"/>
      <c r="F102" s="55"/>
      <c r="G102" s="10">
        <f t="shared" si="49"/>
        <v>0</v>
      </c>
      <c r="H102" s="10">
        <f>D102+июнь!H102</f>
        <v>0</v>
      </c>
      <c r="I102" s="8"/>
      <c r="J102" s="54">
        <f>F102+июнь!J102</f>
        <v>0</v>
      </c>
      <c r="K102" s="10">
        <f t="shared" si="50"/>
        <v>0</v>
      </c>
      <c r="L102" s="16"/>
      <c r="M102" s="220"/>
      <c r="N102" s="221"/>
      <c r="O102" s="122">
        <f t="shared" si="56"/>
        <v>0</v>
      </c>
      <c r="P102" s="123" t="e">
        <f t="shared" si="57"/>
        <v>#DIV/0!</v>
      </c>
      <c r="Q102" s="114"/>
      <c r="S102">
        <f t="shared" si="46"/>
        <v>0</v>
      </c>
      <c r="T102" s="44">
        <f>E102+апр!I102</f>
        <v>0</v>
      </c>
      <c r="U102" s="30">
        <f>F102+апр!J102</f>
        <v>0</v>
      </c>
    </row>
    <row r="103" spans="1:21" ht="17.25" customHeight="1">
      <c r="A103" s="8" t="s">
        <v>97</v>
      </c>
      <c r="B103" s="20" t="s">
        <v>98</v>
      </c>
      <c r="C103" s="8" t="s">
        <v>4</v>
      </c>
      <c r="D103" s="10">
        <v>1.3089999999999999</v>
      </c>
      <c r="E103" s="8">
        <v>1.333</v>
      </c>
      <c r="F103" s="55"/>
      <c r="G103" s="10">
        <f t="shared" si="49"/>
        <v>-1.333</v>
      </c>
      <c r="H103" s="10">
        <f>D103+июнь!H103</f>
        <v>9.1630000000000003</v>
      </c>
      <c r="I103" s="8">
        <f>E103+июнь!I103</f>
        <v>7.9980000000000002</v>
      </c>
      <c r="J103" s="54">
        <f>F103+июнь!J103</f>
        <v>0</v>
      </c>
      <c r="K103" s="10">
        <f t="shared" si="50"/>
        <v>-7.9980000000000002</v>
      </c>
      <c r="L103" s="16">
        <f t="shared" si="55"/>
        <v>-100</v>
      </c>
      <c r="M103" s="220"/>
      <c r="N103" s="221"/>
      <c r="O103" s="122">
        <f t="shared" si="56"/>
        <v>-9.1630000000000003</v>
      </c>
      <c r="P103" s="123">
        <f t="shared" si="57"/>
        <v>-100</v>
      </c>
      <c r="Q103" s="114"/>
      <c r="S103">
        <f t="shared" si="46"/>
        <v>6.5449999999999999</v>
      </c>
      <c r="T103" s="44">
        <f>E103+апр!I103</f>
        <v>6.665</v>
      </c>
      <c r="U103" s="30">
        <f>F103+апр!J103</f>
        <v>0</v>
      </c>
    </row>
    <row r="104" spans="1:21" ht="36" customHeight="1">
      <c r="A104" s="18" t="s">
        <v>105</v>
      </c>
      <c r="B104" s="20" t="s">
        <v>99</v>
      </c>
      <c r="C104" s="8" t="s">
        <v>4</v>
      </c>
      <c r="D104" s="10">
        <f t="shared" ref="D104:F104" si="64">D105+D106+D107+D108</f>
        <v>186.095</v>
      </c>
      <c r="E104" s="10">
        <f t="shared" si="64"/>
        <v>152.833</v>
      </c>
      <c r="F104" s="10">
        <f t="shared" si="64"/>
        <v>221.74599999999998</v>
      </c>
      <c r="G104" s="10">
        <f t="shared" si="49"/>
        <v>68.912999999999982</v>
      </c>
      <c r="H104" s="10">
        <f t="shared" ref="H104:J104" si="65">H105+H106+H107+H108</f>
        <v>1302.665</v>
      </c>
      <c r="I104" s="8">
        <f>E104+июнь!I104</f>
        <v>1069.8309999999999</v>
      </c>
      <c r="J104" s="10">
        <f t="shared" si="65"/>
        <v>2191.8019999999997</v>
      </c>
      <c r="K104" s="10">
        <f t="shared" si="50"/>
        <v>1121.9709999999998</v>
      </c>
      <c r="L104" s="16">
        <f t="shared" si="55"/>
        <v>104.87366696235199</v>
      </c>
      <c r="M104" s="220"/>
      <c r="N104" s="221"/>
      <c r="O104" s="122">
        <f t="shared" si="56"/>
        <v>889.13699999999972</v>
      </c>
      <c r="P104" s="123">
        <f t="shared" si="57"/>
        <v>68.255230623375908</v>
      </c>
      <c r="Q104" s="114"/>
      <c r="S104">
        <f t="shared" si="46"/>
        <v>930.47500000000002</v>
      </c>
      <c r="T104" s="44">
        <f>E104+апр!I104</f>
        <v>764.16499999999996</v>
      </c>
      <c r="U104" s="30">
        <f>F104+апр!J104</f>
        <v>1020.73</v>
      </c>
    </row>
    <row r="105" spans="1:21" ht="17.25" customHeight="1">
      <c r="A105" s="24" t="s">
        <v>243</v>
      </c>
      <c r="B105" s="20" t="s">
        <v>100</v>
      </c>
      <c r="C105" s="8" t="s">
        <v>4</v>
      </c>
      <c r="D105" s="10">
        <v>43.570999999999998</v>
      </c>
      <c r="E105" s="8">
        <v>43.582999999999998</v>
      </c>
      <c r="F105" s="8">
        <f>9+173.213</f>
        <v>182.21299999999999</v>
      </c>
      <c r="G105" s="10">
        <f t="shared" si="49"/>
        <v>138.63</v>
      </c>
      <c r="H105" s="10">
        <f>D105+июнь!H105</f>
        <v>304.99699999999996</v>
      </c>
      <c r="I105" s="8">
        <f>E105+июнь!I105</f>
        <v>305.08100000000002</v>
      </c>
      <c r="J105" s="54">
        <f>F105+июнь!J105</f>
        <v>887.529</v>
      </c>
      <c r="K105" s="10">
        <f t="shared" si="50"/>
        <v>582.44799999999998</v>
      </c>
      <c r="L105" s="16">
        <f t="shared" si="55"/>
        <v>190.91585513355466</v>
      </c>
      <c r="M105" s="220"/>
      <c r="N105" s="221"/>
      <c r="O105" s="122">
        <f t="shared" si="56"/>
        <v>582.53200000000004</v>
      </c>
      <c r="P105" s="123">
        <f t="shared" si="57"/>
        <v>190.99597700960999</v>
      </c>
      <c r="Q105" s="114"/>
      <c r="S105">
        <f t="shared" si="46"/>
        <v>217.85499999999999</v>
      </c>
      <c r="T105" s="44">
        <f>E105+апр!I105</f>
        <v>217.91499999999999</v>
      </c>
      <c r="U105" s="30">
        <f>F105+апр!J105</f>
        <v>403.84399999999999</v>
      </c>
    </row>
    <row r="106" spans="1:21" ht="28.5" customHeight="1">
      <c r="A106" s="8" t="s">
        <v>244</v>
      </c>
      <c r="B106" s="20" t="s">
        <v>101</v>
      </c>
      <c r="C106" s="8" t="s">
        <v>4</v>
      </c>
      <c r="D106" s="10">
        <v>116.209</v>
      </c>
      <c r="E106" s="8">
        <v>82.917000000000002</v>
      </c>
      <c r="F106" s="55">
        <v>39.533000000000001</v>
      </c>
      <c r="G106" s="10">
        <f t="shared" si="49"/>
        <v>-43.384</v>
      </c>
      <c r="H106" s="10">
        <f>D106+июнь!H106</f>
        <v>813.46300000000019</v>
      </c>
      <c r="I106" s="8">
        <f>E106+июнь!I106</f>
        <v>580.4190000000001</v>
      </c>
      <c r="J106" s="54">
        <f>F106+июнь!J106</f>
        <v>782.52199999999993</v>
      </c>
      <c r="K106" s="10">
        <f t="shared" si="50"/>
        <v>202.10299999999984</v>
      </c>
      <c r="L106" s="16">
        <f t="shared" si="55"/>
        <v>34.820190241876951</v>
      </c>
      <c r="M106" s="222" t="s">
        <v>287</v>
      </c>
      <c r="N106" s="223"/>
      <c r="O106" s="122">
        <f t="shared" si="56"/>
        <v>-30.941000000000258</v>
      </c>
      <c r="P106" s="123">
        <f t="shared" si="57"/>
        <v>-3.8036149154909626</v>
      </c>
      <c r="Q106" s="115"/>
      <c r="S106">
        <f t="shared" si="46"/>
        <v>581.04500000000007</v>
      </c>
      <c r="T106" s="44">
        <f>E106+апр!I106</f>
        <v>414.58500000000004</v>
      </c>
      <c r="U106" s="30">
        <f>F106+апр!J106</f>
        <v>493.13300000000004</v>
      </c>
    </row>
    <row r="107" spans="1:21" ht="37.5" customHeight="1">
      <c r="A107" s="8" t="s">
        <v>245</v>
      </c>
      <c r="B107" s="20" t="s">
        <v>102</v>
      </c>
      <c r="C107" s="8" t="s">
        <v>4</v>
      </c>
      <c r="D107" s="10">
        <v>26.315000000000001</v>
      </c>
      <c r="E107" s="8">
        <v>26.332999999999998</v>
      </c>
      <c r="F107" s="54"/>
      <c r="G107" s="10">
        <f t="shared" si="49"/>
        <v>-26.332999999999998</v>
      </c>
      <c r="H107" s="10">
        <f>D107+июнь!H107</f>
        <v>184.20500000000001</v>
      </c>
      <c r="I107" s="8">
        <f>E107+июнь!I107</f>
        <v>184.33099999999999</v>
      </c>
      <c r="J107" s="54">
        <f>F107+июнь!J107</f>
        <v>521.75099999999998</v>
      </c>
      <c r="K107" s="10">
        <f t="shared" si="50"/>
        <v>337.41999999999996</v>
      </c>
      <c r="L107" s="16">
        <f t="shared" si="55"/>
        <v>183.05114169618784</v>
      </c>
      <c r="M107" s="220"/>
      <c r="N107" s="221"/>
      <c r="O107" s="122">
        <f t="shared" si="56"/>
        <v>337.54599999999994</v>
      </c>
      <c r="P107" s="123">
        <f t="shared" si="57"/>
        <v>183.24475448549165</v>
      </c>
      <c r="Q107" s="114"/>
      <c r="S107">
        <f t="shared" si="46"/>
        <v>131.57500000000002</v>
      </c>
      <c r="T107" s="44">
        <f>E107+апр!I107</f>
        <v>131.66499999999999</v>
      </c>
      <c r="U107" s="30">
        <f>F107+апр!J107</f>
        <v>123.75300000000001</v>
      </c>
    </row>
    <row r="108" spans="1:21" ht="35.25" hidden="1" customHeight="1">
      <c r="A108" s="8" t="s">
        <v>103</v>
      </c>
      <c r="B108" s="20" t="s">
        <v>104</v>
      </c>
      <c r="C108" s="8" t="s">
        <v>4</v>
      </c>
      <c r="D108" s="10">
        <v>0</v>
      </c>
      <c r="E108" s="8"/>
      <c r="F108" s="8"/>
      <c r="G108" s="10">
        <f t="shared" si="49"/>
        <v>0</v>
      </c>
      <c r="H108" s="10">
        <f>D108+апр!H108</f>
        <v>0</v>
      </c>
      <c r="I108" s="8">
        <f>E108+март!I108</f>
        <v>0</v>
      </c>
      <c r="J108" s="10">
        <f>F108+апр!J108</f>
        <v>0</v>
      </c>
      <c r="K108" s="10">
        <f t="shared" si="50"/>
        <v>0</v>
      </c>
      <c r="L108" s="16" t="e">
        <f t="shared" si="55"/>
        <v>#DIV/0!</v>
      </c>
      <c r="M108" s="220"/>
      <c r="N108" s="221"/>
      <c r="O108" s="122">
        <f t="shared" si="56"/>
        <v>0</v>
      </c>
      <c r="P108" s="123" t="e">
        <f t="shared" si="57"/>
        <v>#DIV/0!</v>
      </c>
      <c r="Q108" s="114"/>
      <c r="S108">
        <f t="shared" si="46"/>
        <v>0</v>
      </c>
      <c r="T108" s="44">
        <f>E108+апр!I108</f>
        <v>0</v>
      </c>
      <c r="U108" s="30">
        <f>F108+апр!J108</f>
        <v>0</v>
      </c>
    </row>
    <row r="109" spans="1:21" ht="17.25" customHeight="1">
      <c r="A109" s="18" t="s">
        <v>246</v>
      </c>
      <c r="B109" s="20" t="s">
        <v>106</v>
      </c>
      <c r="C109" s="8" t="s">
        <v>4</v>
      </c>
      <c r="D109" s="10">
        <v>91.483999999999995</v>
      </c>
      <c r="E109" s="8">
        <v>58.167000000000002</v>
      </c>
      <c r="F109" s="55">
        <f>15.207+23.279+3.97+0.256</f>
        <v>42.712000000000003</v>
      </c>
      <c r="G109" s="10">
        <f t="shared" si="49"/>
        <v>-15.454999999999998</v>
      </c>
      <c r="H109" s="10">
        <f>D109+июнь!H109</f>
        <v>640.38800000000003</v>
      </c>
      <c r="I109" s="8">
        <f>E109+июнь!I109</f>
        <v>407.1690000000001</v>
      </c>
      <c r="J109" s="54">
        <f>F109+июнь!J109</f>
        <v>275.44099999999997</v>
      </c>
      <c r="K109" s="10">
        <f t="shared" si="50"/>
        <v>-131.72800000000012</v>
      </c>
      <c r="L109" s="16">
        <f t="shared" si="55"/>
        <v>-32.352168264283407</v>
      </c>
      <c r="M109" s="220"/>
      <c r="N109" s="221"/>
      <c r="O109" s="122">
        <f t="shared" si="56"/>
        <v>-364.94700000000006</v>
      </c>
      <c r="P109" s="123">
        <f t="shared" si="57"/>
        <v>-56.988419520665602</v>
      </c>
      <c r="Q109" s="114"/>
      <c r="S109">
        <f t="shared" si="46"/>
        <v>457.41999999999996</v>
      </c>
      <c r="T109" s="44">
        <f>E109+апр!I109</f>
        <v>290.83500000000004</v>
      </c>
      <c r="U109" s="30">
        <f>F109+апр!J109</f>
        <v>189.54899999999998</v>
      </c>
    </row>
    <row r="110" spans="1:21" ht="17.25" customHeight="1">
      <c r="A110" s="17" t="s">
        <v>247</v>
      </c>
      <c r="B110" s="6" t="s">
        <v>107</v>
      </c>
      <c r="C110" s="8" t="s">
        <v>4</v>
      </c>
      <c r="D110" s="10">
        <f>D111+D115+D119+D123+D124+D125+D126+D127+D128+D129+D130+D131+D132+D133+D134+D135</f>
        <v>1562.1809999999998</v>
      </c>
      <c r="E110" s="10">
        <f>E111+E115+E119+E123+E124+E125+E126+E127+E128+E129+E130+E131+E132+E133+E134+E135+E136+E137</f>
        <v>1699.25</v>
      </c>
      <c r="F110" s="10">
        <f>F111+F115+F119+F123+F124+F125+F126+F127+F128+F129+F130+F131+F132+F133+F134+F135+F136+F137+F138+F139+F140</f>
        <v>1335.413</v>
      </c>
      <c r="G110" s="10">
        <f t="shared" si="49"/>
        <v>-363.83699999999999</v>
      </c>
      <c r="H110" s="10">
        <f>H111+H115+H119+H123+H124+H125+H126+H127+H128+H129+H130+H131+H132+H133+H134+H135</f>
        <v>10935.267</v>
      </c>
      <c r="I110" s="10">
        <f>I111+I115+I119+I123+I124+I125+I126+I127+I128+I129+I130+I131+I132+I133+I134+I135+I136+I137</f>
        <v>11894.75</v>
      </c>
      <c r="J110" s="10">
        <f>J111+J115+J119+J123+J124+J125+J126+J127+J128+J129+J130+J131+J132+J133+J134+J135+J136+J137</f>
        <v>11633.4375</v>
      </c>
      <c r="K110" s="10">
        <f t="shared" si="50"/>
        <v>-261.3125</v>
      </c>
      <c r="L110" s="16">
        <f t="shared" si="55"/>
        <v>-2.1968725698312279</v>
      </c>
      <c r="M110" s="226"/>
      <c r="N110" s="221"/>
      <c r="O110" s="122">
        <f t="shared" si="56"/>
        <v>698.17050000000017</v>
      </c>
      <c r="P110" s="123">
        <f t="shared" si="57"/>
        <v>6.3845766180194792</v>
      </c>
      <c r="Q110" s="114"/>
      <c r="S110">
        <f t="shared" si="46"/>
        <v>7810.9049999999988</v>
      </c>
      <c r="T110" s="44">
        <f>E110+апр!I110</f>
        <v>8496.25</v>
      </c>
      <c r="U110" s="30">
        <f>F110+апр!J110</f>
        <v>7991.4825000000001</v>
      </c>
    </row>
    <row r="111" spans="1:21" ht="18" customHeight="1">
      <c r="A111" s="18" t="s">
        <v>248</v>
      </c>
      <c r="B111" s="9" t="s">
        <v>108</v>
      </c>
      <c r="C111" s="8" t="s">
        <v>4</v>
      </c>
      <c r="D111" s="10">
        <v>431.38099999999997</v>
      </c>
      <c r="E111" s="8">
        <v>431.41699999999997</v>
      </c>
      <c r="F111" s="10">
        <f>F112+F113+F114</f>
        <v>325.41000000000003</v>
      </c>
      <c r="G111" s="10">
        <f t="shared" si="49"/>
        <v>-106.00699999999995</v>
      </c>
      <c r="H111" s="10">
        <f>D111+июнь!H111</f>
        <v>3019.6669999999995</v>
      </c>
      <c r="I111" s="8">
        <f>E111+июнь!I111</f>
        <v>3019.9189999999999</v>
      </c>
      <c r="J111" s="10">
        <f>J112+J113+J114</f>
        <v>2525.3799999999997</v>
      </c>
      <c r="K111" s="10">
        <f t="shared" si="50"/>
        <v>-494.53900000000021</v>
      </c>
      <c r="L111" s="16">
        <f t="shared" si="55"/>
        <v>-16.375902797392918</v>
      </c>
      <c r="M111" s="231"/>
      <c r="N111" s="232"/>
      <c r="O111" s="122">
        <f t="shared" si="56"/>
        <v>-494.28699999999981</v>
      </c>
      <c r="P111" s="123">
        <f t="shared" si="57"/>
        <v>-16.368924123090387</v>
      </c>
      <c r="Q111" s="117"/>
      <c r="S111">
        <f t="shared" si="46"/>
        <v>2156.9049999999997</v>
      </c>
      <c r="T111" s="44">
        <f>E111+апр!I111</f>
        <v>2157.085</v>
      </c>
      <c r="U111" s="30">
        <f>F111+апр!J111</f>
        <v>1514.0409999999999</v>
      </c>
    </row>
    <row r="112" spans="1:21" ht="17.25" customHeight="1">
      <c r="A112" s="18"/>
      <c r="B112" s="9" t="s">
        <v>221</v>
      </c>
      <c r="C112" s="8" t="s">
        <v>4</v>
      </c>
      <c r="D112" s="10"/>
      <c r="E112" s="8"/>
      <c r="F112" s="54">
        <f>293.41</f>
        <v>293.41000000000003</v>
      </c>
      <c r="G112" s="10">
        <f t="shared" si="49"/>
        <v>293.41000000000003</v>
      </c>
      <c r="H112" s="10">
        <f>D112+июнь!H112</f>
        <v>0</v>
      </c>
      <c r="I112" s="8"/>
      <c r="J112" s="54">
        <f>F112+июнь!J112</f>
        <v>2271.5589999999997</v>
      </c>
      <c r="K112" s="10">
        <f t="shared" si="50"/>
        <v>2271.5589999999997</v>
      </c>
      <c r="L112" s="16"/>
      <c r="M112" s="220"/>
      <c r="N112" s="221"/>
      <c r="O112" s="122">
        <f t="shared" si="56"/>
        <v>2271.5589999999997</v>
      </c>
      <c r="P112" s="123" t="e">
        <f t="shared" si="57"/>
        <v>#DIV/0!</v>
      </c>
      <c r="Q112" s="114"/>
      <c r="S112">
        <f t="shared" si="46"/>
        <v>0</v>
      </c>
      <c r="T112" s="44">
        <f>E112+апр!I112</f>
        <v>0</v>
      </c>
      <c r="U112" s="30">
        <f>F112+апр!J112</f>
        <v>1260.22</v>
      </c>
    </row>
    <row r="113" spans="1:21" ht="36" customHeight="1">
      <c r="A113" s="18"/>
      <c r="B113" s="9" t="s">
        <v>222</v>
      </c>
      <c r="C113" s="8" t="s">
        <v>4</v>
      </c>
      <c r="D113" s="10"/>
      <c r="E113" s="8"/>
      <c r="F113" s="10">
        <v>32</v>
      </c>
      <c r="G113" s="10">
        <f t="shared" si="49"/>
        <v>32</v>
      </c>
      <c r="H113" s="10">
        <f>D113+июнь!H113</f>
        <v>0</v>
      </c>
      <c r="I113" s="8"/>
      <c r="J113" s="54">
        <f>F113+июнь!J113</f>
        <v>253.821</v>
      </c>
      <c r="K113" s="10">
        <f t="shared" si="50"/>
        <v>253.821</v>
      </c>
      <c r="L113" s="16"/>
      <c r="M113" s="220"/>
      <c r="N113" s="221"/>
      <c r="O113" s="122">
        <f t="shared" si="56"/>
        <v>253.821</v>
      </c>
      <c r="P113" s="123" t="e">
        <f t="shared" si="57"/>
        <v>#DIV/0!</v>
      </c>
      <c r="Q113" s="114"/>
      <c r="S113">
        <f t="shared" si="46"/>
        <v>0</v>
      </c>
      <c r="T113" s="44">
        <f>E113+апр!I113</f>
        <v>0</v>
      </c>
      <c r="U113" s="30">
        <f>F113+апр!J113</f>
        <v>253.821</v>
      </c>
    </row>
    <row r="114" spans="1:21" ht="17.25" customHeight="1">
      <c r="A114" s="18"/>
      <c r="B114" s="9" t="s">
        <v>223</v>
      </c>
      <c r="C114" s="8" t="s">
        <v>4</v>
      </c>
      <c r="D114" s="10"/>
      <c r="E114" s="8"/>
      <c r="F114" s="8"/>
      <c r="G114" s="10">
        <f t="shared" si="49"/>
        <v>0</v>
      </c>
      <c r="H114" s="10">
        <f>D114+июнь!H114</f>
        <v>0</v>
      </c>
      <c r="I114" s="8"/>
      <c r="J114" s="54">
        <f>F114+июнь!J114</f>
        <v>0</v>
      </c>
      <c r="K114" s="10">
        <f t="shared" si="50"/>
        <v>0</v>
      </c>
      <c r="L114" s="16"/>
      <c r="M114" s="220"/>
      <c r="N114" s="221"/>
      <c r="O114" s="122">
        <f t="shared" si="56"/>
        <v>0</v>
      </c>
      <c r="P114" s="123" t="e">
        <f t="shared" si="57"/>
        <v>#DIV/0!</v>
      </c>
      <c r="Q114" s="114"/>
      <c r="S114">
        <f t="shared" si="46"/>
        <v>0</v>
      </c>
      <c r="T114" s="44">
        <f>E114+апр!I114</f>
        <v>0</v>
      </c>
      <c r="U114" s="30">
        <f>F114+апр!J114</f>
        <v>0</v>
      </c>
    </row>
    <row r="115" spans="1:21" ht="17.25" customHeight="1">
      <c r="A115" s="18" t="s">
        <v>249</v>
      </c>
      <c r="B115" s="9" t="s">
        <v>109</v>
      </c>
      <c r="C115" s="8" t="s">
        <v>4</v>
      </c>
      <c r="D115" s="10">
        <f t="shared" ref="D115" si="66">D116+D117+D118</f>
        <v>121.34400000000001</v>
      </c>
      <c r="E115" s="10">
        <v>121.333</v>
      </c>
      <c r="F115" s="10"/>
      <c r="G115" s="10">
        <f t="shared" si="49"/>
        <v>-121.333</v>
      </c>
      <c r="H115" s="10">
        <f t="shared" ref="H115" si="67">H116+H117+H118</f>
        <v>849.40800000000002</v>
      </c>
      <c r="I115" s="8">
        <f>E115+июнь!I115</f>
        <v>849.3309999999999</v>
      </c>
      <c r="J115" s="10">
        <f t="shared" ref="J115" si="68">J116+J117+J118</f>
        <v>0</v>
      </c>
      <c r="K115" s="10">
        <f t="shared" si="50"/>
        <v>-849.3309999999999</v>
      </c>
      <c r="L115" s="16">
        <f t="shared" si="55"/>
        <v>-100</v>
      </c>
      <c r="M115" s="220"/>
      <c r="N115" s="221"/>
      <c r="O115" s="122">
        <f t="shared" si="56"/>
        <v>-849.40800000000002</v>
      </c>
      <c r="P115" s="123">
        <f t="shared" si="57"/>
        <v>-100</v>
      </c>
      <c r="Q115" s="114"/>
      <c r="S115">
        <f t="shared" si="46"/>
        <v>606.72</v>
      </c>
      <c r="T115" s="44">
        <f>E115+апр!I115</f>
        <v>606.66499999999996</v>
      </c>
      <c r="U115" s="30">
        <f>F115+апр!J115</f>
        <v>0</v>
      </c>
    </row>
    <row r="116" spans="1:21" ht="36" customHeight="1">
      <c r="A116" s="8" t="s">
        <v>250</v>
      </c>
      <c r="B116" s="9" t="s">
        <v>240</v>
      </c>
      <c r="C116" s="8" t="s">
        <v>4</v>
      </c>
      <c r="D116" s="10">
        <v>86.322000000000003</v>
      </c>
      <c r="E116" s="8"/>
      <c r="F116" s="8"/>
      <c r="G116" s="10">
        <f t="shared" si="49"/>
        <v>0</v>
      </c>
      <c r="H116" s="10">
        <f>D116+июнь!H116</f>
        <v>604.25400000000002</v>
      </c>
      <c r="I116" s="8"/>
      <c r="J116" s="54">
        <f>F116+июнь!J116</f>
        <v>0</v>
      </c>
      <c r="K116" s="10">
        <f t="shared" si="50"/>
        <v>0</v>
      </c>
      <c r="L116" s="16"/>
      <c r="M116" s="220"/>
      <c r="N116" s="221"/>
      <c r="O116" s="122">
        <f t="shared" si="56"/>
        <v>-604.25400000000002</v>
      </c>
      <c r="P116" s="123">
        <f t="shared" si="57"/>
        <v>-100</v>
      </c>
      <c r="Q116" s="114"/>
      <c r="S116">
        <f t="shared" si="46"/>
        <v>431.61</v>
      </c>
      <c r="T116" s="44">
        <f>E116+апр!I116</f>
        <v>0</v>
      </c>
      <c r="U116" s="30">
        <f>F116+апр!J116</f>
        <v>0</v>
      </c>
    </row>
    <row r="117" spans="1:21" ht="42.75" customHeight="1">
      <c r="A117" s="8" t="s">
        <v>251</v>
      </c>
      <c r="B117" s="9" t="s">
        <v>241</v>
      </c>
      <c r="C117" s="8" t="s">
        <v>4</v>
      </c>
      <c r="D117" s="10">
        <v>31.76</v>
      </c>
      <c r="E117" s="8"/>
      <c r="F117" s="8"/>
      <c r="G117" s="10">
        <f t="shared" si="49"/>
        <v>0</v>
      </c>
      <c r="H117" s="10">
        <f>D117+июнь!H117</f>
        <v>222.32</v>
      </c>
      <c r="I117" s="8"/>
      <c r="J117" s="54">
        <f>F117+июнь!J117</f>
        <v>0</v>
      </c>
      <c r="K117" s="10">
        <f t="shared" si="50"/>
        <v>0</v>
      </c>
      <c r="L117" s="16"/>
      <c r="M117" s="220"/>
      <c r="N117" s="221"/>
      <c r="O117" s="122">
        <f t="shared" si="56"/>
        <v>-222.32</v>
      </c>
      <c r="P117" s="123">
        <f t="shared" si="57"/>
        <v>-100</v>
      </c>
      <c r="Q117" s="114"/>
      <c r="S117">
        <f t="shared" si="46"/>
        <v>158.80000000000001</v>
      </c>
      <c r="T117" s="44">
        <f>E117+апр!I117</f>
        <v>0</v>
      </c>
      <c r="U117" s="30">
        <f>F117+апр!J117</f>
        <v>0</v>
      </c>
    </row>
    <row r="118" spans="1:21" ht="17.25" customHeight="1">
      <c r="A118" s="8" t="s">
        <v>252</v>
      </c>
      <c r="B118" s="9" t="s">
        <v>110</v>
      </c>
      <c r="C118" s="8" t="s">
        <v>4</v>
      </c>
      <c r="D118" s="10">
        <v>3.262</v>
      </c>
      <c r="E118" s="8"/>
      <c r="F118" s="8"/>
      <c r="G118" s="10">
        <f t="shared" si="49"/>
        <v>0</v>
      </c>
      <c r="H118" s="10">
        <f>D118+июнь!H118</f>
        <v>22.834</v>
      </c>
      <c r="I118" s="8"/>
      <c r="J118" s="54">
        <f>F118+июнь!J118</f>
        <v>0</v>
      </c>
      <c r="K118" s="10">
        <f t="shared" si="50"/>
        <v>0</v>
      </c>
      <c r="L118" s="16"/>
      <c r="M118" s="220"/>
      <c r="N118" s="221"/>
      <c r="O118" s="122">
        <f t="shared" si="56"/>
        <v>-22.834</v>
      </c>
      <c r="P118" s="123">
        <f t="shared" si="57"/>
        <v>-100</v>
      </c>
      <c r="Q118" s="114"/>
      <c r="S118">
        <f t="shared" si="46"/>
        <v>16.309999999999999</v>
      </c>
      <c r="T118" s="44">
        <f>E118+апр!I118</f>
        <v>0</v>
      </c>
      <c r="U118" s="30">
        <f>F118+апр!J118</f>
        <v>0</v>
      </c>
    </row>
    <row r="119" spans="1:21" ht="34.5" customHeight="1">
      <c r="A119" s="18" t="s">
        <v>253</v>
      </c>
      <c r="B119" s="9" t="s">
        <v>111</v>
      </c>
      <c r="C119" s="8" t="s">
        <v>4</v>
      </c>
      <c r="D119" s="10">
        <f>D120</f>
        <v>380.84899999999999</v>
      </c>
      <c r="E119" s="10">
        <v>356.5</v>
      </c>
      <c r="F119" s="10">
        <f>F120</f>
        <v>408.74599999999998</v>
      </c>
      <c r="G119" s="10">
        <f t="shared" si="49"/>
        <v>52.245999999999981</v>
      </c>
      <c r="H119" s="10">
        <f>H120</f>
        <v>2665.9430000000002</v>
      </c>
      <c r="I119" s="8">
        <f>E119+июнь!I119</f>
        <v>2495.5</v>
      </c>
      <c r="J119" s="10">
        <f>J120</f>
        <v>2520.4315000000001</v>
      </c>
      <c r="K119" s="10">
        <f t="shared" si="50"/>
        <v>24.931500000000142</v>
      </c>
      <c r="L119" s="16">
        <f t="shared" si="55"/>
        <v>0.99905830494891379</v>
      </c>
      <c r="M119" s="220"/>
      <c r="N119" s="221"/>
      <c r="O119" s="122">
        <f t="shared" si="56"/>
        <v>-145.51150000000007</v>
      </c>
      <c r="P119" s="123">
        <f t="shared" si="57"/>
        <v>-5.4581624588372692</v>
      </c>
      <c r="Q119" s="114"/>
      <c r="S119">
        <f t="shared" si="46"/>
        <v>1904.2449999999999</v>
      </c>
      <c r="T119" s="44">
        <f>E119+апр!I119</f>
        <v>1782.5</v>
      </c>
      <c r="U119" s="30">
        <f>F119+апр!J119</f>
        <v>1735.5875000000001</v>
      </c>
    </row>
    <row r="120" spans="1:21" ht="17.25" customHeight="1">
      <c r="A120" s="8"/>
      <c r="B120" s="25" t="s">
        <v>112</v>
      </c>
      <c r="C120" s="8" t="s">
        <v>113</v>
      </c>
      <c r="D120" s="10">
        <v>380.84899999999999</v>
      </c>
      <c r="E120" s="10">
        <f>E122*E121</f>
        <v>356.5</v>
      </c>
      <c r="F120" s="54">
        <f>F122*F121</f>
        <v>408.74599999999998</v>
      </c>
      <c r="G120" s="10">
        <f t="shared" si="49"/>
        <v>52.245999999999981</v>
      </c>
      <c r="H120" s="10">
        <f>D120+июнь!H120</f>
        <v>2665.9430000000002</v>
      </c>
      <c r="I120" s="8">
        <f>E120+июнь!I120</f>
        <v>2495.5</v>
      </c>
      <c r="J120" s="54">
        <f>F120+июнь!J120</f>
        <v>2520.4315000000001</v>
      </c>
      <c r="K120" s="10">
        <f t="shared" si="50"/>
        <v>24.931500000000142</v>
      </c>
      <c r="L120" s="16">
        <f t="shared" si="55"/>
        <v>0.99905830494891379</v>
      </c>
      <c r="M120" s="220"/>
      <c r="N120" s="221"/>
      <c r="O120" s="122">
        <f t="shared" si="56"/>
        <v>-145.51150000000007</v>
      </c>
      <c r="P120" s="123">
        <f t="shared" si="57"/>
        <v>-5.4581624588372692</v>
      </c>
      <c r="Q120" s="114"/>
      <c r="S120">
        <f t="shared" si="46"/>
        <v>1904.2449999999999</v>
      </c>
      <c r="T120" s="44">
        <f>E120+апр!I120</f>
        <v>1782.5</v>
      </c>
      <c r="U120" s="30">
        <f>F120+апр!J120</f>
        <v>1735.5875000000001</v>
      </c>
    </row>
    <row r="121" spans="1:21" ht="17.25" customHeight="1">
      <c r="A121" s="8"/>
      <c r="B121" s="12" t="s">
        <v>13</v>
      </c>
      <c r="C121" s="13" t="s">
        <v>114</v>
      </c>
      <c r="D121" s="10">
        <v>761.69899999999996</v>
      </c>
      <c r="E121" s="16">
        <f>E119/E122</f>
        <v>713</v>
      </c>
      <c r="F121" s="10">
        <f>F214</f>
        <v>817.49199999999996</v>
      </c>
      <c r="G121" s="10">
        <f t="shared" si="49"/>
        <v>104.49199999999996</v>
      </c>
      <c r="H121" s="10">
        <f>D121+июнь!H121</f>
        <v>5331.8929999999991</v>
      </c>
      <c r="I121" s="8">
        <f>E121+июнь!I121</f>
        <v>4991</v>
      </c>
      <c r="J121" s="54">
        <f>F121+июнь!J121</f>
        <v>5040.8620000000001</v>
      </c>
      <c r="K121" s="10">
        <f t="shared" si="50"/>
        <v>49.86200000000008</v>
      </c>
      <c r="L121" s="16">
        <f t="shared" si="55"/>
        <v>0.99903826888399283</v>
      </c>
      <c r="M121" s="220"/>
      <c r="N121" s="221"/>
      <c r="O121" s="122">
        <f t="shared" si="56"/>
        <v>-291.03099999999904</v>
      </c>
      <c r="P121" s="123">
        <f t="shared" si="57"/>
        <v>-5.4583053335841338</v>
      </c>
      <c r="Q121" s="114"/>
      <c r="S121">
        <f t="shared" si="46"/>
        <v>3808.4949999999999</v>
      </c>
      <c r="T121" s="44">
        <f>E121+апр!I121</f>
        <v>3565</v>
      </c>
      <c r="U121" s="30">
        <f>F121+апр!J121</f>
        <v>3471.174</v>
      </c>
    </row>
    <row r="122" spans="1:21" ht="17.25" customHeight="1">
      <c r="A122" s="8"/>
      <c r="B122" s="12" t="s">
        <v>15</v>
      </c>
      <c r="C122" s="13" t="s">
        <v>16</v>
      </c>
      <c r="D122" s="11">
        <v>0.5</v>
      </c>
      <c r="E122" s="11">
        <v>0.5</v>
      </c>
      <c r="F122" s="11">
        <v>0.5</v>
      </c>
      <c r="G122" s="10">
        <f t="shared" si="49"/>
        <v>0</v>
      </c>
      <c r="H122" s="10">
        <f>D122+июнь!H122</f>
        <v>1.5</v>
      </c>
      <c r="I122" s="11">
        <v>0.5</v>
      </c>
      <c r="J122" s="11">
        <v>0.5</v>
      </c>
      <c r="K122" s="10">
        <f t="shared" si="50"/>
        <v>0</v>
      </c>
      <c r="L122" s="16">
        <f t="shared" si="55"/>
        <v>0</v>
      </c>
      <c r="M122" s="220"/>
      <c r="N122" s="221"/>
      <c r="O122" s="122">
        <f t="shared" si="56"/>
        <v>-1</v>
      </c>
      <c r="P122" s="123">
        <f t="shared" si="57"/>
        <v>-66.666666666666657</v>
      </c>
      <c r="Q122" s="114"/>
      <c r="S122">
        <f t="shared" si="46"/>
        <v>2.5</v>
      </c>
      <c r="T122" s="44">
        <f>E122+апр!I122</f>
        <v>1</v>
      </c>
      <c r="U122" s="30">
        <f>F122+апр!J122</f>
        <v>1</v>
      </c>
    </row>
    <row r="123" spans="1:21" ht="17.25" customHeight="1">
      <c r="A123" s="18" t="s">
        <v>254</v>
      </c>
      <c r="B123" s="9" t="s">
        <v>115</v>
      </c>
      <c r="C123" s="8" t="s">
        <v>4</v>
      </c>
      <c r="D123" s="10">
        <v>1.1120000000000001</v>
      </c>
      <c r="E123" s="8">
        <v>1.083</v>
      </c>
      <c r="F123" s="8"/>
      <c r="G123" s="10">
        <f t="shared" si="49"/>
        <v>-1.083</v>
      </c>
      <c r="H123" s="10">
        <f>D123+июнь!H123</f>
        <v>7.7840000000000007</v>
      </c>
      <c r="I123" s="8">
        <f>E123+июнь!I123</f>
        <v>7.5810000000000004</v>
      </c>
      <c r="J123" s="54">
        <f>F123+июнь!J123</f>
        <v>0</v>
      </c>
      <c r="K123" s="10">
        <f t="shared" si="50"/>
        <v>-7.5810000000000004</v>
      </c>
      <c r="L123" s="16">
        <f t="shared" si="55"/>
        <v>-100</v>
      </c>
      <c r="M123" s="220"/>
      <c r="N123" s="221"/>
      <c r="O123" s="122">
        <f t="shared" si="56"/>
        <v>-7.7840000000000007</v>
      </c>
      <c r="P123" s="123">
        <f t="shared" si="57"/>
        <v>-100</v>
      </c>
      <c r="Q123" s="114"/>
      <c r="S123">
        <f t="shared" si="46"/>
        <v>5.5600000000000005</v>
      </c>
      <c r="T123" s="44">
        <f>E123+апр!I123</f>
        <v>5.415</v>
      </c>
      <c r="U123" s="30">
        <f>F123+апр!J123</f>
        <v>0</v>
      </c>
    </row>
    <row r="124" spans="1:21" ht="36" customHeight="1">
      <c r="A124" s="18" t="s">
        <v>255</v>
      </c>
      <c r="B124" s="9" t="s">
        <v>116</v>
      </c>
      <c r="C124" s="8" t="s">
        <v>4</v>
      </c>
      <c r="D124" s="10">
        <v>53.17</v>
      </c>
      <c r="E124" s="8">
        <v>52.167000000000002</v>
      </c>
      <c r="F124" s="54">
        <v>45</v>
      </c>
      <c r="G124" s="10">
        <f t="shared" si="49"/>
        <v>-7.1670000000000016</v>
      </c>
      <c r="H124" s="10">
        <f>D124+июнь!H124</f>
        <v>372.19000000000005</v>
      </c>
      <c r="I124" s="8">
        <f>E124+июнь!I124</f>
        <v>365.1690000000001</v>
      </c>
      <c r="J124" s="54">
        <f>F124+июнь!J124</f>
        <v>315</v>
      </c>
      <c r="K124" s="10">
        <f t="shared" si="50"/>
        <v>-50.169000000000096</v>
      </c>
      <c r="L124" s="16">
        <f t="shared" si="55"/>
        <v>-13.738570360572799</v>
      </c>
      <c r="M124" s="220"/>
      <c r="N124" s="221"/>
      <c r="O124" s="122">
        <f t="shared" si="56"/>
        <v>-57.190000000000055</v>
      </c>
      <c r="P124" s="123">
        <f t="shared" si="57"/>
        <v>-15.365807786345695</v>
      </c>
      <c r="Q124" s="114"/>
      <c r="S124">
        <f t="shared" si="46"/>
        <v>265.85000000000002</v>
      </c>
      <c r="T124" s="44">
        <f>E124+апр!I124</f>
        <v>260.83500000000004</v>
      </c>
      <c r="U124" s="30">
        <f>F124+апр!J124</f>
        <v>225</v>
      </c>
    </row>
    <row r="125" spans="1:21" ht="41.25" customHeight="1">
      <c r="A125" s="18" t="s">
        <v>256</v>
      </c>
      <c r="B125" s="9" t="s">
        <v>117</v>
      </c>
      <c r="C125" s="8" t="s">
        <v>4</v>
      </c>
      <c r="D125" s="10">
        <v>411.35</v>
      </c>
      <c r="E125" s="8">
        <v>411.33300000000003</v>
      </c>
      <c r="F125" s="55">
        <f>274.3+194.35</f>
        <v>468.65</v>
      </c>
      <c r="G125" s="10">
        <f t="shared" si="49"/>
        <v>57.31699999999995</v>
      </c>
      <c r="H125" s="10">
        <f>D125+июнь!H125</f>
        <v>2879.45</v>
      </c>
      <c r="I125" s="8">
        <f>E125+июнь!I125</f>
        <v>2879.3310000000001</v>
      </c>
      <c r="J125" s="54">
        <f>F125+июнь!J125</f>
        <v>3552.2130000000002</v>
      </c>
      <c r="K125" s="10">
        <f t="shared" si="50"/>
        <v>672.88200000000006</v>
      </c>
      <c r="L125" s="16">
        <f t="shared" si="55"/>
        <v>23.369386847153038</v>
      </c>
      <c r="M125" s="222" t="s">
        <v>294</v>
      </c>
      <c r="N125" s="223"/>
      <c r="O125" s="122">
        <f t="shared" si="56"/>
        <v>672.76300000000037</v>
      </c>
      <c r="P125" s="123">
        <f t="shared" si="57"/>
        <v>23.364288318949814</v>
      </c>
      <c r="Q125" s="115"/>
      <c r="S125">
        <f t="shared" si="46"/>
        <v>2056.75</v>
      </c>
      <c r="T125" s="44">
        <f>E125+апр!I125</f>
        <v>2056.665</v>
      </c>
      <c r="U125" s="30">
        <f>F125+апр!J125</f>
        <v>2696.0260000000003</v>
      </c>
    </row>
    <row r="126" spans="1:21" ht="55.5" customHeight="1">
      <c r="A126" s="18" t="s">
        <v>257</v>
      </c>
      <c r="B126" s="9" t="s">
        <v>118</v>
      </c>
      <c r="C126" s="8" t="s">
        <v>4</v>
      </c>
      <c r="D126" s="10">
        <v>48.704000000000001</v>
      </c>
      <c r="E126" s="8">
        <v>48.667000000000002</v>
      </c>
      <c r="F126" s="54"/>
      <c r="G126" s="10">
        <f t="shared" si="49"/>
        <v>-48.667000000000002</v>
      </c>
      <c r="H126" s="10">
        <f>D126+июнь!H126</f>
        <v>340.928</v>
      </c>
      <c r="I126" s="8">
        <f>E126+июнь!I126</f>
        <v>340.66899999999998</v>
      </c>
      <c r="J126" s="54">
        <f>F126+июнь!J126</f>
        <v>318.54000000000002</v>
      </c>
      <c r="K126" s="10">
        <f t="shared" si="50"/>
        <v>-22.128999999999962</v>
      </c>
      <c r="L126" s="16">
        <f t="shared" si="55"/>
        <v>-6.4957480721756191</v>
      </c>
      <c r="M126" s="220"/>
      <c r="N126" s="221"/>
      <c r="O126" s="122">
        <f t="shared" si="56"/>
        <v>-22.387999999999977</v>
      </c>
      <c r="P126" s="123">
        <f t="shared" si="57"/>
        <v>-6.5667824291345909</v>
      </c>
      <c r="Q126" s="114"/>
      <c r="S126">
        <f t="shared" si="46"/>
        <v>243.52</v>
      </c>
      <c r="T126" s="44">
        <f>E126+апр!I126</f>
        <v>243.33500000000001</v>
      </c>
      <c r="U126" s="30">
        <f>F126+апр!J126</f>
        <v>212.34</v>
      </c>
    </row>
    <row r="127" spans="1:21" ht="17.25" customHeight="1">
      <c r="A127" s="18" t="s">
        <v>258</v>
      </c>
      <c r="B127" s="9" t="s">
        <v>119</v>
      </c>
      <c r="C127" s="8" t="s">
        <v>4</v>
      </c>
      <c r="D127" s="10">
        <v>38.012999999999998</v>
      </c>
      <c r="E127" s="8">
        <v>38</v>
      </c>
      <c r="F127" s="54"/>
      <c r="G127" s="10">
        <f t="shared" si="49"/>
        <v>-38</v>
      </c>
      <c r="H127" s="10">
        <f>D127+июнь!H127</f>
        <v>266.09100000000001</v>
      </c>
      <c r="I127" s="8">
        <f>E127+июнь!I127</f>
        <v>266</v>
      </c>
      <c r="J127" s="54">
        <f>F127+июнь!J127</f>
        <v>210</v>
      </c>
      <c r="K127" s="10">
        <f t="shared" si="50"/>
        <v>-56</v>
      </c>
      <c r="L127" s="16">
        <f t="shared" si="55"/>
        <v>-21.052631578947366</v>
      </c>
      <c r="M127" s="220"/>
      <c r="N127" s="221"/>
      <c r="O127" s="122">
        <f t="shared" si="56"/>
        <v>-56.091000000000008</v>
      </c>
      <c r="P127" s="123">
        <f t="shared" si="57"/>
        <v>-21.079630652671458</v>
      </c>
      <c r="Q127" s="114"/>
      <c r="S127">
        <f t="shared" si="46"/>
        <v>190.065</v>
      </c>
      <c r="T127" s="44">
        <f>E127+апр!I127</f>
        <v>190</v>
      </c>
      <c r="U127" s="30">
        <f>F127+апр!J127</f>
        <v>105</v>
      </c>
    </row>
    <row r="128" spans="1:21" ht="54" customHeight="1">
      <c r="A128" s="18" t="s">
        <v>259</v>
      </c>
      <c r="B128" s="9" t="s">
        <v>120</v>
      </c>
      <c r="C128" s="8" t="s">
        <v>4</v>
      </c>
      <c r="D128" s="10"/>
      <c r="E128" s="8"/>
      <c r="F128" s="8"/>
      <c r="G128" s="10">
        <f t="shared" si="49"/>
        <v>0</v>
      </c>
      <c r="H128" s="10">
        <f>D128+июнь!H128</f>
        <v>0</v>
      </c>
      <c r="I128" s="8">
        <f>E128+июнь!I128</f>
        <v>0</v>
      </c>
      <c r="J128" s="54">
        <f>F128+июнь!J128</f>
        <v>640.45500000000004</v>
      </c>
      <c r="K128" s="10">
        <f t="shared" si="50"/>
        <v>640.45500000000004</v>
      </c>
      <c r="L128" s="16" t="e">
        <f t="shared" si="55"/>
        <v>#DIV/0!</v>
      </c>
      <c r="M128" s="220"/>
      <c r="N128" s="221"/>
      <c r="O128" s="122">
        <f t="shared" si="56"/>
        <v>640.45500000000004</v>
      </c>
      <c r="P128" s="123" t="e">
        <f t="shared" si="57"/>
        <v>#DIV/0!</v>
      </c>
      <c r="Q128" s="114"/>
      <c r="S128">
        <f t="shared" si="46"/>
        <v>0</v>
      </c>
      <c r="T128" s="44">
        <f>E128+апр!I128</f>
        <v>0</v>
      </c>
      <c r="U128" s="30">
        <f>F128+апр!J128</f>
        <v>640.45500000000004</v>
      </c>
    </row>
    <row r="129" spans="1:21" ht="34.5" hidden="1" customHeight="1">
      <c r="A129" s="18" t="s">
        <v>121</v>
      </c>
      <c r="B129" s="9" t="s">
        <v>218</v>
      </c>
      <c r="C129" s="8" t="s">
        <v>4</v>
      </c>
      <c r="D129" s="10">
        <v>0</v>
      </c>
      <c r="E129" s="8"/>
      <c r="F129" s="8"/>
      <c r="G129" s="10">
        <f t="shared" si="49"/>
        <v>0</v>
      </c>
      <c r="H129" s="10">
        <f>D129+апр!H129</f>
        <v>0</v>
      </c>
      <c r="I129" s="8">
        <f>E129+апр!I129</f>
        <v>0</v>
      </c>
      <c r="J129" s="10">
        <f>F129+апр!J129</f>
        <v>0</v>
      </c>
      <c r="K129" s="10">
        <f t="shared" si="50"/>
        <v>0</v>
      </c>
      <c r="L129" s="16" t="e">
        <f t="shared" si="55"/>
        <v>#DIV/0!</v>
      </c>
      <c r="M129" s="220"/>
      <c r="N129" s="221"/>
      <c r="O129" s="122">
        <f t="shared" si="56"/>
        <v>0</v>
      </c>
      <c r="P129" s="123" t="e">
        <f t="shared" si="57"/>
        <v>#DIV/0!</v>
      </c>
      <c r="Q129" s="114"/>
      <c r="S129">
        <f t="shared" si="46"/>
        <v>0</v>
      </c>
      <c r="T129" s="44">
        <f>E129+апр!I129</f>
        <v>0</v>
      </c>
      <c r="U129" s="30">
        <f>F129+апр!J129</f>
        <v>0</v>
      </c>
    </row>
    <row r="130" spans="1:21" ht="33" customHeight="1">
      <c r="A130" s="18" t="s">
        <v>260</v>
      </c>
      <c r="B130" s="9" t="s">
        <v>263</v>
      </c>
      <c r="C130" s="8" t="s">
        <v>4</v>
      </c>
      <c r="D130" s="10"/>
      <c r="E130" s="8"/>
      <c r="F130" s="8"/>
      <c r="G130" s="10">
        <f t="shared" si="49"/>
        <v>0</v>
      </c>
      <c r="H130" s="10">
        <f>D130+июнь!H130</f>
        <v>0</v>
      </c>
      <c r="I130" s="8">
        <f>E130+июнь!I130</f>
        <v>0</v>
      </c>
      <c r="J130" s="54">
        <f>F130+июнь!J130</f>
        <v>40</v>
      </c>
      <c r="K130" s="10">
        <f t="shared" si="50"/>
        <v>40</v>
      </c>
      <c r="L130" s="16" t="e">
        <f t="shared" si="55"/>
        <v>#DIV/0!</v>
      </c>
      <c r="M130" s="222" t="s">
        <v>288</v>
      </c>
      <c r="N130" s="223"/>
      <c r="O130" s="122">
        <f t="shared" si="56"/>
        <v>40</v>
      </c>
      <c r="P130" s="123" t="e">
        <f t="shared" si="57"/>
        <v>#DIV/0!</v>
      </c>
      <c r="Q130" s="115"/>
      <c r="S130">
        <f t="shared" si="46"/>
        <v>0</v>
      </c>
      <c r="T130" s="44">
        <f>E130+апр!I130</f>
        <v>0</v>
      </c>
      <c r="U130" s="30">
        <f>F130+апр!J130</f>
        <v>0</v>
      </c>
    </row>
    <row r="131" spans="1:21" ht="17.25" customHeight="1">
      <c r="A131" s="18" t="s">
        <v>261</v>
      </c>
      <c r="B131" s="9" t="s">
        <v>122</v>
      </c>
      <c r="C131" s="8" t="s">
        <v>4</v>
      </c>
      <c r="D131" s="10">
        <v>69.783000000000001</v>
      </c>
      <c r="E131" s="8">
        <v>69.75</v>
      </c>
      <c r="F131" s="54"/>
      <c r="G131" s="10">
        <f t="shared" si="49"/>
        <v>-69.75</v>
      </c>
      <c r="H131" s="10">
        <f>D131+июнь!H131</f>
        <v>488.48100000000005</v>
      </c>
      <c r="I131" s="8">
        <f>E131+июнь!I131</f>
        <v>488.25</v>
      </c>
      <c r="J131" s="54">
        <f>F131+июнь!J131</f>
        <v>417.5</v>
      </c>
      <c r="K131" s="10">
        <f t="shared" si="50"/>
        <v>-70.75</v>
      </c>
      <c r="L131" s="16">
        <f t="shared" si="55"/>
        <v>-14.490527393753199</v>
      </c>
      <c r="M131" s="220"/>
      <c r="N131" s="221"/>
      <c r="O131" s="122">
        <f t="shared" si="56"/>
        <v>-70.981000000000051</v>
      </c>
      <c r="P131" s="123">
        <f t="shared" si="57"/>
        <v>-14.530964356853193</v>
      </c>
      <c r="Q131" s="114"/>
      <c r="S131">
        <f t="shared" si="46"/>
        <v>348.91500000000002</v>
      </c>
      <c r="T131" s="44">
        <f>E131+апр!I131</f>
        <v>348.75</v>
      </c>
      <c r="U131" s="30">
        <f>F131+апр!J131</f>
        <v>208.75</v>
      </c>
    </row>
    <row r="132" spans="1:21" ht="54.75" customHeight="1">
      <c r="A132" s="18" t="s">
        <v>262</v>
      </c>
      <c r="B132" s="9" t="s">
        <v>123</v>
      </c>
      <c r="C132" s="8" t="s">
        <v>4</v>
      </c>
      <c r="D132" s="10"/>
      <c r="E132" s="8"/>
      <c r="F132" s="8"/>
      <c r="G132" s="10">
        <f t="shared" si="49"/>
        <v>0</v>
      </c>
      <c r="H132" s="10">
        <f>D132+июнь!H132</f>
        <v>0</v>
      </c>
      <c r="I132" s="8">
        <f>E132+июнь!I132</f>
        <v>0</v>
      </c>
      <c r="J132" s="54">
        <f>F132+июнь!J132</f>
        <v>0</v>
      </c>
      <c r="K132" s="10">
        <f t="shared" si="50"/>
        <v>0</v>
      </c>
      <c r="L132" s="16"/>
      <c r="M132" s="220"/>
      <c r="N132" s="221"/>
      <c r="O132" s="122">
        <f t="shared" si="56"/>
        <v>0</v>
      </c>
      <c r="P132" s="123" t="e">
        <f t="shared" si="57"/>
        <v>#DIV/0!</v>
      </c>
      <c r="Q132" s="114"/>
      <c r="S132">
        <f t="shared" si="46"/>
        <v>0</v>
      </c>
      <c r="T132" s="44">
        <f>E132+апр!I132</f>
        <v>0</v>
      </c>
      <c r="U132" s="30">
        <f>F132+апр!J132</f>
        <v>0</v>
      </c>
    </row>
    <row r="133" spans="1:21" ht="54" customHeight="1">
      <c r="A133" s="18" t="s">
        <v>264</v>
      </c>
      <c r="B133" s="9" t="s">
        <v>124</v>
      </c>
      <c r="C133" s="8" t="s">
        <v>4</v>
      </c>
      <c r="D133" s="10"/>
      <c r="E133" s="8"/>
      <c r="F133" s="8"/>
      <c r="G133" s="10">
        <f t="shared" si="49"/>
        <v>0</v>
      </c>
      <c r="H133" s="10">
        <f>D133+июнь!H133</f>
        <v>0</v>
      </c>
      <c r="I133" s="8">
        <f>E133+июнь!I133</f>
        <v>0</v>
      </c>
      <c r="J133" s="54">
        <f>F133+июнь!J133</f>
        <v>0</v>
      </c>
      <c r="K133" s="10">
        <f t="shared" si="50"/>
        <v>0</v>
      </c>
      <c r="L133" s="16"/>
      <c r="M133" s="220"/>
      <c r="N133" s="221"/>
      <c r="O133" s="122">
        <f t="shared" si="56"/>
        <v>0</v>
      </c>
      <c r="P133" s="123" t="e">
        <f t="shared" si="57"/>
        <v>#DIV/0!</v>
      </c>
      <c r="Q133" s="114"/>
      <c r="S133">
        <f t="shared" si="46"/>
        <v>0</v>
      </c>
      <c r="T133" s="44">
        <f>E133+апр!I133</f>
        <v>0</v>
      </c>
      <c r="U133" s="30">
        <f>F133+апр!J133</f>
        <v>0</v>
      </c>
    </row>
    <row r="134" spans="1:21" ht="17.25" customHeight="1">
      <c r="A134" s="18" t="s">
        <v>265</v>
      </c>
      <c r="B134" s="26" t="s">
        <v>125</v>
      </c>
      <c r="C134" s="8" t="s">
        <v>4</v>
      </c>
      <c r="D134" s="10">
        <v>6.4749999999999996</v>
      </c>
      <c r="E134" s="8">
        <v>6.5</v>
      </c>
      <c r="F134" s="55"/>
      <c r="G134" s="10">
        <f t="shared" si="49"/>
        <v>-6.5</v>
      </c>
      <c r="H134" s="10">
        <f>D134+июнь!H134</f>
        <v>45.325000000000003</v>
      </c>
      <c r="I134" s="8">
        <f>E134+июнь!I134</f>
        <v>45.5</v>
      </c>
      <c r="J134" s="54">
        <f>F134+июнь!J134</f>
        <v>39.731999999999999</v>
      </c>
      <c r="K134" s="10">
        <f t="shared" si="50"/>
        <v>-5.7680000000000007</v>
      </c>
      <c r="L134" s="16">
        <f t="shared" si="55"/>
        <v>-12.676923076923078</v>
      </c>
      <c r="M134" s="220"/>
      <c r="N134" s="221"/>
      <c r="O134" s="122">
        <f t="shared" si="56"/>
        <v>-5.5930000000000035</v>
      </c>
      <c r="P134" s="123">
        <f t="shared" si="57"/>
        <v>-12.339768339768346</v>
      </c>
      <c r="Q134" s="114"/>
      <c r="S134">
        <f t="shared" si="46"/>
        <v>32.375</v>
      </c>
      <c r="T134" s="44">
        <f>E134+апр!I134</f>
        <v>32.5</v>
      </c>
      <c r="U134" s="30">
        <f>F134+апр!J134</f>
        <v>0</v>
      </c>
    </row>
    <row r="135" spans="1:21" ht="17.25" customHeight="1">
      <c r="A135" s="18" t="s">
        <v>266</v>
      </c>
      <c r="B135" s="26" t="s">
        <v>232</v>
      </c>
      <c r="C135" s="8" t="s">
        <v>4</v>
      </c>
      <c r="D135" s="10"/>
      <c r="E135" s="8"/>
      <c r="F135" s="8"/>
      <c r="G135" s="10">
        <f t="shared" si="49"/>
        <v>0</v>
      </c>
      <c r="H135" s="10">
        <f>D135+июнь!H135</f>
        <v>0</v>
      </c>
      <c r="I135" s="8">
        <f>E135+июнь!I135</f>
        <v>0</v>
      </c>
      <c r="J135" s="54">
        <f>F135+июнь!J135</f>
        <v>0</v>
      </c>
      <c r="K135" s="10">
        <f t="shared" si="50"/>
        <v>0</v>
      </c>
      <c r="L135" s="16"/>
      <c r="M135" s="220"/>
      <c r="N135" s="221"/>
      <c r="O135" s="122">
        <f t="shared" si="56"/>
        <v>0</v>
      </c>
      <c r="P135" s="123" t="e">
        <f t="shared" si="57"/>
        <v>#DIV/0!</v>
      </c>
      <c r="Q135" s="114"/>
      <c r="S135">
        <f t="shared" si="46"/>
        <v>0</v>
      </c>
      <c r="T135" s="44">
        <f>E135+апр!I135</f>
        <v>0</v>
      </c>
      <c r="U135" s="30">
        <f>F135+апр!J135</f>
        <v>0</v>
      </c>
    </row>
    <row r="136" spans="1:21" ht="55.5" customHeight="1">
      <c r="A136" s="18"/>
      <c r="B136" s="26" t="s">
        <v>311</v>
      </c>
      <c r="C136" s="8" t="s">
        <v>4</v>
      </c>
      <c r="D136" s="10"/>
      <c r="E136" s="8">
        <v>79.167000000000002</v>
      </c>
      <c r="F136" s="54">
        <v>79.17</v>
      </c>
      <c r="G136" s="10">
        <f t="shared" si="49"/>
        <v>3.0000000000001137E-3</v>
      </c>
      <c r="H136" s="10">
        <f>D136+июнь!H136</f>
        <v>0</v>
      </c>
      <c r="I136" s="8">
        <f>E136+июнь!I136</f>
        <v>554.1690000000001</v>
      </c>
      <c r="J136" s="54">
        <f>F136+июнь!J136</f>
        <v>554.18600000000004</v>
      </c>
      <c r="K136" s="10">
        <f t="shared" si="50"/>
        <v>1.6999999999939064E-2</v>
      </c>
      <c r="L136" s="16">
        <f t="shared" si="55"/>
        <v>3.0676562564739382E-3</v>
      </c>
      <c r="M136" s="124"/>
      <c r="N136" s="125"/>
      <c r="O136" s="122">
        <f t="shared" si="56"/>
        <v>554.18600000000004</v>
      </c>
      <c r="P136" s="123" t="e">
        <f t="shared" si="57"/>
        <v>#DIV/0!</v>
      </c>
      <c r="Q136" s="114"/>
      <c r="S136">
        <f t="shared" si="46"/>
        <v>0</v>
      </c>
      <c r="T136" s="44">
        <f>E136+апр!I136</f>
        <v>395.83500000000004</v>
      </c>
      <c r="U136" s="30">
        <f>F136+апр!J136</f>
        <v>395.84600000000006</v>
      </c>
    </row>
    <row r="137" spans="1:21" ht="55.5" customHeight="1">
      <c r="A137" s="18"/>
      <c r="B137" s="26" t="s">
        <v>312</v>
      </c>
      <c r="C137" s="8" t="s">
        <v>4</v>
      </c>
      <c r="D137" s="10"/>
      <c r="E137" s="8">
        <v>83.332999999999998</v>
      </c>
      <c r="F137" s="54"/>
      <c r="G137" s="10">
        <f t="shared" si="49"/>
        <v>-83.332999999999998</v>
      </c>
      <c r="H137" s="10">
        <f>D137+июнь!H137</f>
        <v>0</v>
      </c>
      <c r="I137" s="8">
        <f>E137+июнь!I137</f>
        <v>583.3309999999999</v>
      </c>
      <c r="J137" s="54">
        <f>F137+июнь!J137</f>
        <v>500</v>
      </c>
      <c r="K137" s="10">
        <f t="shared" si="50"/>
        <v>-83.330999999999904</v>
      </c>
      <c r="L137" s="16">
        <f t="shared" si="55"/>
        <v>-14.28537142719998</v>
      </c>
      <c r="M137" s="124"/>
      <c r="N137" s="125"/>
      <c r="O137" s="122">
        <f t="shared" si="56"/>
        <v>500</v>
      </c>
      <c r="P137" s="123" t="e">
        <f t="shared" si="57"/>
        <v>#DIV/0!</v>
      </c>
      <c r="Q137" s="114"/>
      <c r="R137" s="30">
        <f>F141-R141</f>
        <v>-319.10599999999977</v>
      </c>
      <c r="S137">
        <f t="shared" ref="S137:S203" si="69">D137*5</f>
        <v>0</v>
      </c>
      <c r="T137" s="44">
        <f>E137+апр!I137</f>
        <v>416.66499999999996</v>
      </c>
      <c r="U137" s="30">
        <f>F137+апр!J137</f>
        <v>250</v>
      </c>
    </row>
    <row r="138" spans="1:21" ht="55.5" customHeight="1">
      <c r="A138" s="18"/>
      <c r="B138" s="26" t="s">
        <v>327</v>
      </c>
      <c r="C138" s="8" t="s">
        <v>4</v>
      </c>
      <c r="D138" s="10"/>
      <c r="E138" s="8"/>
      <c r="F138" s="54"/>
      <c r="G138" s="10"/>
      <c r="H138" s="10">
        <f>D138+июнь!H138</f>
        <v>16925.580000000002</v>
      </c>
      <c r="I138" s="8"/>
      <c r="J138" s="10">
        <f>F138+июнь!J138</f>
        <v>241.268</v>
      </c>
      <c r="K138" s="10"/>
      <c r="L138" s="16"/>
      <c r="M138" s="124"/>
      <c r="N138" s="125"/>
      <c r="O138" s="122">
        <f t="shared" si="56"/>
        <v>-16684.312000000002</v>
      </c>
      <c r="P138" s="123">
        <f t="shared" si="57"/>
        <v>-98.574536293586391</v>
      </c>
      <c r="Q138" s="114"/>
      <c r="R138" s="30"/>
      <c r="T138" s="44"/>
      <c r="U138" s="30"/>
    </row>
    <row r="139" spans="1:21" ht="55.5" customHeight="1">
      <c r="A139" s="18"/>
      <c r="B139" s="26" t="s">
        <v>328</v>
      </c>
      <c r="C139" s="8" t="s">
        <v>4</v>
      </c>
      <c r="D139" s="10"/>
      <c r="E139" s="8"/>
      <c r="F139" s="54"/>
      <c r="G139" s="10"/>
      <c r="H139" s="10">
        <f>D139+июнь!H139</f>
        <v>16925.580000000002</v>
      </c>
      <c r="I139" s="8"/>
      <c r="J139" s="10">
        <f>F139+июнь!J139</f>
        <v>27.808</v>
      </c>
      <c r="K139" s="10"/>
      <c r="L139" s="16"/>
      <c r="M139" s="124"/>
      <c r="N139" s="125"/>
      <c r="O139" s="122">
        <f t="shared" si="56"/>
        <v>-16897.772000000001</v>
      </c>
      <c r="P139" s="123">
        <f t="shared" si="57"/>
        <v>-99.835704300827501</v>
      </c>
      <c r="Q139" s="114"/>
      <c r="R139" s="30"/>
      <c r="T139" s="44"/>
      <c r="U139" s="30"/>
    </row>
    <row r="140" spans="1:21" ht="55.5" customHeight="1">
      <c r="A140" s="18"/>
      <c r="B140" s="26" t="s">
        <v>334</v>
      </c>
      <c r="C140" s="8"/>
      <c r="D140" s="10"/>
      <c r="E140" s="8"/>
      <c r="F140" s="54">
        <v>8.4369999999999994</v>
      </c>
      <c r="G140" s="10"/>
      <c r="H140" s="10"/>
      <c r="I140" s="8"/>
      <c r="J140" s="10"/>
      <c r="K140" s="10"/>
      <c r="L140" s="16"/>
      <c r="M140" s="147"/>
      <c r="N140" s="148"/>
      <c r="O140" s="122"/>
      <c r="P140" s="123"/>
      <c r="Q140" s="114"/>
      <c r="R140" s="30"/>
      <c r="T140" s="44"/>
      <c r="U140" s="30"/>
    </row>
    <row r="141" spans="1:21" ht="17.25" customHeight="1">
      <c r="A141" s="132" t="s">
        <v>126</v>
      </c>
      <c r="B141" s="6" t="s">
        <v>127</v>
      </c>
      <c r="C141" s="8" t="s">
        <v>4</v>
      </c>
      <c r="D141" s="7">
        <f t="shared" ref="D141:J141" si="70">D142</f>
        <v>3385.116</v>
      </c>
      <c r="E141" s="7">
        <f t="shared" si="70"/>
        <v>2989.2490000000003</v>
      </c>
      <c r="F141" s="7">
        <f t="shared" si="70"/>
        <v>2105.277</v>
      </c>
      <c r="G141" s="10">
        <f t="shared" si="49"/>
        <v>-883.97200000000021</v>
      </c>
      <c r="H141" s="7">
        <f t="shared" si="70"/>
        <v>31824.545173229209</v>
      </c>
      <c r="I141" s="7">
        <f t="shared" si="70"/>
        <v>19624.806780617677</v>
      </c>
      <c r="J141" s="7">
        <f t="shared" si="70"/>
        <v>17442.807000000001</v>
      </c>
      <c r="K141" s="10">
        <f t="shared" si="50"/>
        <v>-2181.9997806176762</v>
      </c>
      <c r="L141" s="16">
        <f t="shared" si="55"/>
        <v>-11.118579688502795</v>
      </c>
      <c r="M141" s="220"/>
      <c r="N141" s="221"/>
      <c r="O141" s="122">
        <f t="shared" si="56"/>
        <v>-14381.738173229209</v>
      </c>
      <c r="P141" s="123">
        <f t="shared" si="57"/>
        <v>-45.190710801821979</v>
      </c>
      <c r="Q141" s="114"/>
      <c r="R141">
        <v>2424.3829999999998</v>
      </c>
      <c r="S141">
        <f t="shared" si="69"/>
        <v>16925.580000000002</v>
      </c>
      <c r="T141" s="44">
        <f>E141+апр!I138</f>
        <v>14946.245000000001</v>
      </c>
      <c r="U141" s="30">
        <f>F141+апр!J138</f>
        <v>11278.473000000002</v>
      </c>
    </row>
    <row r="142" spans="1:21" ht="17.25" customHeight="1">
      <c r="A142" s="132">
        <v>6</v>
      </c>
      <c r="B142" s="6" t="s">
        <v>128</v>
      </c>
      <c r="C142" s="132" t="s">
        <v>4</v>
      </c>
      <c r="D142" s="7">
        <f>D143+D148+D149+D150+D151+D152+D153+D154+D157+D159+D175+D179+D180+D182+D187+D186+D191</f>
        <v>3385.116</v>
      </c>
      <c r="E142" s="7">
        <f t="shared" ref="E142:F142" si="71">E143+E148+E149+E150+E151+E152+E153+E154+E157+E159+E175+E179+E180+E182+E187+E186+E191</f>
        <v>2989.2490000000003</v>
      </c>
      <c r="F142" s="7">
        <f t="shared" si="71"/>
        <v>2105.277</v>
      </c>
      <c r="G142" s="10">
        <f>F142-E142</f>
        <v>-883.97200000000021</v>
      </c>
      <c r="H142" s="7">
        <f>H143+H148+H149+H150+H151+H152+H153+H154+H157+H159+H175+H179+H180+H182+H187+H186+H191</f>
        <v>31824.545173229209</v>
      </c>
      <c r="I142" s="7">
        <f t="shared" ref="I142:J142" si="72">I143+I148+I149+I150+I151+I152+I153+I154+I157+I159+I175+I179+I180+I182+I187+I186+I191</f>
        <v>19624.806780617677</v>
      </c>
      <c r="J142" s="89">
        <f t="shared" si="72"/>
        <v>17442.807000000001</v>
      </c>
      <c r="K142" s="10">
        <f t="shared" si="50"/>
        <v>-2181.9997806176762</v>
      </c>
      <c r="L142" s="16">
        <f t="shared" si="55"/>
        <v>-11.118579688502795</v>
      </c>
      <c r="M142" s="220"/>
      <c r="N142" s="221"/>
      <c r="O142" s="122">
        <f t="shared" si="56"/>
        <v>-14381.738173229209</v>
      </c>
      <c r="P142" s="123">
        <f t="shared" si="57"/>
        <v>-45.190710801821979</v>
      </c>
      <c r="Q142" s="114"/>
      <c r="S142">
        <f t="shared" si="69"/>
        <v>16925.580000000002</v>
      </c>
      <c r="T142" s="44">
        <f>E142+апр!I139</f>
        <v>14946.245000000001</v>
      </c>
      <c r="U142" s="30">
        <f>F142+апр!J139</f>
        <v>11278.473000000002</v>
      </c>
    </row>
    <row r="143" spans="1:21" ht="17.25" customHeight="1">
      <c r="A143" s="132" t="s">
        <v>129</v>
      </c>
      <c r="B143" s="6" t="s">
        <v>130</v>
      </c>
      <c r="C143" s="132" t="s">
        <v>4</v>
      </c>
      <c r="D143" s="7">
        <f t="shared" ref="D143:F143" si="73">D144+D145</f>
        <v>97.608999999999995</v>
      </c>
      <c r="E143" s="7">
        <f t="shared" si="73"/>
        <v>97.582999999999998</v>
      </c>
      <c r="F143" s="7">
        <f t="shared" si="73"/>
        <v>79.150000000000006</v>
      </c>
      <c r="G143" s="10">
        <f t="shared" ref="G143:G207" si="74">F143-E143</f>
        <v>-18.432999999999993</v>
      </c>
      <c r="H143" s="7">
        <f t="shared" ref="H143:J143" si="75">H144+H145</f>
        <v>427.52950656254359</v>
      </c>
      <c r="I143" s="7">
        <f t="shared" si="75"/>
        <v>427.2197806176784</v>
      </c>
      <c r="J143" s="7">
        <f t="shared" si="75"/>
        <v>454.63800000000003</v>
      </c>
      <c r="K143" s="10">
        <f t="shared" ref="K143:K207" si="76">J143-I143</f>
        <v>27.418219382321638</v>
      </c>
      <c r="L143" s="16">
        <f t="shared" si="55"/>
        <v>6.417825350380574</v>
      </c>
      <c r="M143" s="220"/>
      <c r="N143" s="221"/>
      <c r="O143" s="122">
        <f t="shared" si="56"/>
        <v>27.108493437456445</v>
      </c>
      <c r="P143" s="123">
        <f t="shared" si="57"/>
        <v>6.3407304107303126</v>
      </c>
      <c r="Q143" s="114"/>
      <c r="S143">
        <f t="shared" si="69"/>
        <v>488.04499999999996</v>
      </c>
      <c r="T143" s="44">
        <f>E143+апр!I140</f>
        <v>487.91499999999996</v>
      </c>
      <c r="U143" s="30">
        <f>F143+апр!J140</f>
        <v>372.14800000000002</v>
      </c>
    </row>
    <row r="144" spans="1:21" ht="37.5">
      <c r="A144" s="8" t="s">
        <v>131</v>
      </c>
      <c r="B144" s="9" t="s">
        <v>132</v>
      </c>
      <c r="C144" s="8" t="s">
        <v>4</v>
      </c>
      <c r="D144" s="10">
        <v>42.552999999999997</v>
      </c>
      <c r="E144" s="10">
        <v>42.5</v>
      </c>
      <c r="F144" s="10">
        <v>42.439</v>
      </c>
      <c r="G144" s="10">
        <f t="shared" si="74"/>
        <v>-6.0999999999999943E-2</v>
      </c>
      <c r="H144" s="10">
        <f>D144+июнь!H143</f>
        <v>297.87099999999998</v>
      </c>
      <c r="I144" s="10">
        <f>E144+июнь!I143</f>
        <v>297.5</v>
      </c>
      <c r="J144" s="54">
        <f>F144+июнь!J143</f>
        <v>281.97400000000005</v>
      </c>
      <c r="K144" s="10">
        <f t="shared" si="76"/>
        <v>-15.525999999999954</v>
      </c>
      <c r="L144" s="16">
        <f t="shared" si="55"/>
        <v>-5.2188235294117495</v>
      </c>
      <c r="M144" s="220"/>
      <c r="N144" s="221"/>
      <c r="O144" s="122">
        <f t="shared" si="56"/>
        <v>-15.896999999999935</v>
      </c>
      <c r="P144" s="123">
        <f t="shared" si="57"/>
        <v>-5.3368740159330494</v>
      </c>
      <c r="Q144" s="114"/>
      <c r="S144">
        <f t="shared" si="69"/>
        <v>212.76499999999999</v>
      </c>
      <c r="T144" s="44">
        <f>E144+апр!I141</f>
        <v>212.5</v>
      </c>
      <c r="U144" s="30">
        <f>F144+апр!J141</f>
        <v>199.48400000000001</v>
      </c>
    </row>
    <row r="145" spans="1:21" ht="17.25" customHeight="1">
      <c r="A145" s="8" t="s">
        <v>133</v>
      </c>
      <c r="B145" s="9" t="s">
        <v>63</v>
      </c>
      <c r="C145" s="8" t="s">
        <v>4</v>
      </c>
      <c r="D145" s="10">
        <v>55.055999999999997</v>
      </c>
      <c r="E145" s="8">
        <v>55.082999999999998</v>
      </c>
      <c r="F145" s="8">
        <f>36.711</f>
        <v>36.710999999999999</v>
      </c>
      <c r="G145" s="10">
        <f t="shared" si="74"/>
        <v>-18.372</v>
      </c>
      <c r="H145" s="10">
        <f>D145+июнь!H144</f>
        <v>129.65850656254361</v>
      </c>
      <c r="I145" s="8">
        <f>E145+июнь!I144</f>
        <v>129.7197806176784</v>
      </c>
      <c r="J145" s="54">
        <f>F145+июнь!J144</f>
        <v>172.66399999999999</v>
      </c>
      <c r="K145" s="10">
        <f t="shared" si="76"/>
        <v>42.944219382321592</v>
      </c>
      <c r="L145" s="16">
        <f t="shared" si="55"/>
        <v>33.105374660546637</v>
      </c>
      <c r="M145" s="220"/>
      <c r="N145" s="221"/>
      <c r="O145" s="122">
        <f t="shared" si="56"/>
        <v>43.00549343745638</v>
      </c>
      <c r="P145" s="123">
        <f t="shared" si="57"/>
        <v>33.168277637620129</v>
      </c>
      <c r="Q145" s="114"/>
      <c r="S145">
        <f t="shared" si="69"/>
        <v>275.27999999999997</v>
      </c>
      <c r="T145" s="44">
        <f>E145+апр!I142</f>
        <v>275.41499999999996</v>
      </c>
      <c r="U145" s="30">
        <f>F145+апр!J142</f>
        <v>172.66399999999999</v>
      </c>
    </row>
    <row r="146" spans="1:21" s="144" customFormat="1" ht="17.25" customHeight="1">
      <c r="A146" s="55"/>
      <c r="B146" s="136" t="s">
        <v>68</v>
      </c>
      <c r="C146" s="137" t="s">
        <v>66</v>
      </c>
      <c r="D146" s="138">
        <v>2816.6669999999999</v>
      </c>
      <c r="E146" s="139">
        <v>2817</v>
      </c>
      <c r="F146" s="139"/>
      <c r="G146" s="54">
        <f t="shared" si="74"/>
        <v>-2817</v>
      </c>
      <c r="H146" s="54">
        <f>D146+июнь!H145</f>
        <v>15205.123999999998</v>
      </c>
      <c r="I146" s="55">
        <f>E146+июнь!I145</f>
        <v>12716.084999999999</v>
      </c>
      <c r="J146" s="54">
        <f>F146+июнь!J145</f>
        <v>552</v>
      </c>
      <c r="K146" s="54">
        <f t="shared" si="76"/>
        <v>-12164.084999999999</v>
      </c>
      <c r="L146" s="140"/>
      <c r="M146" s="259"/>
      <c r="N146" s="260"/>
      <c r="O146" s="141">
        <f t="shared" si="56"/>
        <v>-14653.123999999998</v>
      </c>
      <c r="P146" s="142">
        <f t="shared" si="57"/>
        <v>-96.369644864454912</v>
      </c>
      <c r="Q146" s="143"/>
      <c r="S146" s="144">
        <f t="shared" si="69"/>
        <v>14083.334999999999</v>
      </c>
      <c r="T146" s="145">
        <f>E146+апр!I143</f>
        <v>2817</v>
      </c>
      <c r="U146" s="146">
        <f>F146+апр!J143</f>
        <v>552</v>
      </c>
    </row>
    <row r="147" spans="1:21" ht="17.25" customHeight="1">
      <c r="A147" s="8"/>
      <c r="B147" s="12" t="s">
        <v>15</v>
      </c>
      <c r="C147" s="13" t="s">
        <v>16</v>
      </c>
      <c r="D147" s="16">
        <f t="shared" ref="D147:F147" si="77">D145/D146*1000</f>
        <v>19.546506562543602</v>
      </c>
      <c r="E147" s="16">
        <f t="shared" si="77"/>
        <v>19.553780617678381</v>
      </c>
      <c r="F147" s="16" t="e">
        <f t="shared" si="77"/>
        <v>#DIV/0!</v>
      </c>
      <c r="G147" s="10" t="e">
        <f t="shared" si="74"/>
        <v>#DIV/0!</v>
      </c>
      <c r="H147" s="16">
        <f t="shared" ref="H147:I147" si="78">H145/H146*1000</f>
        <v>8.5272903109861939</v>
      </c>
      <c r="I147" s="16">
        <f t="shared" si="78"/>
        <v>10.201235727637744</v>
      </c>
      <c r="J147" s="16">
        <f>J145/J146*1000</f>
        <v>312.79710144927537</v>
      </c>
      <c r="K147" s="10">
        <f t="shared" si="76"/>
        <v>302.59586572163761</v>
      </c>
      <c r="L147" s="16"/>
      <c r="M147" s="220"/>
      <c r="N147" s="221"/>
      <c r="O147" s="122">
        <f t="shared" si="56"/>
        <v>304.26981113828919</v>
      </c>
      <c r="P147" s="123">
        <f t="shared" si="57"/>
        <v>3568.1887216421032</v>
      </c>
      <c r="Q147" s="114"/>
      <c r="S147">
        <f t="shared" si="69"/>
        <v>97.732532812718006</v>
      </c>
      <c r="T147" s="44">
        <f>E147+апр!I144</f>
        <v>19.553780617678381</v>
      </c>
      <c r="U147" s="30" t="e">
        <f>F147+апр!J144</f>
        <v>#DIV/0!</v>
      </c>
    </row>
    <row r="148" spans="1:21" ht="32.25" customHeight="1">
      <c r="A148" s="8" t="s">
        <v>134</v>
      </c>
      <c r="B148" s="9" t="s">
        <v>135</v>
      </c>
      <c r="C148" s="8" t="s">
        <v>4</v>
      </c>
      <c r="D148" s="10">
        <v>1914.3579999999999</v>
      </c>
      <c r="E148" s="8">
        <v>1416.4169999999999</v>
      </c>
      <c r="F148" s="54">
        <v>1383.2349999999999</v>
      </c>
      <c r="G148" s="10">
        <f t="shared" si="74"/>
        <v>-33.182000000000016</v>
      </c>
      <c r="H148" s="10">
        <f>D148+июнь!H147</f>
        <v>13400.505999999999</v>
      </c>
      <c r="I148" s="8">
        <f>E148+июнь!I147</f>
        <v>9914.9189999999981</v>
      </c>
      <c r="J148" s="54">
        <f>F148+июнь!J147</f>
        <v>9829.648000000001</v>
      </c>
      <c r="K148" s="10">
        <f t="shared" si="76"/>
        <v>-85.270999999997002</v>
      </c>
      <c r="L148" s="16">
        <f>K148/I148*100</f>
        <v>-0.86002719739815336</v>
      </c>
      <c r="M148" s="227"/>
      <c r="N148" s="228"/>
      <c r="O148" s="122">
        <f>J148-H148</f>
        <v>-3570.8579999999984</v>
      </c>
      <c r="P148" s="123">
        <f>O148/H148*100</f>
        <v>-26.647187800221861</v>
      </c>
      <c r="Q148" s="116"/>
      <c r="S148">
        <f t="shared" si="69"/>
        <v>9571.7899999999991</v>
      </c>
      <c r="T148" s="44">
        <f>E148+апр!I145</f>
        <v>7082.0849999999991</v>
      </c>
      <c r="U148" s="30">
        <f>F148+апр!J145</f>
        <v>6801.2839999999997</v>
      </c>
    </row>
    <row r="149" spans="1:21" ht="17.25" customHeight="1">
      <c r="A149" s="8" t="s">
        <v>136</v>
      </c>
      <c r="B149" s="9" t="s">
        <v>77</v>
      </c>
      <c r="C149" s="8" t="s">
        <v>4</v>
      </c>
      <c r="D149" s="10">
        <v>105.29</v>
      </c>
      <c r="E149" s="10">
        <v>76.5</v>
      </c>
      <c r="F149" s="55">
        <v>86.805000000000007</v>
      </c>
      <c r="G149" s="10">
        <f t="shared" si="74"/>
        <v>10.305000000000007</v>
      </c>
      <c r="H149" s="10">
        <f>D149+июнь!H148</f>
        <v>210.58</v>
      </c>
      <c r="I149" s="8">
        <f>E149+июнь!I148</f>
        <v>535.5</v>
      </c>
      <c r="J149" s="54">
        <f>F149+июнь!J148</f>
        <v>588.32799999999997</v>
      </c>
      <c r="K149" s="10">
        <f t="shared" si="76"/>
        <v>52.827999999999975</v>
      </c>
      <c r="L149" s="16">
        <f t="shared" si="55"/>
        <v>9.8651727357609662</v>
      </c>
      <c r="M149" s="227"/>
      <c r="N149" s="228"/>
      <c r="O149" s="122">
        <f t="shared" ref="O149:O213" si="79">J149-H149</f>
        <v>377.74799999999993</v>
      </c>
      <c r="P149" s="123">
        <f t="shared" ref="P149:P213" si="80">O149/H149*100</f>
        <v>179.38455693798076</v>
      </c>
      <c r="Q149" s="116"/>
      <c r="S149">
        <f t="shared" si="69"/>
        <v>526.45000000000005</v>
      </c>
      <c r="T149" s="44">
        <f>E149+апр!I146</f>
        <v>382.5</v>
      </c>
      <c r="U149" s="30">
        <f>F149+апр!J146</f>
        <v>409.22399999999999</v>
      </c>
    </row>
    <row r="150" spans="1:21" ht="17.25" customHeight="1">
      <c r="A150" s="8"/>
      <c r="B150" s="9" t="s">
        <v>307</v>
      </c>
      <c r="C150" s="8" t="s">
        <v>4</v>
      </c>
      <c r="D150" s="10">
        <v>84.231999999999999</v>
      </c>
      <c r="E150" s="10">
        <v>63.75</v>
      </c>
      <c r="F150" s="55">
        <v>31.954000000000001</v>
      </c>
      <c r="G150" s="10">
        <f t="shared" si="74"/>
        <v>-31.795999999999999</v>
      </c>
      <c r="H150" s="10">
        <f>D150+июнь!H149</f>
        <v>168.464</v>
      </c>
      <c r="I150" s="8">
        <f>E150+июнь!I149</f>
        <v>446.25</v>
      </c>
      <c r="J150" s="54">
        <f>F150+июнь!J149</f>
        <v>267.97099999999995</v>
      </c>
      <c r="K150" s="10">
        <f t="shared" si="76"/>
        <v>-178.27900000000005</v>
      </c>
      <c r="L150" s="16">
        <f t="shared" si="55"/>
        <v>-39.950476190476202</v>
      </c>
      <c r="M150" s="129"/>
      <c r="N150" s="130"/>
      <c r="O150" s="122">
        <f t="shared" si="79"/>
        <v>99.506999999999948</v>
      </c>
      <c r="P150" s="123">
        <f t="shared" si="80"/>
        <v>59.067219109127144</v>
      </c>
      <c r="Q150" s="116"/>
      <c r="S150">
        <f t="shared" si="69"/>
        <v>421.15999999999997</v>
      </c>
      <c r="T150" s="44">
        <f>E150+апр!I147</f>
        <v>318.75</v>
      </c>
      <c r="U150" s="30">
        <f>F150+апр!J147</f>
        <v>183.44799999999998</v>
      </c>
    </row>
    <row r="151" spans="1:21" ht="17.25" customHeight="1">
      <c r="A151" s="8"/>
      <c r="B151" s="9" t="s">
        <v>310</v>
      </c>
      <c r="C151" s="8" t="s">
        <v>4</v>
      </c>
      <c r="D151" s="10"/>
      <c r="E151" s="10">
        <v>21.25</v>
      </c>
      <c r="F151" s="55">
        <v>16.048999999999999</v>
      </c>
      <c r="G151" s="10">
        <f t="shared" si="74"/>
        <v>-5.2010000000000005</v>
      </c>
      <c r="H151" s="10">
        <f>D151+июнь!H150</f>
        <v>387.9</v>
      </c>
      <c r="I151" s="8">
        <f>E151+июнь!I150</f>
        <v>127.5</v>
      </c>
      <c r="J151" s="54">
        <f>F151+июнь!J150</f>
        <v>125.40600000000001</v>
      </c>
      <c r="K151" s="10">
        <f t="shared" si="76"/>
        <v>-2.0939999999999941</v>
      </c>
      <c r="L151" s="16">
        <f t="shared" si="55"/>
        <v>-1.6423529411764659</v>
      </c>
      <c r="M151" s="129"/>
      <c r="N151" s="130"/>
      <c r="O151" s="122">
        <f t="shared" si="79"/>
        <v>-262.49399999999997</v>
      </c>
      <c r="P151" s="123">
        <f t="shared" si="80"/>
        <v>-67.67053364269141</v>
      </c>
      <c r="Q151" s="116"/>
      <c r="S151">
        <f t="shared" si="69"/>
        <v>0</v>
      </c>
      <c r="T151" s="44">
        <f>E151+апр!I148</f>
        <v>106.25</v>
      </c>
      <c r="U151" s="30">
        <f>F151+апр!J148</f>
        <v>85.382000000000005</v>
      </c>
    </row>
    <row r="152" spans="1:21" ht="17.25" customHeight="1">
      <c r="A152" s="8"/>
      <c r="B152" s="9" t="s">
        <v>315</v>
      </c>
      <c r="C152" s="8" t="s">
        <v>4</v>
      </c>
      <c r="D152" s="10"/>
      <c r="E152" s="10"/>
      <c r="F152" s="10"/>
      <c r="G152" s="10">
        <f t="shared" si="74"/>
        <v>0</v>
      </c>
      <c r="H152" s="10">
        <f>D152+июнь!H151</f>
        <v>1195.7449999999999</v>
      </c>
      <c r="I152" s="8">
        <f>E152+июнь!I151</f>
        <v>0</v>
      </c>
      <c r="J152" s="54">
        <f>F152+июнь!J151</f>
        <v>211.14000000000004</v>
      </c>
      <c r="K152" s="10"/>
      <c r="L152" s="16"/>
      <c r="M152" s="129"/>
      <c r="N152" s="130"/>
      <c r="O152" s="122">
        <f t="shared" si="79"/>
        <v>-984.60499999999979</v>
      </c>
      <c r="P152" s="123">
        <f t="shared" si="80"/>
        <v>-82.342389054522485</v>
      </c>
      <c r="Q152" s="116"/>
      <c r="S152">
        <f t="shared" si="69"/>
        <v>0</v>
      </c>
      <c r="T152" s="44">
        <f>E152+апр!I149</f>
        <v>0</v>
      </c>
      <c r="U152" s="30">
        <f>F152+апр!J149</f>
        <v>211.14000000000004</v>
      </c>
    </row>
    <row r="153" spans="1:21" ht="17.25" customHeight="1">
      <c r="A153" s="8" t="s">
        <v>137</v>
      </c>
      <c r="B153" s="9" t="s">
        <v>138</v>
      </c>
      <c r="C153" s="8" t="s">
        <v>4</v>
      </c>
      <c r="D153" s="10">
        <v>77.58</v>
      </c>
      <c r="E153" s="8">
        <v>77.582999999999998</v>
      </c>
      <c r="F153" s="55">
        <v>62.003999999999998</v>
      </c>
      <c r="G153" s="10">
        <f t="shared" si="74"/>
        <v>-15.579000000000001</v>
      </c>
      <c r="H153" s="10">
        <f>D153+июнь!H152</f>
        <v>198.95</v>
      </c>
      <c r="I153" s="8">
        <f>E153+июнь!I152</f>
        <v>543.0809999999999</v>
      </c>
      <c r="J153" s="54">
        <f>F153+июнь!J152</f>
        <v>863.27599999999995</v>
      </c>
      <c r="K153" s="10">
        <f t="shared" si="76"/>
        <v>320.19500000000005</v>
      </c>
      <c r="L153" s="16">
        <f t="shared" si="55"/>
        <v>58.958976653574716</v>
      </c>
      <c r="M153" s="227" t="s">
        <v>301</v>
      </c>
      <c r="N153" s="228"/>
      <c r="O153" s="122">
        <f t="shared" si="79"/>
        <v>664.32600000000002</v>
      </c>
      <c r="P153" s="123">
        <f t="shared" si="80"/>
        <v>333.9160593113848</v>
      </c>
      <c r="Q153" s="116"/>
      <c r="S153">
        <f t="shared" si="69"/>
        <v>387.9</v>
      </c>
      <c r="T153" s="44">
        <f>E153+апр!I150</f>
        <v>387.91499999999996</v>
      </c>
      <c r="U153" s="30">
        <f>F153+апр!J150</f>
        <v>624.10900000000004</v>
      </c>
    </row>
    <row r="154" spans="1:21" ht="17.25" customHeight="1">
      <c r="A154" s="132" t="s">
        <v>139</v>
      </c>
      <c r="B154" s="6" t="s">
        <v>140</v>
      </c>
      <c r="C154" s="132" t="s">
        <v>4</v>
      </c>
      <c r="D154" s="7">
        <f t="shared" ref="D154:F154" si="81">D155+D156</f>
        <v>239.149</v>
      </c>
      <c r="E154" s="132">
        <v>47.832999999999998</v>
      </c>
      <c r="F154" s="7">
        <f t="shared" si="81"/>
        <v>62.483000000000004</v>
      </c>
      <c r="G154" s="10">
        <f t="shared" si="74"/>
        <v>14.650000000000006</v>
      </c>
      <c r="H154" s="7">
        <f t="shared" ref="H154" si="82">H155+H156</f>
        <v>616.85799999999995</v>
      </c>
      <c r="I154" s="8">
        <f>E154+июнь!I153</f>
        <v>334.83100000000002</v>
      </c>
      <c r="J154" s="7">
        <f t="shared" ref="J154" si="83">J155+J156</f>
        <v>365.93200000000002</v>
      </c>
      <c r="K154" s="10">
        <f t="shared" si="76"/>
        <v>31.100999999999999</v>
      </c>
      <c r="L154" s="16">
        <f t="shared" si="55"/>
        <v>9.2885664708464866</v>
      </c>
      <c r="M154" s="220"/>
      <c r="N154" s="221"/>
      <c r="O154" s="122">
        <f t="shared" si="79"/>
        <v>-250.92599999999993</v>
      </c>
      <c r="P154" s="123">
        <f t="shared" si="80"/>
        <v>-40.678081503360566</v>
      </c>
      <c r="Q154" s="114"/>
      <c r="S154">
        <f t="shared" si="69"/>
        <v>1195.7449999999999</v>
      </c>
      <c r="T154" s="44">
        <f>E154+апр!I151</f>
        <v>239.16499999999999</v>
      </c>
      <c r="U154" s="30">
        <f>F154+апр!J151</f>
        <v>240.41400000000002</v>
      </c>
    </row>
    <row r="155" spans="1:21" ht="17.25" customHeight="1">
      <c r="A155" s="8" t="s">
        <v>141</v>
      </c>
      <c r="B155" s="9" t="s">
        <v>81</v>
      </c>
      <c r="C155" s="8" t="s">
        <v>4</v>
      </c>
      <c r="D155" s="10">
        <v>8.7579999999999991</v>
      </c>
      <c r="E155" s="8"/>
      <c r="F155" s="55">
        <v>50.508000000000003</v>
      </c>
      <c r="G155" s="10">
        <f t="shared" si="74"/>
        <v>50.508000000000003</v>
      </c>
      <c r="H155" s="10">
        <f>D155+июнь!H154</f>
        <v>86.795999999999992</v>
      </c>
      <c r="I155" s="8"/>
      <c r="J155" s="54">
        <f>F155+июнь!J154</f>
        <v>282.10599999999999</v>
      </c>
      <c r="K155" s="10">
        <f t="shared" si="76"/>
        <v>282.10599999999999</v>
      </c>
      <c r="L155" s="16"/>
      <c r="M155" s="220"/>
      <c r="N155" s="221"/>
      <c r="O155" s="122">
        <f t="shared" si="79"/>
        <v>195.31</v>
      </c>
      <c r="P155" s="123">
        <f t="shared" si="80"/>
        <v>225.02189040969634</v>
      </c>
      <c r="Q155" s="114"/>
      <c r="S155">
        <f t="shared" si="69"/>
        <v>43.789999999999992</v>
      </c>
      <c r="T155" s="44">
        <f>E155+апр!I152</f>
        <v>0</v>
      </c>
      <c r="U155" s="30">
        <f>F155+апр!J152</f>
        <v>180.53800000000001</v>
      </c>
    </row>
    <row r="156" spans="1:21" ht="17.25" customHeight="1">
      <c r="A156" s="8" t="s">
        <v>142</v>
      </c>
      <c r="B156" s="9" t="s">
        <v>143</v>
      </c>
      <c r="C156" s="8"/>
      <c r="D156" s="10">
        <v>230.39099999999999</v>
      </c>
      <c r="E156" s="8"/>
      <c r="F156" s="55">
        <v>11.975</v>
      </c>
      <c r="G156" s="10">
        <f t="shared" si="74"/>
        <v>11.975</v>
      </c>
      <c r="H156" s="10">
        <f>D156+июнь!H155</f>
        <v>530.06200000000001</v>
      </c>
      <c r="I156" s="8"/>
      <c r="J156" s="54">
        <f>F156+июнь!J155</f>
        <v>83.825999999999993</v>
      </c>
      <c r="K156" s="10">
        <f t="shared" si="76"/>
        <v>83.825999999999993</v>
      </c>
      <c r="L156" s="16"/>
      <c r="M156" s="220"/>
      <c r="N156" s="221"/>
      <c r="O156" s="122">
        <f t="shared" si="79"/>
        <v>-446.23599999999999</v>
      </c>
      <c r="P156" s="123">
        <f t="shared" si="80"/>
        <v>-84.18562356856367</v>
      </c>
      <c r="Q156" s="114"/>
      <c r="S156">
        <f t="shared" si="69"/>
        <v>1151.9549999999999</v>
      </c>
      <c r="T156" s="44">
        <f>E156+апр!I153</f>
        <v>0</v>
      </c>
      <c r="U156" s="30">
        <f>F156+апр!J153</f>
        <v>59.876000000000005</v>
      </c>
    </row>
    <row r="157" spans="1:21" ht="75.75" customHeight="1">
      <c r="A157" s="132" t="s">
        <v>144</v>
      </c>
      <c r="B157" s="6" t="s">
        <v>145</v>
      </c>
      <c r="C157" s="132" t="s">
        <v>4</v>
      </c>
      <c r="D157" s="7">
        <f t="shared" ref="D157:J157" si="84">D158</f>
        <v>13.856</v>
      </c>
      <c r="E157" s="7">
        <f t="shared" si="84"/>
        <v>13.833</v>
      </c>
      <c r="F157" s="7">
        <f t="shared" si="84"/>
        <v>0</v>
      </c>
      <c r="G157" s="10">
        <f t="shared" si="74"/>
        <v>-13.833</v>
      </c>
      <c r="H157" s="7">
        <f t="shared" si="84"/>
        <v>272.85199999999998</v>
      </c>
      <c r="I157" s="7">
        <f t="shared" si="84"/>
        <v>96.831000000000003</v>
      </c>
      <c r="J157" s="7">
        <f t="shared" si="84"/>
        <v>160.78700000000001</v>
      </c>
      <c r="K157" s="10">
        <f t="shared" si="76"/>
        <v>63.956000000000003</v>
      </c>
      <c r="L157" s="16">
        <f t="shared" ref="L157:L206" si="85">K157/I157*100</f>
        <v>66.049095847404232</v>
      </c>
      <c r="M157" s="220"/>
      <c r="N157" s="221"/>
      <c r="O157" s="122">
        <f t="shared" si="79"/>
        <v>-112.06499999999997</v>
      </c>
      <c r="P157" s="123">
        <f t="shared" si="80"/>
        <v>-41.07171653497133</v>
      </c>
      <c r="Q157" s="114"/>
      <c r="S157">
        <f t="shared" si="69"/>
        <v>69.28</v>
      </c>
      <c r="T157" s="44">
        <f>E157+апр!I154</f>
        <v>69.165000000000006</v>
      </c>
      <c r="U157" s="30">
        <f>F157+апр!J154</f>
        <v>135.75200000000001</v>
      </c>
    </row>
    <row r="158" spans="1:21" ht="17.25" customHeight="1">
      <c r="A158" s="8" t="s">
        <v>146</v>
      </c>
      <c r="B158" s="9" t="s">
        <v>147</v>
      </c>
      <c r="C158" s="8" t="s">
        <v>4</v>
      </c>
      <c r="D158" s="10">
        <v>13.856</v>
      </c>
      <c r="E158" s="8">
        <v>13.833</v>
      </c>
      <c r="F158" s="55"/>
      <c r="G158" s="10">
        <f t="shared" si="74"/>
        <v>-13.833</v>
      </c>
      <c r="H158" s="10">
        <f>D158+июнь!H157</f>
        <v>272.85199999999998</v>
      </c>
      <c r="I158" s="8">
        <f>E158+июнь!I157</f>
        <v>96.831000000000003</v>
      </c>
      <c r="J158" s="54">
        <f>F158+июнь!J157</f>
        <v>160.78700000000001</v>
      </c>
      <c r="K158" s="10">
        <f t="shared" si="76"/>
        <v>63.956000000000003</v>
      </c>
      <c r="L158" s="16">
        <f t="shared" si="85"/>
        <v>66.049095847404232</v>
      </c>
      <c r="M158" s="220"/>
      <c r="N158" s="221"/>
      <c r="O158" s="122">
        <f t="shared" si="79"/>
        <v>-112.06499999999997</v>
      </c>
      <c r="P158" s="123">
        <f t="shared" si="80"/>
        <v>-41.07171653497133</v>
      </c>
      <c r="Q158" s="114"/>
      <c r="S158">
        <f t="shared" si="69"/>
        <v>69.28</v>
      </c>
      <c r="T158" s="44">
        <f>E158+апр!I155</f>
        <v>69.165000000000006</v>
      </c>
      <c r="U158" s="30">
        <f>F158+апр!J155</f>
        <v>135.75200000000001</v>
      </c>
    </row>
    <row r="159" spans="1:21" ht="18" customHeight="1">
      <c r="A159" s="132" t="s">
        <v>148</v>
      </c>
      <c r="B159" s="6" t="s">
        <v>149</v>
      </c>
      <c r="C159" s="132" t="s">
        <v>4</v>
      </c>
      <c r="D159" s="27">
        <f t="shared" ref="D159" si="86">D160+D163+D166+D169+D172</f>
        <v>71.188999999999993</v>
      </c>
      <c r="E159" s="132">
        <v>72.417000000000002</v>
      </c>
      <c r="F159" s="27">
        <f>F160+F163+F166+F169+F172</f>
        <v>13.124999999999998</v>
      </c>
      <c r="G159" s="10">
        <f t="shared" si="74"/>
        <v>-59.292000000000002</v>
      </c>
      <c r="H159" s="27">
        <f>H160+H163+H166+H169+H172</f>
        <v>2918.309666666667</v>
      </c>
      <c r="I159" s="8">
        <f>E159+июнь!I158</f>
        <v>506.9190000000001</v>
      </c>
      <c r="J159" s="27">
        <f>J160+J163+J166+J169+J172</f>
        <v>580.84899999999993</v>
      </c>
      <c r="K159" s="10">
        <f t="shared" si="76"/>
        <v>73.929999999999836</v>
      </c>
      <c r="L159" s="16">
        <f t="shared" si="85"/>
        <v>14.58418406096434</v>
      </c>
      <c r="M159" s="220"/>
      <c r="N159" s="221"/>
      <c r="O159" s="122">
        <f t="shared" si="79"/>
        <v>-2337.4606666666668</v>
      </c>
      <c r="P159" s="123">
        <f t="shared" si="80"/>
        <v>-80.09638913119683</v>
      </c>
      <c r="Q159" s="114"/>
      <c r="S159">
        <f t="shared" si="69"/>
        <v>355.94499999999994</v>
      </c>
      <c r="T159" s="44">
        <f>E159+апр!I156</f>
        <v>362.08500000000004</v>
      </c>
      <c r="U159" s="30">
        <f>F159+апр!J156</f>
        <v>539.04300000000001</v>
      </c>
    </row>
    <row r="160" spans="1:21" ht="17.25" customHeight="1">
      <c r="A160" s="8" t="s">
        <v>150</v>
      </c>
      <c r="B160" s="9" t="s">
        <v>151</v>
      </c>
      <c r="C160" s="8" t="s">
        <v>4</v>
      </c>
      <c r="D160" s="10">
        <v>49.027999999999999</v>
      </c>
      <c r="E160" s="8"/>
      <c r="F160" s="8"/>
      <c r="G160" s="10">
        <f t="shared" si="74"/>
        <v>0</v>
      </c>
      <c r="H160" s="10">
        <f>D160+июнь!H159</f>
        <v>343.19600000000003</v>
      </c>
      <c r="I160" s="8"/>
      <c r="J160" s="54">
        <f>F160+июнь!J159</f>
        <v>483.976</v>
      </c>
      <c r="K160" s="10">
        <f t="shared" si="76"/>
        <v>483.976</v>
      </c>
      <c r="L160" s="16"/>
      <c r="M160" s="220"/>
      <c r="N160" s="221"/>
      <c r="O160" s="122">
        <f t="shared" si="79"/>
        <v>140.77999999999997</v>
      </c>
      <c r="P160" s="123">
        <f t="shared" si="80"/>
        <v>41.020291611790341</v>
      </c>
      <c r="Q160" s="114"/>
      <c r="S160">
        <f t="shared" si="69"/>
        <v>245.14</v>
      </c>
      <c r="T160" s="44">
        <f>E160+апр!I157</f>
        <v>0</v>
      </c>
      <c r="U160" s="30">
        <f>F160+апр!J157</f>
        <v>483.976</v>
      </c>
    </row>
    <row r="161" spans="1:21" ht="17.25" customHeight="1">
      <c r="A161" s="8"/>
      <c r="B161" s="28" t="s">
        <v>13</v>
      </c>
      <c r="C161" s="8" t="s">
        <v>152</v>
      </c>
      <c r="D161" s="10">
        <v>13.144</v>
      </c>
      <c r="E161" s="8"/>
      <c r="F161" s="8"/>
      <c r="G161" s="10">
        <f t="shared" si="74"/>
        <v>0</v>
      </c>
      <c r="H161" s="10">
        <f>D161+июнь!H160</f>
        <v>30.902999999999999</v>
      </c>
      <c r="I161" s="8"/>
      <c r="J161" s="54">
        <f>F161+июнь!J160</f>
        <v>81.87</v>
      </c>
      <c r="K161" s="10">
        <f t="shared" si="76"/>
        <v>81.87</v>
      </c>
      <c r="L161" s="16"/>
      <c r="M161" s="227" t="s">
        <v>302</v>
      </c>
      <c r="N161" s="228"/>
      <c r="O161" s="122">
        <f t="shared" si="79"/>
        <v>50.967000000000006</v>
      </c>
      <c r="P161" s="123">
        <f t="shared" si="80"/>
        <v>164.92573536549853</v>
      </c>
      <c r="Q161" s="116"/>
      <c r="S161">
        <f t="shared" si="69"/>
        <v>65.72</v>
      </c>
      <c r="T161" s="44">
        <f>E161+апр!I158</f>
        <v>0</v>
      </c>
      <c r="U161" s="30">
        <f>F161+апр!J158</f>
        <v>81.87</v>
      </c>
    </row>
    <row r="162" spans="1:21" ht="17.25" customHeight="1">
      <c r="A162" s="8"/>
      <c r="B162" s="28" t="s">
        <v>15</v>
      </c>
      <c r="C162" s="8" t="s">
        <v>16</v>
      </c>
      <c r="D162" s="16">
        <f>D160/D161*1000</f>
        <v>3730.0669506999393</v>
      </c>
      <c r="E162" s="16"/>
      <c r="F162" s="16" t="e">
        <f>F160/F161*1000</f>
        <v>#DIV/0!</v>
      </c>
      <c r="G162" s="10" t="e">
        <f t="shared" si="74"/>
        <v>#DIV/0!</v>
      </c>
      <c r="H162" s="16">
        <f>H160/H161*1000</f>
        <v>11105.588454195386</v>
      </c>
      <c r="I162" s="8"/>
      <c r="J162" s="16">
        <f>J160/J161*1000</f>
        <v>5911.5182606571389</v>
      </c>
      <c r="K162" s="10">
        <f t="shared" si="76"/>
        <v>5911.5182606571389</v>
      </c>
      <c r="L162" s="16"/>
      <c r="M162" s="220"/>
      <c r="N162" s="221"/>
      <c r="O162" s="122">
        <f t="shared" si="79"/>
        <v>-5194.0701935382467</v>
      </c>
      <c r="P162" s="123">
        <f t="shared" si="80"/>
        <v>-46.769878201060742</v>
      </c>
      <c r="Q162" s="114"/>
      <c r="S162">
        <f t="shared" si="69"/>
        <v>18650.334753499697</v>
      </c>
      <c r="T162" s="44">
        <f>E162+апр!I159</f>
        <v>0</v>
      </c>
      <c r="U162" s="30" t="e">
        <f>F162+апр!J159</f>
        <v>#DIV/0!</v>
      </c>
    </row>
    <row r="163" spans="1:21" ht="17.25" customHeight="1">
      <c r="A163" s="8" t="s">
        <v>153</v>
      </c>
      <c r="B163" s="9" t="s">
        <v>154</v>
      </c>
      <c r="C163" s="8" t="s">
        <v>4</v>
      </c>
      <c r="D163" s="10">
        <v>0.92300000000000004</v>
      </c>
      <c r="E163" s="8"/>
      <c r="F163" s="8"/>
      <c r="G163" s="10">
        <f t="shared" si="74"/>
        <v>0</v>
      </c>
      <c r="H163" s="10">
        <f>D163+июнь!H162</f>
        <v>1232.5126666666667</v>
      </c>
      <c r="I163" s="8"/>
      <c r="J163" s="54">
        <f>F163+июнь!J162</f>
        <v>0</v>
      </c>
      <c r="K163" s="10">
        <f t="shared" si="76"/>
        <v>0</v>
      </c>
      <c r="L163" s="16"/>
      <c r="M163" s="220"/>
      <c r="N163" s="221"/>
      <c r="O163" s="122">
        <f t="shared" si="79"/>
        <v>-1232.5126666666667</v>
      </c>
      <c r="P163" s="123">
        <f t="shared" si="80"/>
        <v>-100</v>
      </c>
      <c r="Q163" s="114"/>
      <c r="S163">
        <f t="shared" si="69"/>
        <v>4.6150000000000002</v>
      </c>
      <c r="T163" s="44">
        <f>E163+апр!I160</f>
        <v>0</v>
      </c>
      <c r="U163" s="30">
        <f>F163+апр!J160</f>
        <v>0</v>
      </c>
    </row>
    <row r="164" spans="1:21" ht="17.25" customHeight="1">
      <c r="A164" s="8"/>
      <c r="B164" s="28" t="s">
        <v>13</v>
      </c>
      <c r="C164" s="8" t="s">
        <v>155</v>
      </c>
      <c r="D164" s="10">
        <v>0.75</v>
      </c>
      <c r="E164" s="8"/>
      <c r="F164" s="8"/>
      <c r="G164" s="10">
        <f t="shared" si="74"/>
        <v>0</v>
      </c>
      <c r="H164" s="10">
        <f>D164+июнь!H163</f>
        <v>12.4</v>
      </c>
      <c r="I164" s="8"/>
      <c r="J164" s="54">
        <f>F164+июнь!J163</f>
        <v>0</v>
      </c>
      <c r="K164" s="10">
        <f t="shared" si="76"/>
        <v>0</v>
      </c>
      <c r="L164" s="16"/>
      <c r="M164" s="220"/>
      <c r="N164" s="221"/>
      <c r="O164" s="122">
        <f t="shared" si="79"/>
        <v>-12.4</v>
      </c>
      <c r="P164" s="123">
        <f t="shared" si="80"/>
        <v>-100</v>
      </c>
      <c r="Q164" s="114"/>
      <c r="S164">
        <f t="shared" si="69"/>
        <v>3.75</v>
      </c>
      <c r="T164" s="44">
        <f>E164+апр!I161</f>
        <v>0</v>
      </c>
      <c r="U164" s="30">
        <f>F164+апр!J161</f>
        <v>0</v>
      </c>
    </row>
    <row r="165" spans="1:21" ht="17.25" customHeight="1">
      <c r="A165" s="8"/>
      <c r="B165" s="28" t="s">
        <v>15</v>
      </c>
      <c r="C165" s="8" t="s">
        <v>16</v>
      </c>
      <c r="D165" s="16">
        <f>D163/D164*1000</f>
        <v>1230.6666666666667</v>
      </c>
      <c r="E165" s="8"/>
      <c r="F165" s="8"/>
      <c r="G165" s="10">
        <f t="shared" si="74"/>
        <v>0</v>
      </c>
      <c r="H165" s="16">
        <f>H163/H164*1000</f>
        <v>99396.182795698929</v>
      </c>
      <c r="I165" s="8"/>
      <c r="J165" s="8"/>
      <c r="K165" s="10">
        <f t="shared" si="76"/>
        <v>0</v>
      </c>
      <c r="L165" s="16"/>
      <c r="M165" s="220"/>
      <c r="N165" s="221"/>
      <c r="O165" s="122">
        <f t="shared" si="79"/>
        <v>-99396.182795698929</v>
      </c>
      <c r="P165" s="123">
        <f t="shared" si="80"/>
        <v>-100</v>
      </c>
      <c r="Q165" s="114"/>
      <c r="S165">
        <f t="shared" si="69"/>
        <v>6153.3333333333339</v>
      </c>
      <c r="T165" s="44">
        <f>E165+апр!I162</f>
        <v>0</v>
      </c>
      <c r="U165" s="30">
        <f>F165+апр!J162</f>
        <v>0</v>
      </c>
    </row>
    <row r="166" spans="1:21" ht="17.25" customHeight="1">
      <c r="A166" s="8" t="s">
        <v>156</v>
      </c>
      <c r="B166" s="9" t="s">
        <v>157</v>
      </c>
      <c r="C166" s="8" t="s">
        <v>4</v>
      </c>
      <c r="D166" s="10">
        <v>2.1800000000000002</v>
      </c>
      <c r="E166" s="8"/>
      <c r="F166" s="55">
        <v>1.3120000000000001</v>
      </c>
      <c r="G166" s="10">
        <f t="shared" si="74"/>
        <v>1.3120000000000001</v>
      </c>
      <c r="H166" s="10">
        <f>D166+июнь!H165</f>
        <v>113.36000000000001</v>
      </c>
      <c r="I166" s="8"/>
      <c r="J166" s="54">
        <f>F166+июнь!J165</f>
        <v>19.626999999999999</v>
      </c>
      <c r="K166" s="10">
        <f t="shared" si="76"/>
        <v>19.626999999999999</v>
      </c>
      <c r="L166" s="16"/>
      <c r="M166" s="220"/>
      <c r="N166" s="221"/>
      <c r="O166" s="122">
        <f t="shared" si="79"/>
        <v>-93.733000000000018</v>
      </c>
      <c r="P166" s="123">
        <f t="shared" si="80"/>
        <v>-82.68613267466479</v>
      </c>
      <c r="Q166" s="114"/>
      <c r="S166">
        <f t="shared" si="69"/>
        <v>10.9</v>
      </c>
      <c r="T166" s="44">
        <f>E166+апр!I163</f>
        <v>0</v>
      </c>
      <c r="U166" s="30">
        <f>F166+апр!J163</f>
        <v>14.114999999999998</v>
      </c>
    </row>
    <row r="167" spans="1:21" ht="17.25" customHeight="1">
      <c r="A167" s="8"/>
      <c r="B167" s="28" t="s">
        <v>13</v>
      </c>
      <c r="C167" s="8" t="s">
        <v>155</v>
      </c>
      <c r="D167" s="14">
        <v>20</v>
      </c>
      <c r="E167" s="8"/>
      <c r="F167" s="8"/>
      <c r="G167" s="10">
        <f t="shared" si="74"/>
        <v>0</v>
      </c>
      <c r="H167" s="10">
        <f>D167+июнь!H166</f>
        <v>135.29</v>
      </c>
      <c r="I167" s="8"/>
      <c r="J167" s="54">
        <f>F167+июнь!J166</f>
        <v>99</v>
      </c>
      <c r="K167" s="10">
        <f t="shared" si="76"/>
        <v>99</v>
      </c>
      <c r="L167" s="16"/>
      <c r="M167" s="220"/>
      <c r="N167" s="221"/>
      <c r="O167" s="122">
        <f t="shared" si="79"/>
        <v>-36.289999999999992</v>
      </c>
      <c r="P167" s="123">
        <f t="shared" si="80"/>
        <v>-26.823859856604326</v>
      </c>
      <c r="Q167" s="114"/>
      <c r="S167">
        <f t="shared" si="69"/>
        <v>100</v>
      </c>
      <c r="T167" s="44">
        <f>E167+апр!I164</f>
        <v>0</v>
      </c>
      <c r="U167" s="30">
        <f>F167+апр!J164</f>
        <v>99</v>
      </c>
    </row>
    <row r="168" spans="1:21" ht="17.25" customHeight="1">
      <c r="A168" s="8"/>
      <c r="B168" s="28" t="s">
        <v>15</v>
      </c>
      <c r="C168" s="8" t="s">
        <v>16</v>
      </c>
      <c r="D168" s="16">
        <f>D166/D167*1000</f>
        <v>109.00000000000001</v>
      </c>
      <c r="E168" s="16"/>
      <c r="F168" s="16" t="e">
        <f t="shared" ref="F168" si="87">F166/F167*1000</f>
        <v>#DIV/0!</v>
      </c>
      <c r="G168" s="10" t="e">
        <f t="shared" si="74"/>
        <v>#DIV/0!</v>
      </c>
      <c r="H168" s="16">
        <f>H166/H167*1000</f>
        <v>837.90376228841762</v>
      </c>
      <c r="I168" s="8"/>
      <c r="J168" s="16">
        <f t="shared" ref="J168" si="88">J166/J167*1000</f>
        <v>198.25252525252523</v>
      </c>
      <c r="K168" s="10">
        <f t="shared" si="76"/>
        <v>198.25252525252523</v>
      </c>
      <c r="L168" s="16"/>
      <c r="M168" s="220"/>
      <c r="N168" s="221"/>
      <c r="O168" s="122">
        <f t="shared" si="79"/>
        <v>-639.65123703589234</v>
      </c>
      <c r="P168" s="123">
        <f t="shared" si="80"/>
        <v>-76.339463530862616</v>
      </c>
      <c r="Q168" s="114"/>
      <c r="S168">
        <f t="shared" si="69"/>
        <v>545.00000000000011</v>
      </c>
      <c r="T168" s="44">
        <f>E168+апр!I165</f>
        <v>0</v>
      </c>
      <c r="U168" s="30" t="e">
        <f>F168+апр!J165</f>
        <v>#DIV/0!</v>
      </c>
    </row>
    <row r="169" spans="1:21" ht="17.25" customHeight="1">
      <c r="A169" s="8" t="s">
        <v>158</v>
      </c>
      <c r="B169" s="9" t="s">
        <v>159</v>
      </c>
      <c r="C169" s="8" t="s">
        <v>4</v>
      </c>
      <c r="D169" s="10">
        <v>19.058</v>
      </c>
      <c r="E169" s="8"/>
      <c r="F169" s="54">
        <v>11.1</v>
      </c>
      <c r="G169" s="10">
        <f t="shared" si="74"/>
        <v>11.1</v>
      </c>
      <c r="H169" s="10">
        <f>D169+июнь!H168</f>
        <v>1229.241</v>
      </c>
      <c r="I169" s="8"/>
      <c r="J169" s="54">
        <f>F169+июнь!J168</f>
        <v>66.599999999999994</v>
      </c>
      <c r="K169" s="10">
        <f t="shared" si="76"/>
        <v>66.599999999999994</v>
      </c>
      <c r="L169" s="16"/>
      <c r="M169" s="220"/>
      <c r="N169" s="221"/>
      <c r="O169" s="122">
        <f t="shared" si="79"/>
        <v>-1162.6410000000001</v>
      </c>
      <c r="P169" s="123">
        <f t="shared" si="80"/>
        <v>-94.582022565143859</v>
      </c>
      <c r="Q169" s="114"/>
      <c r="S169">
        <f t="shared" si="69"/>
        <v>95.289999999999992</v>
      </c>
      <c r="T169" s="44">
        <f>E169+апр!I166</f>
        <v>0</v>
      </c>
      <c r="U169" s="30">
        <f>F169+апр!J166</f>
        <v>33.299999999999997</v>
      </c>
    </row>
    <row r="170" spans="1:21" ht="17.25" customHeight="1">
      <c r="A170" s="8"/>
      <c r="B170" s="28" t="s">
        <v>13</v>
      </c>
      <c r="C170" s="8" t="s">
        <v>155</v>
      </c>
      <c r="D170" s="14">
        <v>16</v>
      </c>
      <c r="E170" s="8"/>
      <c r="F170" s="8"/>
      <c r="G170" s="10">
        <f t="shared" si="74"/>
        <v>0</v>
      </c>
      <c r="H170" s="10">
        <f>D170+июнь!H169</f>
        <v>32</v>
      </c>
      <c r="I170" s="8"/>
      <c r="J170" s="54">
        <f>F170+июнь!J169</f>
        <v>6</v>
      </c>
      <c r="K170" s="10">
        <f t="shared" si="76"/>
        <v>6</v>
      </c>
      <c r="L170" s="16"/>
      <c r="M170" s="220"/>
      <c r="N170" s="221"/>
      <c r="O170" s="122">
        <f t="shared" si="79"/>
        <v>-26</v>
      </c>
      <c r="P170" s="123">
        <f t="shared" si="80"/>
        <v>-81.25</v>
      </c>
      <c r="Q170" s="114"/>
      <c r="S170">
        <f t="shared" si="69"/>
        <v>80</v>
      </c>
      <c r="T170" s="44">
        <f>E170+апр!I167</f>
        <v>0</v>
      </c>
      <c r="U170" s="30">
        <f>F170+апр!J167</f>
        <v>6</v>
      </c>
    </row>
    <row r="171" spans="1:21" ht="17.25" customHeight="1">
      <c r="A171" s="8"/>
      <c r="B171" s="28" t="s">
        <v>15</v>
      </c>
      <c r="C171" s="8" t="s">
        <v>16</v>
      </c>
      <c r="D171" s="16">
        <f>D169/D170*1000</f>
        <v>1191.125</v>
      </c>
      <c r="E171" s="8"/>
      <c r="F171" s="16" t="e">
        <f>F169/F170*1000</f>
        <v>#DIV/0!</v>
      </c>
      <c r="G171" s="10" t="e">
        <f t="shared" si="74"/>
        <v>#DIV/0!</v>
      </c>
      <c r="H171" s="16">
        <f>H169/H170*1000</f>
        <v>38413.78125</v>
      </c>
      <c r="I171" s="8"/>
      <c r="J171" s="16">
        <f>J169/J170*1000</f>
        <v>11100</v>
      </c>
      <c r="K171" s="10">
        <f t="shared" si="76"/>
        <v>11100</v>
      </c>
      <c r="L171" s="16"/>
      <c r="M171" s="220"/>
      <c r="N171" s="221"/>
      <c r="O171" s="122">
        <f t="shared" si="79"/>
        <v>-27313.78125</v>
      </c>
      <c r="P171" s="123">
        <f t="shared" si="80"/>
        <v>-71.104120347433906</v>
      </c>
      <c r="Q171" s="114"/>
      <c r="S171">
        <f t="shared" si="69"/>
        <v>5955.625</v>
      </c>
      <c r="T171" s="44">
        <f>E171+апр!I168</f>
        <v>0</v>
      </c>
      <c r="U171" s="30" t="e">
        <f>F171+апр!J168</f>
        <v>#DIV/0!</v>
      </c>
    </row>
    <row r="172" spans="1:21" ht="17.25" customHeight="1">
      <c r="A172" s="8" t="s">
        <v>158</v>
      </c>
      <c r="B172" s="9" t="s">
        <v>224</v>
      </c>
      <c r="C172" s="8" t="s">
        <v>4</v>
      </c>
      <c r="D172" s="10">
        <v>0</v>
      </c>
      <c r="E172" s="8"/>
      <c r="F172" s="55">
        <v>0.71299999999999997</v>
      </c>
      <c r="G172" s="10">
        <f t="shared" si="74"/>
        <v>0.71299999999999997</v>
      </c>
      <c r="H172" s="10">
        <f>D172+июнь!H171</f>
        <v>0</v>
      </c>
      <c r="I172" s="8"/>
      <c r="J172" s="54">
        <f>F172+июнь!J171</f>
        <v>10.645999999999999</v>
      </c>
      <c r="K172" s="10">
        <f t="shared" si="76"/>
        <v>10.645999999999999</v>
      </c>
      <c r="L172" s="16"/>
      <c r="M172" s="220"/>
      <c r="N172" s="221"/>
      <c r="O172" s="122">
        <f t="shared" si="79"/>
        <v>10.645999999999999</v>
      </c>
      <c r="P172" s="123" t="e">
        <f t="shared" si="80"/>
        <v>#DIV/0!</v>
      </c>
      <c r="Q172" s="114"/>
      <c r="S172">
        <f t="shared" si="69"/>
        <v>0</v>
      </c>
      <c r="T172" s="44">
        <f>E172+апр!I169</f>
        <v>0</v>
      </c>
      <c r="U172" s="30">
        <f>F172+апр!J169</f>
        <v>7.6520000000000001</v>
      </c>
    </row>
    <row r="173" spans="1:21" ht="17.25" customHeight="1">
      <c r="A173" s="8"/>
      <c r="B173" s="28" t="s">
        <v>13</v>
      </c>
      <c r="C173" s="8" t="s">
        <v>155</v>
      </c>
      <c r="D173" s="14">
        <v>0</v>
      </c>
      <c r="E173" s="8"/>
      <c r="F173" s="8"/>
      <c r="G173" s="10">
        <f t="shared" si="74"/>
        <v>0</v>
      </c>
      <c r="H173" s="10">
        <f>D173+июнь!H172</f>
        <v>0</v>
      </c>
      <c r="I173" s="8"/>
      <c r="J173" s="54">
        <f>F173+июнь!J172</f>
        <v>99</v>
      </c>
      <c r="K173" s="10">
        <f t="shared" si="76"/>
        <v>99</v>
      </c>
      <c r="L173" s="16"/>
      <c r="M173" s="220"/>
      <c r="N173" s="221"/>
      <c r="O173" s="122">
        <f t="shared" si="79"/>
        <v>99</v>
      </c>
      <c r="P173" s="123" t="e">
        <f t="shared" si="80"/>
        <v>#DIV/0!</v>
      </c>
      <c r="Q173" s="114"/>
      <c r="S173">
        <f t="shared" si="69"/>
        <v>0</v>
      </c>
      <c r="T173" s="44">
        <f>E173+апр!I170</f>
        <v>0</v>
      </c>
      <c r="U173" s="30">
        <f>F173+апр!J170</f>
        <v>99</v>
      </c>
    </row>
    <row r="174" spans="1:21" ht="17.25" customHeight="1">
      <c r="A174" s="8"/>
      <c r="B174" s="28" t="s">
        <v>15</v>
      </c>
      <c r="C174" s="8" t="s">
        <v>16</v>
      </c>
      <c r="D174" s="16" t="e">
        <f>D172/D173*1000</f>
        <v>#DIV/0!</v>
      </c>
      <c r="E174" s="8"/>
      <c r="F174" s="16" t="e">
        <f>F172/F173*1000</f>
        <v>#DIV/0!</v>
      </c>
      <c r="G174" s="10" t="e">
        <f t="shared" si="74"/>
        <v>#DIV/0!</v>
      </c>
      <c r="H174" s="16" t="e">
        <f>H172/H173*1000</f>
        <v>#DIV/0!</v>
      </c>
      <c r="I174" s="8"/>
      <c r="J174" s="16">
        <f>J172/J173*1000</f>
        <v>107.53535353535352</v>
      </c>
      <c r="K174" s="10">
        <f t="shared" si="76"/>
        <v>107.53535353535352</v>
      </c>
      <c r="L174" s="16"/>
      <c r="M174" s="220"/>
      <c r="N174" s="221"/>
      <c r="O174" s="122" t="e">
        <f t="shared" si="79"/>
        <v>#DIV/0!</v>
      </c>
      <c r="P174" s="123" t="e">
        <f t="shared" si="80"/>
        <v>#DIV/0!</v>
      </c>
      <c r="Q174" s="114"/>
      <c r="S174" t="e">
        <f t="shared" si="69"/>
        <v>#DIV/0!</v>
      </c>
      <c r="T174" s="44">
        <f>E174+апр!I171</f>
        <v>0</v>
      </c>
      <c r="U174" s="30" t="e">
        <f>F174+апр!J171</f>
        <v>#DIV/0!</v>
      </c>
    </row>
    <row r="175" spans="1:21" ht="17.25" customHeight="1">
      <c r="A175" s="16" t="s">
        <v>160</v>
      </c>
      <c r="B175" s="9" t="s">
        <v>108</v>
      </c>
      <c r="C175" s="8" t="s">
        <v>4</v>
      </c>
      <c r="D175" s="10">
        <v>62.704999999999998</v>
      </c>
      <c r="E175" s="8">
        <v>62.667000000000002</v>
      </c>
      <c r="F175" s="10">
        <f>F176+F177+F178</f>
        <v>122.63</v>
      </c>
      <c r="G175" s="10">
        <f t="shared" si="74"/>
        <v>59.962999999999994</v>
      </c>
      <c r="H175" s="10">
        <f>D175+июнь!H174</f>
        <v>438.93499999999995</v>
      </c>
      <c r="I175" s="8">
        <f>E175+июнь!I174</f>
        <v>438.6690000000001</v>
      </c>
      <c r="J175" s="8">
        <f>J176+J177+J178</f>
        <v>517.81100000000004</v>
      </c>
      <c r="K175" s="10">
        <f t="shared" si="76"/>
        <v>79.141999999999939</v>
      </c>
      <c r="L175" s="16">
        <f t="shared" si="85"/>
        <v>18.041393396843617</v>
      </c>
      <c r="M175" s="220"/>
      <c r="N175" s="221"/>
      <c r="O175" s="122">
        <f t="shared" si="79"/>
        <v>78.87600000000009</v>
      </c>
      <c r="P175" s="123">
        <f t="shared" si="80"/>
        <v>17.969858862929613</v>
      </c>
      <c r="Q175" s="114"/>
      <c r="S175">
        <f t="shared" si="69"/>
        <v>313.52499999999998</v>
      </c>
      <c r="T175" s="44">
        <f>E175+апр!I172</f>
        <v>313.33500000000004</v>
      </c>
      <c r="U175" s="30">
        <f>F175+апр!J172</f>
        <v>383.18100000000004</v>
      </c>
    </row>
    <row r="176" spans="1:21" ht="17.25" customHeight="1">
      <c r="A176" s="16"/>
      <c r="B176" s="9" t="s">
        <v>221</v>
      </c>
      <c r="C176" s="8" t="s">
        <v>4</v>
      </c>
      <c r="D176" s="10"/>
      <c r="E176" s="8"/>
      <c r="F176" s="54">
        <v>110.63</v>
      </c>
      <c r="G176" s="10">
        <f t="shared" si="74"/>
        <v>110.63</v>
      </c>
      <c r="H176" s="10">
        <f>D176+июнь!H175</f>
        <v>0</v>
      </c>
      <c r="I176" s="8"/>
      <c r="J176" s="54">
        <f>F176+июнь!J175</f>
        <v>403.99</v>
      </c>
      <c r="K176" s="10">
        <f t="shared" si="76"/>
        <v>403.99</v>
      </c>
      <c r="L176" s="16"/>
      <c r="M176" s="220"/>
      <c r="N176" s="221"/>
      <c r="O176" s="122">
        <f t="shared" si="79"/>
        <v>403.99</v>
      </c>
      <c r="P176" s="123" t="e">
        <f t="shared" si="80"/>
        <v>#DIV/0!</v>
      </c>
      <c r="Q176" s="114"/>
      <c r="S176">
        <f t="shared" si="69"/>
        <v>0</v>
      </c>
      <c r="T176" s="44">
        <f>E176+апр!I173</f>
        <v>0</v>
      </c>
      <c r="U176" s="30">
        <f>F176+апр!J173</f>
        <v>269.36</v>
      </c>
    </row>
    <row r="177" spans="1:21" ht="37.5" customHeight="1">
      <c r="A177" s="16"/>
      <c r="B177" s="9" t="s">
        <v>222</v>
      </c>
      <c r="C177" s="8" t="s">
        <v>4</v>
      </c>
      <c r="D177" s="10"/>
      <c r="E177" s="8"/>
      <c r="F177" s="10">
        <v>12</v>
      </c>
      <c r="G177" s="10">
        <f t="shared" si="74"/>
        <v>12</v>
      </c>
      <c r="H177" s="10">
        <f>D177+июнь!H176</f>
        <v>324.53000000000003</v>
      </c>
      <c r="I177" s="8"/>
      <c r="J177" s="54">
        <f>F177+июнь!J176</f>
        <v>113.821</v>
      </c>
      <c r="K177" s="10">
        <f t="shared" si="76"/>
        <v>113.821</v>
      </c>
      <c r="L177" s="16"/>
      <c r="M177" s="220"/>
      <c r="N177" s="221"/>
      <c r="O177" s="122">
        <f t="shared" si="79"/>
        <v>-210.70900000000003</v>
      </c>
      <c r="P177" s="123">
        <f t="shared" si="80"/>
        <v>-64.927433519243209</v>
      </c>
      <c r="Q177" s="114"/>
      <c r="S177">
        <f t="shared" si="69"/>
        <v>0</v>
      </c>
      <c r="T177" s="44">
        <f>E177+апр!I174</f>
        <v>0</v>
      </c>
      <c r="U177" s="30">
        <f>F177+апр!J174</f>
        <v>113.821</v>
      </c>
    </row>
    <row r="178" spans="1:21" ht="18.75" customHeight="1">
      <c r="A178" s="16"/>
      <c r="B178" s="9" t="s">
        <v>223</v>
      </c>
      <c r="C178" s="8" t="s">
        <v>4</v>
      </c>
      <c r="D178" s="10"/>
      <c r="E178" s="8"/>
      <c r="F178" s="8"/>
      <c r="G178" s="10">
        <f t="shared" si="74"/>
        <v>0</v>
      </c>
      <c r="H178" s="10">
        <f>D178+июнь!H177</f>
        <v>11.165000000000001</v>
      </c>
      <c r="I178" s="8"/>
      <c r="J178" s="54">
        <f>F178+июнь!J177</f>
        <v>0</v>
      </c>
      <c r="K178" s="10">
        <f t="shared" si="76"/>
        <v>0</v>
      </c>
      <c r="L178" s="16"/>
      <c r="M178" s="220"/>
      <c r="N178" s="221"/>
      <c r="O178" s="122">
        <f t="shared" si="79"/>
        <v>-11.165000000000001</v>
      </c>
      <c r="P178" s="123">
        <f t="shared" si="80"/>
        <v>-100</v>
      </c>
      <c r="Q178" s="114"/>
      <c r="S178">
        <f t="shared" si="69"/>
        <v>0</v>
      </c>
      <c r="T178" s="44">
        <f>E178+апр!I175</f>
        <v>0</v>
      </c>
      <c r="U178" s="30">
        <f>F178+апр!J175</f>
        <v>0</v>
      </c>
    </row>
    <row r="179" spans="1:21" ht="18.75">
      <c r="A179" s="16" t="s">
        <v>161</v>
      </c>
      <c r="B179" s="9" t="s">
        <v>162</v>
      </c>
      <c r="C179" s="8" t="s">
        <v>4</v>
      </c>
      <c r="D179" s="10">
        <v>64.906000000000006</v>
      </c>
      <c r="E179" s="8">
        <v>64.917000000000002</v>
      </c>
      <c r="F179" s="8">
        <f>8.554+21.827+13.125+14.236+6.457</f>
        <v>64.198999999999998</v>
      </c>
      <c r="G179" s="10">
        <f t="shared" si="74"/>
        <v>-0.71800000000000352</v>
      </c>
      <c r="H179" s="10">
        <f>D179+июнь!H178</f>
        <v>140.97700000000003</v>
      </c>
      <c r="I179" s="8">
        <f>E179+июнь!I178</f>
        <v>454.4190000000001</v>
      </c>
      <c r="J179" s="54">
        <f>F179+июнь!J178</f>
        <v>521.58799999999997</v>
      </c>
      <c r="K179" s="10">
        <f t="shared" si="76"/>
        <v>67.168999999999869</v>
      </c>
      <c r="L179" s="16">
        <f t="shared" si="85"/>
        <v>14.781292155477621</v>
      </c>
      <c r="M179" s="220"/>
      <c r="N179" s="221"/>
      <c r="O179" s="122">
        <f t="shared" si="79"/>
        <v>380.61099999999993</v>
      </c>
      <c r="P179" s="123">
        <f t="shared" si="80"/>
        <v>269.98091887329127</v>
      </c>
      <c r="Q179" s="114"/>
      <c r="S179">
        <f t="shared" si="69"/>
        <v>324.53000000000003</v>
      </c>
      <c r="T179" s="44">
        <f>E179+апр!I176</f>
        <v>324.58500000000004</v>
      </c>
      <c r="U179" s="30">
        <f>F179+апр!J176</f>
        <v>369.71600000000001</v>
      </c>
    </row>
    <row r="180" spans="1:21" ht="35.25" customHeight="1">
      <c r="A180" s="16" t="s">
        <v>163</v>
      </c>
      <c r="B180" s="9" t="s">
        <v>165</v>
      </c>
      <c r="C180" s="8" t="s">
        <v>4</v>
      </c>
      <c r="D180" s="10">
        <f>D181</f>
        <v>2.2330000000000001</v>
      </c>
      <c r="E180" s="8"/>
      <c r="F180" s="8"/>
      <c r="G180" s="10">
        <f t="shared" si="74"/>
        <v>0</v>
      </c>
      <c r="H180" s="10">
        <f>H181</f>
        <v>310.93099999999998</v>
      </c>
      <c r="I180" s="8"/>
      <c r="J180" s="8"/>
      <c r="K180" s="10">
        <f t="shared" si="76"/>
        <v>0</v>
      </c>
      <c r="L180" s="16"/>
      <c r="M180" s="220"/>
      <c r="N180" s="221"/>
      <c r="O180" s="122">
        <f t="shared" si="79"/>
        <v>-310.93099999999998</v>
      </c>
      <c r="P180" s="123">
        <f t="shared" si="80"/>
        <v>-100</v>
      </c>
      <c r="Q180" s="114"/>
      <c r="S180">
        <f t="shared" si="69"/>
        <v>11.165000000000001</v>
      </c>
      <c r="T180" s="44">
        <f>E180+апр!I177</f>
        <v>0</v>
      </c>
      <c r="U180" s="30">
        <f>F180+апр!J177</f>
        <v>0</v>
      </c>
    </row>
    <row r="181" spans="1:21" ht="18.75" customHeight="1">
      <c r="A181" s="16"/>
      <c r="B181" s="9" t="s">
        <v>100</v>
      </c>
      <c r="C181" s="8" t="s">
        <v>4</v>
      </c>
      <c r="D181" s="10">
        <v>2.2330000000000001</v>
      </c>
      <c r="E181" s="8"/>
      <c r="F181" s="8"/>
      <c r="G181" s="10">
        <f t="shared" si="74"/>
        <v>0</v>
      </c>
      <c r="H181" s="10">
        <f>D181+июнь!H180</f>
        <v>310.93099999999998</v>
      </c>
      <c r="I181" s="8"/>
      <c r="J181" s="54">
        <f>F181+июнь!J180</f>
        <v>0</v>
      </c>
      <c r="K181" s="10">
        <f t="shared" si="76"/>
        <v>0</v>
      </c>
      <c r="L181" s="16"/>
      <c r="M181" s="124"/>
      <c r="N181" s="125"/>
      <c r="O181" s="122">
        <f t="shared" si="79"/>
        <v>-310.93099999999998</v>
      </c>
      <c r="P181" s="123">
        <f t="shared" si="80"/>
        <v>-100</v>
      </c>
      <c r="Q181" s="114"/>
      <c r="S181">
        <f t="shared" si="69"/>
        <v>11.165000000000001</v>
      </c>
      <c r="T181" s="44">
        <f>E181+апр!I178</f>
        <v>0</v>
      </c>
      <c r="U181" s="30">
        <f>F181+апр!J178</f>
        <v>0</v>
      </c>
    </row>
    <row r="182" spans="1:21" ht="17.25" customHeight="1">
      <c r="A182" s="16" t="s">
        <v>164</v>
      </c>
      <c r="B182" s="6" t="s">
        <v>169</v>
      </c>
      <c r="C182" s="132" t="s">
        <v>4</v>
      </c>
      <c r="D182" s="7">
        <f t="shared" ref="D182:F182" si="89">D183+D184+D185</f>
        <v>318.99799999999999</v>
      </c>
      <c r="E182" s="7">
        <f t="shared" si="89"/>
        <v>637.41600000000005</v>
      </c>
      <c r="F182" s="7">
        <f t="shared" si="89"/>
        <v>0</v>
      </c>
      <c r="G182" s="10">
        <f t="shared" si="74"/>
        <v>-637.41600000000005</v>
      </c>
      <c r="H182" s="7">
        <f t="shared" ref="H182:J182" si="90">H183+H184+H185</f>
        <v>1815.271</v>
      </c>
      <c r="I182" s="7">
        <f t="shared" si="90"/>
        <v>3885.8289999999997</v>
      </c>
      <c r="J182" s="7">
        <f t="shared" si="90"/>
        <v>1726.258</v>
      </c>
      <c r="K182" s="10">
        <f t="shared" si="76"/>
        <v>-2159.5709999999999</v>
      </c>
      <c r="L182" s="16">
        <f t="shared" si="85"/>
        <v>-55.575554148162468</v>
      </c>
      <c r="M182" s="220"/>
      <c r="N182" s="221"/>
      <c r="O182" s="122">
        <f t="shared" si="79"/>
        <v>-89.01299999999992</v>
      </c>
      <c r="P182" s="123">
        <f t="shared" si="80"/>
        <v>-4.9035653629678393</v>
      </c>
      <c r="Q182" s="114"/>
      <c r="S182">
        <f t="shared" si="69"/>
        <v>1594.99</v>
      </c>
      <c r="T182" s="44">
        <f>E182+апр!I179</f>
        <v>3187.0800000000004</v>
      </c>
      <c r="U182" s="30">
        <f>F182+апр!J179</f>
        <v>0</v>
      </c>
    </row>
    <row r="183" spans="1:21" ht="17.25" customHeight="1">
      <c r="A183" s="8" t="s">
        <v>166</v>
      </c>
      <c r="B183" s="9" t="s">
        <v>170</v>
      </c>
      <c r="C183" s="8" t="s">
        <v>4</v>
      </c>
      <c r="D183" s="10">
        <v>61.292999999999999</v>
      </c>
      <c r="E183" s="8">
        <v>61.332999999999998</v>
      </c>
      <c r="F183" s="8"/>
      <c r="G183" s="10">
        <f t="shared" si="74"/>
        <v>-61.332999999999998</v>
      </c>
      <c r="H183" s="10">
        <f>D183+июнь!H182</f>
        <v>568.726</v>
      </c>
      <c r="I183" s="8">
        <f>E183+июнь!I182</f>
        <v>429.3309999999999</v>
      </c>
      <c r="J183" s="54">
        <f>F183+июнь!J182</f>
        <v>0</v>
      </c>
      <c r="K183" s="10">
        <f t="shared" si="76"/>
        <v>-429.3309999999999</v>
      </c>
      <c r="L183" s="16">
        <f t="shared" si="85"/>
        <v>-100</v>
      </c>
      <c r="M183" s="220"/>
      <c r="N183" s="221"/>
      <c r="O183" s="122">
        <f t="shared" si="79"/>
        <v>-568.726</v>
      </c>
      <c r="P183" s="123">
        <f t="shared" si="80"/>
        <v>-100</v>
      </c>
      <c r="Q183" s="114"/>
      <c r="S183">
        <f t="shared" si="69"/>
        <v>306.46499999999997</v>
      </c>
      <c r="T183" s="44">
        <f>E183+апр!I180</f>
        <v>306.66499999999996</v>
      </c>
      <c r="U183" s="30">
        <f>F183+апр!J180</f>
        <v>0</v>
      </c>
    </row>
    <row r="184" spans="1:21" ht="17.25" customHeight="1">
      <c r="A184" s="8" t="s">
        <v>167</v>
      </c>
      <c r="B184" s="9" t="s">
        <v>171</v>
      </c>
      <c r="C184" s="8" t="s">
        <v>4</v>
      </c>
      <c r="D184" s="10">
        <v>168.477</v>
      </c>
      <c r="E184" s="8">
        <v>486.83300000000003</v>
      </c>
      <c r="F184" s="8"/>
      <c r="G184" s="10">
        <f t="shared" si="74"/>
        <v>-486.83300000000003</v>
      </c>
      <c r="H184" s="10">
        <f>D184+июнь!H183</f>
        <v>815.49900000000002</v>
      </c>
      <c r="I184" s="8">
        <f>E184+июнь!I183</f>
        <v>2920.998</v>
      </c>
      <c r="J184" s="54">
        <f>F184+июнь!J183</f>
        <v>1454.7470000000001</v>
      </c>
      <c r="K184" s="10">
        <f t="shared" si="76"/>
        <v>-1466.251</v>
      </c>
      <c r="L184" s="16">
        <f t="shared" si="85"/>
        <v>-50.196918998232796</v>
      </c>
      <c r="M184" s="227" t="s">
        <v>300</v>
      </c>
      <c r="N184" s="228"/>
      <c r="O184" s="122">
        <f t="shared" si="79"/>
        <v>639.24800000000005</v>
      </c>
      <c r="P184" s="123">
        <f t="shared" si="80"/>
        <v>78.387343209495057</v>
      </c>
      <c r="Q184" s="116"/>
      <c r="S184">
        <f t="shared" si="69"/>
        <v>842.38499999999999</v>
      </c>
      <c r="T184" s="44">
        <f>E184+апр!I181</f>
        <v>2434.165</v>
      </c>
      <c r="U184" s="30">
        <f>F184+апр!J181</f>
        <v>0</v>
      </c>
    </row>
    <row r="185" spans="1:21" ht="17.25" customHeight="1">
      <c r="A185" s="8" t="s">
        <v>267</v>
      </c>
      <c r="B185" s="9" t="s">
        <v>172</v>
      </c>
      <c r="C185" s="8" t="s">
        <v>4</v>
      </c>
      <c r="D185" s="10">
        <v>89.227999999999994</v>
      </c>
      <c r="E185" s="10">
        <v>89.25</v>
      </c>
      <c r="F185" s="8"/>
      <c r="G185" s="10">
        <f t="shared" si="74"/>
        <v>-89.25</v>
      </c>
      <c r="H185" s="10">
        <f>D185+июнь!H184</f>
        <v>431.04599999999999</v>
      </c>
      <c r="I185" s="8">
        <f>E185+июнь!I184</f>
        <v>535.5</v>
      </c>
      <c r="J185" s="54">
        <f>F185+июнь!J184</f>
        <v>271.51100000000002</v>
      </c>
      <c r="K185" s="10">
        <f t="shared" si="76"/>
        <v>-263.98899999999998</v>
      </c>
      <c r="L185" s="16">
        <f t="shared" si="85"/>
        <v>-49.297665732959842</v>
      </c>
      <c r="M185" s="227" t="s">
        <v>300</v>
      </c>
      <c r="N185" s="228"/>
      <c r="O185" s="122">
        <f t="shared" si="79"/>
        <v>-159.53499999999997</v>
      </c>
      <c r="P185" s="123">
        <f t="shared" si="80"/>
        <v>-37.011131062578002</v>
      </c>
      <c r="Q185" s="116"/>
      <c r="S185">
        <f t="shared" si="69"/>
        <v>446.14</v>
      </c>
      <c r="T185" s="44">
        <f>E185+апр!I182</f>
        <v>446.25</v>
      </c>
      <c r="U185" s="30">
        <f>F185+апр!J182</f>
        <v>0</v>
      </c>
    </row>
    <row r="186" spans="1:21" ht="53.25" customHeight="1">
      <c r="A186" s="8" t="s">
        <v>168</v>
      </c>
      <c r="B186" s="9" t="s">
        <v>174</v>
      </c>
      <c r="C186" s="8" t="s">
        <v>4</v>
      </c>
      <c r="D186" s="10">
        <v>95.709000000000003</v>
      </c>
      <c r="E186" s="8">
        <v>93.167000000000002</v>
      </c>
      <c r="F186" s="8">
        <v>96.938000000000002</v>
      </c>
      <c r="G186" s="10">
        <f t="shared" si="74"/>
        <v>3.7710000000000008</v>
      </c>
      <c r="H186" s="10">
        <f>D186+июнь!H185</f>
        <v>287.68799999999999</v>
      </c>
      <c r="I186" s="8">
        <f>E186+июнь!I185</f>
        <v>559.00200000000007</v>
      </c>
      <c r="J186" s="54">
        <f>F186+июнь!J185</f>
        <v>597.74599999999998</v>
      </c>
      <c r="K186" s="10">
        <f t="shared" si="76"/>
        <v>38.743999999999915</v>
      </c>
      <c r="L186" s="16">
        <f t="shared" si="85"/>
        <v>6.9309233240668027</v>
      </c>
      <c r="M186" s="222" t="s">
        <v>303</v>
      </c>
      <c r="N186" s="223"/>
      <c r="O186" s="122">
        <f t="shared" si="79"/>
        <v>310.05799999999999</v>
      </c>
      <c r="P186" s="123">
        <f t="shared" si="80"/>
        <v>107.77578487806234</v>
      </c>
      <c r="Q186" s="115"/>
      <c r="S186">
        <f t="shared" si="69"/>
        <v>478.54500000000002</v>
      </c>
      <c r="T186" s="44">
        <f>E186+апр!I183</f>
        <v>465.83500000000004</v>
      </c>
      <c r="U186" s="30">
        <f>F186+апр!J183</f>
        <v>411.61200000000002</v>
      </c>
    </row>
    <row r="187" spans="1:21" ht="33" customHeight="1">
      <c r="A187" s="132" t="s">
        <v>173</v>
      </c>
      <c r="B187" s="6" t="s">
        <v>176</v>
      </c>
      <c r="C187" s="132" t="s">
        <v>4</v>
      </c>
      <c r="D187" s="7">
        <f t="shared" ref="D187:F187" si="91">D188+D189+D190</f>
        <v>50.518000000000001</v>
      </c>
      <c r="E187" s="7">
        <v>50.5</v>
      </c>
      <c r="F187" s="7">
        <f t="shared" si="91"/>
        <v>0</v>
      </c>
      <c r="G187" s="10">
        <f t="shared" si="74"/>
        <v>-50.5</v>
      </c>
      <c r="H187" s="7">
        <f t="shared" ref="H187:I187" si="92">H188+H189+H190</f>
        <v>369.85599999999999</v>
      </c>
      <c r="I187" s="7">
        <f t="shared" si="92"/>
        <v>0</v>
      </c>
      <c r="J187" s="7">
        <f t="shared" ref="J187" si="93">J188+J189+J190</f>
        <v>0</v>
      </c>
      <c r="K187" s="10">
        <f t="shared" si="76"/>
        <v>0</v>
      </c>
      <c r="L187" s="16" t="e">
        <f t="shared" si="85"/>
        <v>#DIV/0!</v>
      </c>
      <c r="M187" s="229" t="s">
        <v>293</v>
      </c>
      <c r="N187" s="230"/>
      <c r="O187" s="122">
        <f t="shared" si="79"/>
        <v>-369.85599999999999</v>
      </c>
      <c r="P187" s="123">
        <f t="shared" si="80"/>
        <v>-100</v>
      </c>
      <c r="Q187" s="131"/>
      <c r="R187" s="7">
        <f>R188+R189+R190</f>
        <v>343.50800000000004</v>
      </c>
      <c r="S187">
        <f t="shared" si="69"/>
        <v>252.59</v>
      </c>
      <c r="T187" s="44">
        <f>E187+апр!I184</f>
        <v>252.5</v>
      </c>
      <c r="U187" s="30">
        <f>F187+апр!J184</f>
        <v>0</v>
      </c>
    </row>
    <row r="188" spans="1:21" ht="17.25" customHeight="1">
      <c r="A188" s="8" t="s">
        <v>268</v>
      </c>
      <c r="B188" s="9" t="s">
        <v>177</v>
      </c>
      <c r="C188" s="8" t="s">
        <v>4</v>
      </c>
      <c r="D188" s="10">
        <v>19.254000000000001</v>
      </c>
      <c r="E188" s="8"/>
      <c r="F188" s="10"/>
      <c r="G188" s="10">
        <f t="shared" si="74"/>
        <v>0</v>
      </c>
      <c r="H188" s="10">
        <f>D188+июнь!H187</f>
        <v>151.00799999999998</v>
      </c>
      <c r="I188" s="8">
        <f>E188+июнь!I187</f>
        <v>0</v>
      </c>
      <c r="J188" s="54">
        <f>F188+июнь!J187</f>
        <v>0</v>
      </c>
      <c r="K188" s="10">
        <f t="shared" si="76"/>
        <v>0</v>
      </c>
      <c r="L188" s="16"/>
      <c r="M188" s="220"/>
      <c r="N188" s="221"/>
      <c r="O188" s="122">
        <f t="shared" si="79"/>
        <v>-151.00799999999998</v>
      </c>
      <c r="P188" s="123">
        <f t="shared" si="80"/>
        <v>-100</v>
      </c>
      <c r="Q188" s="125"/>
      <c r="R188" s="10">
        <v>130.12</v>
      </c>
      <c r="S188">
        <f t="shared" si="69"/>
        <v>96.27000000000001</v>
      </c>
      <c r="T188" s="44">
        <f>E188+апр!I185</f>
        <v>0</v>
      </c>
      <c r="U188" s="30">
        <f>F188+апр!J185</f>
        <v>0</v>
      </c>
    </row>
    <row r="189" spans="1:21" ht="17.25" customHeight="1">
      <c r="A189" s="8" t="s">
        <v>269</v>
      </c>
      <c r="B189" s="9" t="s">
        <v>178</v>
      </c>
      <c r="C189" s="8" t="s">
        <v>4</v>
      </c>
      <c r="D189" s="10">
        <v>8.7639999999999993</v>
      </c>
      <c r="E189" s="8"/>
      <c r="F189" s="8"/>
      <c r="G189" s="10">
        <f t="shared" si="74"/>
        <v>0</v>
      </c>
      <c r="H189" s="10">
        <f>D189+июнь!H188</f>
        <v>61.347999999999985</v>
      </c>
      <c r="I189" s="8">
        <f>E189+июнь!I188</f>
        <v>0</v>
      </c>
      <c r="J189" s="54">
        <f>F189+июнь!J188</f>
        <v>0</v>
      </c>
      <c r="K189" s="10">
        <f t="shared" si="76"/>
        <v>0</v>
      </c>
      <c r="L189" s="16"/>
      <c r="M189" s="220"/>
      <c r="N189" s="221"/>
      <c r="O189" s="122">
        <f t="shared" si="79"/>
        <v>-61.347999999999985</v>
      </c>
      <c r="P189" s="123">
        <f t="shared" si="80"/>
        <v>-100</v>
      </c>
      <c r="Q189" s="125"/>
      <c r="R189" s="8">
        <v>15.369</v>
      </c>
      <c r="S189">
        <f t="shared" si="69"/>
        <v>43.819999999999993</v>
      </c>
      <c r="T189" s="44">
        <f>E189+апр!I186</f>
        <v>0</v>
      </c>
      <c r="U189" s="30">
        <f>F189+апр!J186</f>
        <v>0</v>
      </c>
    </row>
    <row r="190" spans="1:21" ht="17.25" customHeight="1">
      <c r="A190" s="8" t="s">
        <v>270</v>
      </c>
      <c r="B190" s="9" t="s">
        <v>179</v>
      </c>
      <c r="C190" s="8" t="s">
        <v>4</v>
      </c>
      <c r="D190" s="10">
        <v>22.5</v>
      </c>
      <c r="E190" s="8"/>
      <c r="F190" s="8"/>
      <c r="G190" s="10">
        <f t="shared" si="74"/>
        <v>0</v>
      </c>
      <c r="H190" s="10">
        <f>D190+июнь!H189</f>
        <v>157.5</v>
      </c>
      <c r="I190" s="8">
        <f>E190+июнь!I189</f>
        <v>0</v>
      </c>
      <c r="J190" s="54">
        <f>F190+июнь!J189</f>
        <v>0</v>
      </c>
      <c r="K190" s="10">
        <f t="shared" si="76"/>
        <v>0</v>
      </c>
      <c r="L190" s="16"/>
      <c r="M190" s="220"/>
      <c r="N190" s="221"/>
      <c r="O190" s="122">
        <f t="shared" si="79"/>
        <v>-157.5</v>
      </c>
      <c r="P190" s="123">
        <f t="shared" si="80"/>
        <v>-100</v>
      </c>
      <c r="Q190" s="125"/>
      <c r="R190" s="8">
        <v>198.01900000000001</v>
      </c>
      <c r="S190">
        <f t="shared" si="69"/>
        <v>112.5</v>
      </c>
      <c r="T190" s="44">
        <f>E190+апр!I187</f>
        <v>0</v>
      </c>
      <c r="U190" s="30">
        <f>F190+апр!J187</f>
        <v>0</v>
      </c>
    </row>
    <row r="191" spans="1:21" ht="17.25" customHeight="1">
      <c r="A191" s="132" t="s">
        <v>175</v>
      </c>
      <c r="B191" s="6" t="s">
        <v>180</v>
      </c>
      <c r="C191" s="132" t="s">
        <v>4</v>
      </c>
      <c r="D191" s="7">
        <f>D192+D193+D194+D195+D200+D201+D202+D203+D207</f>
        <v>186.78400000000005</v>
      </c>
      <c r="E191" s="7">
        <f>E192+E193+E194+E195+E200+E201+E202+E203+E207</f>
        <v>193.416</v>
      </c>
      <c r="F191" s="7">
        <f>F192+F193+F194+F195+F200+F201+F202+F203+F207</f>
        <v>86.704999999999998</v>
      </c>
      <c r="G191" s="10">
        <f t="shared" si="74"/>
        <v>-106.711</v>
      </c>
      <c r="H191" s="7">
        <f>H192+H193+H194+H195+H200+H201+H202+H203+H207</f>
        <v>8663.1929999999993</v>
      </c>
      <c r="I191" s="7">
        <f>I192+I193+I194+I195+I200+I201+I202+I203+I207</f>
        <v>1353.837</v>
      </c>
      <c r="J191" s="7">
        <f>J192+J193+J194+J195+J200+J201+J202+J203+J207</f>
        <v>631.42900000000009</v>
      </c>
      <c r="K191" s="10">
        <f t="shared" si="76"/>
        <v>-722.4079999999999</v>
      </c>
      <c r="L191" s="16">
        <f t="shared" si="85"/>
        <v>-53.360042604833509</v>
      </c>
      <c r="M191" s="226"/>
      <c r="N191" s="221"/>
      <c r="O191" s="122">
        <f t="shared" si="79"/>
        <v>-8031.7639999999992</v>
      </c>
      <c r="P191" s="123">
        <f t="shared" si="80"/>
        <v>-92.711359426022256</v>
      </c>
      <c r="Q191" s="114"/>
      <c r="S191">
        <f t="shared" si="69"/>
        <v>933.9200000000003</v>
      </c>
      <c r="T191" s="44">
        <f>E191+апр!I188</f>
        <v>967.07999999999993</v>
      </c>
      <c r="U191" s="30">
        <f>F191+апр!J188</f>
        <v>512.02</v>
      </c>
    </row>
    <row r="192" spans="1:21" ht="17.25" customHeight="1">
      <c r="A192" s="18" t="s">
        <v>271</v>
      </c>
      <c r="B192" s="9" t="s">
        <v>181</v>
      </c>
      <c r="C192" s="8" t="s">
        <v>4</v>
      </c>
      <c r="D192" s="10">
        <v>0</v>
      </c>
      <c r="E192" s="8"/>
      <c r="F192" s="8"/>
      <c r="G192" s="10">
        <f t="shared" si="74"/>
        <v>0</v>
      </c>
      <c r="H192" s="10">
        <f>D192+июнь!H191</f>
        <v>7.4550000000000001</v>
      </c>
      <c r="I192" s="8">
        <f>E192+июнь!I191</f>
        <v>0</v>
      </c>
      <c r="J192" s="54">
        <f>F192+июнь!J191</f>
        <v>0</v>
      </c>
      <c r="K192" s="10">
        <f t="shared" si="76"/>
        <v>0</v>
      </c>
      <c r="L192" s="16"/>
      <c r="M192" s="220"/>
      <c r="N192" s="221"/>
      <c r="O192" s="122">
        <f t="shared" si="79"/>
        <v>-7.4550000000000001</v>
      </c>
      <c r="P192" s="123">
        <f t="shared" si="80"/>
        <v>-100</v>
      </c>
      <c r="Q192" s="114"/>
      <c r="S192">
        <f t="shared" si="69"/>
        <v>0</v>
      </c>
      <c r="T192" s="44">
        <f>E192+апр!I189</f>
        <v>0</v>
      </c>
      <c r="U192" s="30">
        <f>F192+апр!J189</f>
        <v>0</v>
      </c>
    </row>
    <row r="193" spans="1:21" ht="17.25" customHeight="1">
      <c r="A193" s="18" t="s">
        <v>272</v>
      </c>
      <c r="B193" s="9" t="s">
        <v>182</v>
      </c>
      <c r="C193" s="8" t="s">
        <v>4</v>
      </c>
      <c r="D193" s="10">
        <v>15.651</v>
      </c>
      <c r="E193" s="10">
        <v>22.25</v>
      </c>
      <c r="F193" s="55">
        <v>21.893999999999998</v>
      </c>
      <c r="G193" s="10">
        <f t="shared" si="74"/>
        <v>-0.35600000000000165</v>
      </c>
      <c r="H193" s="10">
        <f>D193+июнь!H192</f>
        <v>109.55699999999999</v>
      </c>
      <c r="I193" s="8">
        <f>E193+июнь!I192</f>
        <v>155.75</v>
      </c>
      <c r="J193" s="54">
        <f>F193+июнь!J192</f>
        <v>207.84500000000003</v>
      </c>
      <c r="K193" s="10">
        <f t="shared" si="76"/>
        <v>52.095000000000027</v>
      </c>
      <c r="L193" s="16">
        <f t="shared" si="85"/>
        <v>33.447833065810613</v>
      </c>
      <c r="M193" s="220"/>
      <c r="N193" s="221"/>
      <c r="O193" s="122">
        <f t="shared" si="79"/>
        <v>98.288000000000039</v>
      </c>
      <c r="P193" s="123">
        <f t="shared" si="80"/>
        <v>89.714030139562098</v>
      </c>
      <c r="Q193" s="114"/>
      <c r="S193">
        <f t="shared" si="69"/>
        <v>78.254999999999995</v>
      </c>
      <c r="T193" s="44">
        <f>E193+апр!I190</f>
        <v>111.25</v>
      </c>
      <c r="U193" s="30">
        <f>F193+апр!J190</f>
        <v>153.24900000000002</v>
      </c>
    </row>
    <row r="194" spans="1:21" ht="33.75" customHeight="1">
      <c r="A194" s="18" t="s">
        <v>273</v>
      </c>
      <c r="B194" s="9" t="s">
        <v>237</v>
      </c>
      <c r="C194" s="8" t="s">
        <v>4</v>
      </c>
      <c r="D194" s="10">
        <v>1.4910000000000001</v>
      </c>
      <c r="E194" s="10">
        <v>1.5</v>
      </c>
      <c r="F194" s="54">
        <v>3</v>
      </c>
      <c r="G194" s="10">
        <f t="shared" si="74"/>
        <v>1.5</v>
      </c>
      <c r="H194" s="10">
        <f>D194+июнь!H193</f>
        <v>10.436999999999999</v>
      </c>
      <c r="I194" s="8">
        <f>E194+июнь!I193</f>
        <v>10.5</v>
      </c>
      <c r="J194" s="54">
        <f>F194+июнь!J193</f>
        <v>13.09</v>
      </c>
      <c r="K194" s="10">
        <f t="shared" si="76"/>
        <v>2.59</v>
      </c>
      <c r="L194" s="16">
        <f t="shared" si="85"/>
        <v>24.666666666666664</v>
      </c>
      <c r="M194" s="220"/>
      <c r="N194" s="221"/>
      <c r="O194" s="122">
        <f t="shared" si="79"/>
        <v>2.6530000000000005</v>
      </c>
      <c r="P194" s="123">
        <f t="shared" si="80"/>
        <v>25.41918175720993</v>
      </c>
      <c r="Q194" s="114"/>
      <c r="S194">
        <f t="shared" si="69"/>
        <v>7.4550000000000001</v>
      </c>
      <c r="T194" s="44">
        <f>E194+апр!I191</f>
        <v>7.5</v>
      </c>
      <c r="U194" s="30">
        <f>F194+апр!J191</f>
        <v>12.09</v>
      </c>
    </row>
    <row r="195" spans="1:21" ht="36.75" customHeight="1">
      <c r="A195" s="18" t="s">
        <v>274</v>
      </c>
      <c r="B195" s="9" t="s">
        <v>183</v>
      </c>
      <c r="C195" s="8" t="s">
        <v>4</v>
      </c>
      <c r="D195" s="10">
        <f t="shared" ref="D195:F195" si="94">D196+D197+D198+D199</f>
        <v>149.55900000000003</v>
      </c>
      <c r="E195" s="10">
        <f t="shared" si="94"/>
        <v>149.583</v>
      </c>
      <c r="F195" s="10">
        <f t="shared" si="94"/>
        <v>61.141000000000005</v>
      </c>
      <c r="G195" s="10">
        <f t="shared" si="74"/>
        <v>-88.441999999999993</v>
      </c>
      <c r="H195" s="10">
        <f t="shared" ref="H195:J195" si="95">H196+H197+H198+H199</f>
        <v>1046.913</v>
      </c>
      <c r="I195" s="10">
        <f t="shared" si="95"/>
        <v>1047.0809999999999</v>
      </c>
      <c r="J195" s="10">
        <f t="shared" si="95"/>
        <v>397.048</v>
      </c>
      <c r="K195" s="10">
        <f t="shared" si="76"/>
        <v>-650.0329999999999</v>
      </c>
      <c r="L195" s="16">
        <f t="shared" si="85"/>
        <v>-62.080488519990325</v>
      </c>
      <c r="M195" s="220"/>
      <c r="N195" s="221"/>
      <c r="O195" s="122">
        <f t="shared" si="79"/>
        <v>-649.86500000000001</v>
      </c>
      <c r="P195" s="123">
        <f t="shared" si="80"/>
        <v>-62.074403508218921</v>
      </c>
      <c r="Q195" s="114"/>
      <c r="S195">
        <f t="shared" si="69"/>
        <v>747.79500000000007</v>
      </c>
      <c r="T195" s="44">
        <f>E195+апр!I192</f>
        <v>747.91499999999996</v>
      </c>
      <c r="U195" s="30">
        <f>F195+апр!J192</f>
        <v>335.42200000000003</v>
      </c>
    </row>
    <row r="196" spans="1:21" ht="74.25" customHeight="1">
      <c r="A196" s="8" t="s">
        <v>275</v>
      </c>
      <c r="B196" s="9" t="s">
        <v>184</v>
      </c>
      <c r="C196" s="8" t="s">
        <v>4</v>
      </c>
      <c r="D196" s="10">
        <v>33.363999999999997</v>
      </c>
      <c r="E196" s="8">
        <v>33.332999999999998</v>
      </c>
      <c r="F196" s="55">
        <v>0.70299999999999996</v>
      </c>
      <c r="G196" s="10">
        <f t="shared" si="74"/>
        <v>-32.629999999999995</v>
      </c>
      <c r="H196" s="10">
        <f>D196+июнь!H195</f>
        <v>233.548</v>
      </c>
      <c r="I196" s="8">
        <f>E196+июнь!I195</f>
        <v>233.33099999999999</v>
      </c>
      <c r="J196" s="54">
        <f>F196+июнь!J195</f>
        <v>224.71899999999999</v>
      </c>
      <c r="K196" s="10">
        <f t="shared" si="76"/>
        <v>-8.6119999999999948</v>
      </c>
      <c r="L196" s="16">
        <f t="shared" si="85"/>
        <v>-3.6908940517976587</v>
      </c>
      <c r="M196" s="220"/>
      <c r="N196" s="221"/>
      <c r="O196" s="122">
        <f t="shared" si="79"/>
        <v>-8.8290000000000077</v>
      </c>
      <c r="P196" s="123">
        <f t="shared" si="80"/>
        <v>-3.7803791939986677</v>
      </c>
      <c r="Q196" s="114"/>
      <c r="S196">
        <f t="shared" si="69"/>
        <v>166.82</v>
      </c>
      <c r="T196" s="44">
        <f>E196+апр!I193</f>
        <v>166.66499999999999</v>
      </c>
      <c r="U196" s="30">
        <f>F196+апр!J193</f>
        <v>190.178</v>
      </c>
    </row>
    <row r="197" spans="1:21" ht="93" customHeight="1">
      <c r="A197" s="8" t="s">
        <v>276</v>
      </c>
      <c r="B197" s="9" t="s">
        <v>238</v>
      </c>
      <c r="C197" s="8" t="s">
        <v>4</v>
      </c>
      <c r="D197" s="10">
        <v>89.792000000000002</v>
      </c>
      <c r="E197" s="8">
        <v>89.832999999999998</v>
      </c>
      <c r="F197" s="55">
        <v>35.179000000000002</v>
      </c>
      <c r="G197" s="10">
        <f t="shared" si="74"/>
        <v>-54.653999999999996</v>
      </c>
      <c r="H197" s="10">
        <f>D197+июнь!H196</f>
        <v>628.5440000000001</v>
      </c>
      <c r="I197" s="8">
        <f>E197+июнь!I196</f>
        <v>628.8309999999999</v>
      </c>
      <c r="J197" s="54">
        <f>F197+июнь!J196</f>
        <v>37.005000000000003</v>
      </c>
      <c r="K197" s="10">
        <f t="shared" si="76"/>
        <v>-591.82599999999991</v>
      </c>
      <c r="L197" s="16">
        <f t="shared" si="85"/>
        <v>-94.115271034665909</v>
      </c>
      <c r="M197" s="220"/>
      <c r="N197" s="221"/>
      <c r="O197" s="122">
        <f t="shared" si="79"/>
        <v>-591.5390000000001</v>
      </c>
      <c r="P197" s="123">
        <f t="shared" si="80"/>
        <v>-94.112584003665617</v>
      </c>
      <c r="Q197" s="114"/>
      <c r="S197">
        <f t="shared" si="69"/>
        <v>448.96000000000004</v>
      </c>
      <c r="T197" s="44">
        <f>E197+апр!I194</f>
        <v>449.16499999999996</v>
      </c>
      <c r="U197" s="30">
        <f>F197+апр!J194</f>
        <v>35.179000000000002</v>
      </c>
    </row>
    <row r="198" spans="1:21" ht="90.75" customHeight="1">
      <c r="A198" s="8" t="s">
        <v>277</v>
      </c>
      <c r="B198" s="9" t="s">
        <v>185</v>
      </c>
      <c r="C198" s="8" t="s">
        <v>4</v>
      </c>
      <c r="D198" s="10">
        <v>7.9660000000000002</v>
      </c>
      <c r="E198" s="8">
        <v>8</v>
      </c>
      <c r="F198" s="55">
        <v>7.8730000000000002</v>
      </c>
      <c r="G198" s="10">
        <f t="shared" si="74"/>
        <v>-0.12699999999999978</v>
      </c>
      <c r="H198" s="10">
        <f>D198+июнь!H197</f>
        <v>55.762</v>
      </c>
      <c r="I198" s="8">
        <f>E198+июнь!I197</f>
        <v>56</v>
      </c>
      <c r="J198" s="54">
        <f>F198+июнь!J197</f>
        <v>31.007000000000001</v>
      </c>
      <c r="K198" s="10">
        <f t="shared" si="76"/>
        <v>-24.992999999999999</v>
      </c>
      <c r="L198" s="16">
        <f t="shared" si="85"/>
        <v>-44.630357142857143</v>
      </c>
      <c r="M198" s="220"/>
      <c r="N198" s="221"/>
      <c r="O198" s="122">
        <f t="shared" si="79"/>
        <v>-24.754999999999999</v>
      </c>
      <c r="P198" s="123">
        <f t="shared" si="80"/>
        <v>-44.39403177791327</v>
      </c>
      <c r="Q198" s="114"/>
      <c r="S198">
        <f t="shared" si="69"/>
        <v>39.83</v>
      </c>
      <c r="T198" s="44">
        <f>E198+апр!I195</f>
        <v>40</v>
      </c>
      <c r="U198" s="30">
        <f>F198+апр!J195</f>
        <v>23.134</v>
      </c>
    </row>
    <row r="199" spans="1:21" ht="37.5" customHeight="1">
      <c r="A199" s="8" t="s">
        <v>278</v>
      </c>
      <c r="B199" s="9" t="s">
        <v>186</v>
      </c>
      <c r="C199" s="8" t="s">
        <v>4</v>
      </c>
      <c r="D199" s="10">
        <v>18.437000000000001</v>
      </c>
      <c r="E199" s="8">
        <v>18.417000000000002</v>
      </c>
      <c r="F199" s="55">
        <v>17.385999999999999</v>
      </c>
      <c r="G199" s="10">
        <f t="shared" si="74"/>
        <v>-1.0310000000000024</v>
      </c>
      <c r="H199" s="10">
        <f>D199+июнь!H198</f>
        <v>129.059</v>
      </c>
      <c r="I199" s="8">
        <f>E199+июнь!I198</f>
        <v>128.91900000000001</v>
      </c>
      <c r="J199" s="54">
        <f>F199+июнь!J198</f>
        <v>104.31699999999999</v>
      </c>
      <c r="K199" s="10">
        <f t="shared" si="76"/>
        <v>-24.602000000000018</v>
      </c>
      <c r="L199" s="16">
        <f t="shared" si="85"/>
        <v>-19.083300366897056</v>
      </c>
      <c r="M199" s="220"/>
      <c r="N199" s="221"/>
      <c r="O199" s="122">
        <f t="shared" si="79"/>
        <v>-24.742000000000004</v>
      </c>
      <c r="P199" s="123">
        <f t="shared" si="80"/>
        <v>-19.171076794334375</v>
      </c>
      <c r="Q199" s="114"/>
      <c r="S199">
        <f t="shared" si="69"/>
        <v>92.185000000000002</v>
      </c>
      <c r="T199" s="44">
        <f>E199+апр!I196</f>
        <v>92.085000000000008</v>
      </c>
      <c r="U199" s="30">
        <f>F199+апр!J196</f>
        <v>86.930999999999997</v>
      </c>
    </row>
    <row r="200" spans="1:21" ht="17.25" customHeight="1">
      <c r="A200" s="18" t="s">
        <v>279</v>
      </c>
      <c r="B200" s="26" t="s">
        <v>187</v>
      </c>
      <c r="C200" s="8" t="s">
        <v>4</v>
      </c>
      <c r="D200" s="10">
        <v>15.818</v>
      </c>
      <c r="E200" s="8">
        <v>15.833</v>
      </c>
      <c r="F200" s="8"/>
      <c r="G200" s="10">
        <f t="shared" si="74"/>
        <v>-15.833</v>
      </c>
      <c r="H200" s="10">
        <f>D200+июнь!H199</f>
        <v>110.726</v>
      </c>
      <c r="I200" s="8">
        <f>E200+июнь!I199</f>
        <v>110.756</v>
      </c>
      <c r="J200" s="54">
        <f>F200+июнь!J199</f>
        <v>0</v>
      </c>
      <c r="K200" s="10">
        <f t="shared" si="76"/>
        <v>-110.756</v>
      </c>
      <c r="L200" s="16">
        <f t="shared" si="85"/>
        <v>-100</v>
      </c>
      <c r="M200" s="220"/>
      <c r="N200" s="221"/>
      <c r="O200" s="122">
        <f t="shared" si="79"/>
        <v>-110.726</v>
      </c>
      <c r="P200" s="123">
        <f t="shared" si="80"/>
        <v>-100</v>
      </c>
      <c r="Q200" s="114"/>
      <c r="S200">
        <f t="shared" si="69"/>
        <v>79.09</v>
      </c>
      <c r="T200" s="44">
        <f>E200+апр!I197</f>
        <v>79.165000000000006</v>
      </c>
      <c r="U200" s="30">
        <f>F200+апр!J197</f>
        <v>0</v>
      </c>
    </row>
    <row r="201" spans="1:21" ht="17.25" customHeight="1">
      <c r="A201" s="18"/>
      <c r="B201" s="26" t="s">
        <v>125</v>
      </c>
      <c r="C201" s="8" t="s">
        <v>4</v>
      </c>
      <c r="D201" s="10">
        <v>0.34200000000000003</v>
      </c>
      <c r="E201" s="8">
        <v>0.33300000000000002</v>
      </c>
      <c r="F201" s="8"/>
      <c r="G201" s="10">
        <f t="shared" si="74"/>
        <v>-0.33300000000000002</v>
      </c>
      <c r="H201" s="10">
        <f>D201+июнь!H200</f>
        <v>20.298999999999999</v>
      </c>
      <c r="I201" s="8">
        <f>E201+июнь!I200</f>
        <v>2.331</v>
      </c>
      <c r="J201" s="54">
        <f>F201+июнь!J200</f>
        <v>0</v>
      </c>
      <c r="K201" s="10">
        <f t="shared" si="76"/>
        <v>-2.331</v>
      </c>
      <c r="L201" s="16">
        <f t="shared" si="85"/>
        <v>-100</v>
      </c>
      <c r="M201" s="220"/>
      <c r="N201" s="221"/>
      <c r="O201" s="122">
        <f t="shared" si="79"/>
        <v>-20.298999999999999</v>
      </c>
      <c r="P201" s="123">
        <f t="shared" si="80"/>
        <v>-100</v>
      </c>
      <c r="Q201" s="114"/>
      <c r="S201">
        <f t="shared" si="69"/>
        <v>1.7100000000000002</v>
      </c>
      <c r="T201" s="44">
        <f>E201+апр!I198</f>
        <v>1.665</v>
      </c>
      <c r="U201" s="30">
        <f>F201+апр!J198</f>
        <v>0</v>
      </c>
    </row>
    <row r="202" spans="1:21" ht="17.25" customHeight="1">
      <c r="A202" s="18" t="s">
        <v>280</v>
      </c>
      <c r="B202" s="26" t="s">
        <v>188</v>
      </c>
      <c r="C202" s="8" t="s">
        <v>4</v>
      </c>
      <c r="D202" s="10">
        <v>0</v>
      </c>
      <c r="E202" s="8"/>
      <c r="F202" s="8"/>
      <c r="G202" s="10">
        <f t="shared" si="74"/>
        <v>0</v>
      </c>
      <c r="H202" s="10">
        <f>D202+июнь!H201</f>
        <v>0</v>
      </c>
      <c r="I202" s="8">
        <f>E202+июнь!I201</f>
        <v>0</v>
      </c>
      <c r="J202" s="54">
        <f>F202+июнь!J201</f>
        <v>0</v>
      </c>
      <c r="K202" s="10">
        <f t="shared" si="76"/>
        <v>0</v>
      </c>
      <c r="L202" s="16"/>
      <c r="M202" s="220"/>
      <c r="N202" s="221"/>
      <c r="O202" s="122">
        <f t="shared" si="79"/>
        <v>0</v>
      </c>
      <c r="P202" s="123" t="e">
        <f t="shared" si="80"/>
        <v>#DIV/0!</v>
      </c>
      <c r="Q202" s="114"/>
      <c r="S202">
        <f t="shared" si="69"/>
        <v>0</v>
      </c>
      <c r="T202" s="44">
        <f>E202+апр!I199</f>
        <v>0</v>
      </c>
      <c r="U202" s="30">
        <f>F202+апр!J199</f>
        <v>0</v>
      </c>
    </row>
    <row r="203" spans="1:21" ht="27" customHeight="1">
      <c r="A203" s="18" t="s">
        <v>281</v>
      </c>
      <c r="B203" s="26" t="s">
        <v>189</v>
      </c>
      <c r="C203" s="8" t="s">
        <v>4</v>
      </c>
      <c r="D203" s="10">
        <v>3.923</v>
      </c>
      <c r="E203" s="8">
        <v>3.9169999999999998</v>
      </c>
      <c r="F203" s="10">
        <v>0.67</v>
      </c>
      <c r="G203" s="10">
        <f t="shared" si="74"/>
        <v>-3.2469999999999999</v>
      </c>
      <c r="H203" s="10">
        <f>D203+июнь!H202</f>
        <v>7.8460000000000001</v>
      </c>
      <c r="I203" s="8">
        <f>E203+июнь!I202</f>
        <v>27.419000000000004</v>
      </c>
      <c r="J203" s="54">
        <f>F203+июнь!J202</f>
        <v>13.446</v>
      </c>
      <c r="K203" s="10">
        <f t="shared" si="76"/>
        <v>-13.973000000000004</v>
      </c>
      <c r="L203" s="16">
        <f t="shared" si="85"/>
        <v>-50.961012436631535</v>
      </c>
      <c r="M203" s="222" t="s">
        <v>289</v>
      </c>
      <c r="N203" s="223"/>
      <c r="O203" s="122">
        <f t="shared" si="79"/>
        <v>5.6</v>
      </c>
      <c r="P203" s="123">
        <f t="shared" si="80"/>
        <v>71.373948508794285</v>
      </c>
      <c r="Q203" s="115"/>
      <c r="S203">
        <f t="shared" si="69"/>
        <v>19.615000000000002</v>
      </c>
      <c r="T203" s="44">
        <f>E203+апр!I200</f>
        <v>19.585000000000001</v>
      </c>
      <c r="U203" s="30">
        <f>F203+апр!J200</f>
        <v>11.259</v>
      </c>
    </row>
    <row r="204" spans="1:21" ht="17.25" customHeight="1">
      <c r="A204" s="18" t="s">
        <v>282</v>
      </c>
      <c r="B204" s="26" t="s">
        <v>225</v>
      </c>
      <c r="C204" s="8" t="s">
        <v>4</v>
      </c>
      <c r="D204" s="10">
        <v>0</v>
      </c>
      <c r="E204" s="8"/>
      <c r="F204" s="8">
        <v>298.71600000000001</v>
      </c>
      <c r="G204" s="10">
        <f t="shared" si="74"/>
        <v>298.71600000000001</v>
      </c>
      <c r="H204" s="10">
        <f>D204+апр!H201</f>
        <v>0</v>
      </c>
      <c r="I204" s="8">
        <f>E204+апр!I201</f>
        <v>0</v>
      </c>
      <c r="J204" s="54">
        <f>F204+июнь!J203</f>
        <v>298.71600000000001</v>
      </c>
      <c r="K204" s="10">
        <f t="shared" si="76"/>
        <v>298.71600000000001</v>
      </c>
      <c r="L204" s="16" t="e">
        <f>K204/I204*100</f>
        <v>#DIV/0!</v>
      </c>
      <c r="M204" s="222" t="s">
        <v>290</v>
      </c>
      <c r="N204" s="223"/>
      <c r="O204" s="122">
        <f t="shared" si="79"/>
        <v>298.71600000000001</v>
      </c>
      <c r="P204" s="123" t="e">
        <f t="shared" si="80"/>
        <v>#DIV/0!</v>
      </c>
      <c r="Q204" s="115"/>
      <c r="S204">
        <f t="shared" ref="S204:S222" si="96">D204*5</f>
        <v>0</v>
      </c>
      <c r="T204" s="44">
        <f>E204+апр!I201</f>
        <v>0</v>
      </c>
      <c r="U204" s="30">
        <f>F204+апр!J201</f>
        <v>298.71600000000001</v>
      </c>
    </row>
    <row r="205" spans="1:21" ht="17.25" customHeight="1">
      <c r="A205" s="18" t="s">
        <v>283</v>
      </c>
      <c r="B205" s="26" t="s">
        <v>228</v>
      </c>
      <c r="C205" s="8" t="s">
        <v>4</v>
      </c>
      <c r="D205" s="10">
        <v>0</v>
      </c>
      <c r="E205" s="8"/>
      <c r="F205" s="8"/>
      <c r="G205" s="10">
        <f t="shared" si="74"/>
        <v>0</v>
      </c>
      <c r="H205" s="10">
        <f>D205+апр!H202</f>
        <v>0</v>
      </c>
      <c r="I205" s="8">
        <f>E205+апр!I202</f>
        <v>0</v>
      </c>
      <c r="J205" s="54">
        <f>F205+июнь!J204</f>
        <v>0</v>
      </c>
      <c r="K205" s="10">
        <f t="shared" si="76"/>
        <v>0</v>
      </c>
      <c r="L205" s="16" t="e">
        <f t="shared" si="85"/>
        <v>#DIV/0!</v>
      </c>
      <c r="M205" s="222" t="s">
        <v>290</v>
      </c>
      <c r="N205" s="223"/>
      <c r="O205" s="122">
        <f t="shared" si="79"/>
        <v>0</v>
      </c>
      <c r="P205" s="123" t="e">
        <f t="shared" si="80"/>
        <v>#DIV/0!</v>
      </c>
      <c r="Q205" s="115"/>
      <c r="S205">
        <f t="shared" si="96"/>
        <v>0</v>
      </c>
      <c r="T205" s="44">
        <f>E205+апр!I202</f>
        <v>0</v>
      </c>
      <c r="U205" s="30">
        <f>F205+апр!J202</f>
        <v>0</v>
      </c>
    </row>
    <row r="206" spans="1:21" ht="34.5" customHeight="1">
      <c r="A206" s="18" t="s">
        <v>284</v>
      </c>
      <c r="B206" s="26" t="s">
        <v>231</v>
      </c>
      <c r="C206" s="8" t="s">
        <v>4</v>
      </c>
      <c r="D206" s="10">
        <v>0</v>
      </c>
      <c r="E206" s="8"/>
      <c r="F206" s="8"/>
      <c r="G206" s="10">
        <f t="shared" si="74"/>
        <v>0</v>
      </c>
      <c r="H206" s="10">
        <f>D206+апр!H203</f>
        <v>0</v>
      </c>
      <c r="I206" s="8">
        <f>E206+апр!I203</f>
        <v>0</v>
      </c>
      <c r="J206" s="54">
        <f>F206+июнь!J205</f>
        <v>0</v>
      </c>
      <c r="K206" s="10">
        <f t="shared" si="76"/>
        <v>0</v>
      </c>
      <c r="L206" s="16" t="e">
        <f t="shared" si="85"/>
        <v>#DIV/0!</v>
      </c>
      <c r="M206" s="222" t="s">
        <v>290</v>
      </c>
      <c r="N206" s="223"/>
      <c r="O206" s="122">
        <f t="shared" si="79"/>
        <v>0</v>
      </c>
      <c r="P206" s="123" t="e">
        <f t="shared" si="80"/>
        <v>#DIV/0!</v>
      </c>
      <c r="Q206" s="115"/>
      <c r="S206">
        <f t="shared" si="96"/>
        <v>0</v>
      </c>
      <c r="T206" s="44">
        <f>E206+апр!I203</f>
        <v>0</v>
      </c>
      <c r="U206" s="30">
        <f>F206+апр!J203</f>
        <v>0</v>
      </c>
    </row>
    <row r="207" spans="1:21" ht="17.25" customHeight="1">
      <c r="A207" s="18" t="s">
        <v>282</v>
      </c>
      <c r="B207" s="26" t="s">
        <v>230</v>
      </c>
      <c r="C207" s="8" t="s">
        <v>4</v>
      </c>
      <c r="D207" s="10">
        <v>0</v>
      </c>
      <c r="E207" s="8"/>
      <c r="F207" s="8"/>
      <c r="G207" s="10">
        <f t="shared" si="74"/>
        <v>0</v>
      </c>
      <c r="H207" s="10">
        <f>D207+июнь!H206</f>
        <v>7349.96</v>
      </c>
      <c r="I207" s="8">
        <f>E207+июнь!I206</f>
        <v>0</v>
      </c>
      <c r="J207" s="54">
        <f>F207+июнь!J206</f>
        <v>0</v>
      </c>
      <c r="K207" s="10">
        <f t="shared" si="76"/>
        <v>0</v>
      </c>
      <c r="L207" s="16"/>
      <c r="M207" s="220"/>
      <c r="N207" s="221"/>
      <c r="O207" s="122">
        <f t="shared" si="79"/>
        <v>-7349.96</v>
      </c>
      <c r="P207" s="123">
        <f t="shared" si="80"/>
        <v>-100</v>
      </c>
      <c r="Q207" s="114"/>
      <c r="S207">
        <f t="shared" si="96"/>
        <v>0</v>
      </c>
      <c r="T207" s="44">
        <f>E207+апр!I204</f>
        <v>0</v>
      </c>
      <c r="U207" s="30">
        <f>F207+апр!J204</f>
        <v>0</v>
      </c>
    </row>
    <row r="208" spans="1:21" ht="17.25" customHeight="1">
      <c r="A208" s="18"/>
      <c r="B208" s="26"/>
      <c r="C208" s="8"/>
      <c r="D208" s="10"/>
      <c r="E208" s="8"/>
      <c r="F208" s="8"/>
      <c r="G208" s="10"/>
      <c r="H208" s="10"/>
      <c r="I208" s="8"/>
      <c r="J208" s="10"/>
      <c r="K208" s="10"/>
      <c r="L208" s="16"/>
      <c r="M208" s="134"/>
      <c r="N208" s="135"/>
      <c r="O208" s="122"/>
      <c r="P208" s="123"/>
      <c r="Q208" s="114"/>
      <c r="T208" s="44"/>
      <c r="U208" s="30"/>
    </row>
    <row r="209" spans="1:22" ht="21" customHeight="1">
      <c r="A209" s="132" t="s">
        <v>190</v>
      </c>
      <c r="B209" s="6" t="s">
        <v>191</v>
      </c>
      <c r="C209" s="132" t="s">
        <v>4</v>
      </c>
      <c r="D209" s="7">
        <f>D8+D141</f>
        <v>76555.231</v>
      </c>
      <c r="E209" s="21">
        <f>E8+E141</f>
        <v>71086.831999999995</v>
      </c>
      <c r="F209" s="7">
        <f>F8+F141</f>
        <v>76238.264999999999</v>
      </c>
      <c r="G209" s="10">
        <f t="shared" ref="G209:G217" si="97">F209-E209</f>
        <v>5151.4330000000045</v>
      </c>
      <c r="H209" s="7">
        <f>H8+H141</f>
        <v>544015.35017322924</v>
      </c>
      <c r="I209" s="7">
        <f>I8+I141</f>
        <v>496306.55478061771</v>
      </c>
      <c r="J209" s="7">
        <f>J8+J141</f>
        <v>525782.29349999991</v>
      </c>
      <c r="K209" s="10">
        <f t="shared" ref="K209:K217" si="98">J209-I209</f>
        <v>29475.738719382207</v>
      </c>
      <c r="L209" s="16">
        <f t="shared" ref="L209:L217" si="99">K209/I209*100</f>
        <v>5.9390186237639684</v>
      </c>
      <c r="M209" s="220"/>
      <c r="N209" s="221"/>
      <c r="O209" s="122">
        <f>J209-H209</f>
        <v>-18233.056673229323</v>
      </c>
      <c r="P209" s="123">
        <f t="shared" si="80"/>
        <v>-3.3515702576082504</v>
      </c>
      <c r="Q209" s="114"/>
      <c r="R209" s="30"/>
      <c r="S209">
        <f t="shared" si="96"/>
        <v>382776.15500000003</v>
      </c>
      <c r="T209" s="44">
        <f>E209+апр!I205</f>
        <v>355434.16</v>
      </c>
      <c r="U209" s="30">
        <f>F209+апр!J205</f>
        <v>359222.91349999991</v>
      </c>
    </row>
    <row r="210" spans="1:22" ht="17.25" customHeight="1">
      <c r="A210" s="132" t="s">
        <v>192</v>
      </c>
      <c r="B210" s="6" t="s">
        <v>193</v>
      </c>
      <c r="C210" s="132" t="s">
        <v>4</v>
      </c>
      <c r="D210" s="7">
        <v>1469.992</v>
      </c>
      <c r="E210" s="132">
        <v>1470.0830000000001</v>
      </c>
      <c r="F210" s="21">
        <f>F213-F209</f>
        <v>25955.627800000002</v>
      </c>
      <c r="G210" s="16">
        <f t="shared" si="97"/>
        <v>24485.544800000003</v>
      </c>
      <c r="H210" s="10">
        <f>D210+июнь!H208</f>
        <v>10289.944</v>
      </c>
      <c r="I210" s="8">
        <f>E210+июнь!I208</f>
        <v>10290.581000000002</v>
      </c>
      <c r="J210" s="54">
        <f>F210+июнь!J208</f>
        <v>48971.981379999954</v>
      </c>
      <c r="K210" s="10">
        <f t="shared" si="98"/>
        <v>38681.400379999948</v>
      </c>
      <c r="L210" s="16">
        <f t="shared" si="99"/>
        <v>375.89131634064142</v>
      </c>
      <c r="M210" s="220"/>
      <c r="N210" s="221"/>
      <c r="O210" s="122">
        <f t="shared" si="79"/>
        <v>38682.037379999951</v>
      </c>
      <c r="P210" s="123">
        <f t="shared" si="80"/>
        <v>375.92077643959925</v>
      </c>
      <c r="Q210" s="114"/>
      <c r="S210">
        <f>D210*5</f>
        <v>7349.96</v>
      </c>
      <c r="T210" s="44">
        <f>E210+апр!I206</f>
        <v>7350.4150000000009</v>
      </c>
      <c r="U210" s="30">
        <f>F210+апр!J206</f>
        <v>33618.347339999978</v>
      </c>
    </row>
    <row r="211" spans="1:22" ht="17.25" customHeight="1">
      <c r="A211" s="132" t="s">
        <v>194</v>
      </c>
      <c r="B211" s="6" t="s">
        <v>195</v>
      </c>
      <c r="C211" s="132" t="s">
        <v>4</v>
      </c>
      <c r="D211" s="7">
        <f>D209+D210</f>
        <v>78025.222999999998</v>
      </c>
      <c r="E211" s="21">
        <f>E209+E210</f>
        <v>72556.914999999994</v>
      </c>
      <c r="F211" s="7">
        <f>F209+F210</f>
        <v>102193.8928</v>
      </c>
      <c r="G211" s="16">
        <f t="shared" si="97"/>
        <v>29636.977800000008</v>
      </c>
      <c r="H211" s="7">
        <f>H209+H210</f>
        <v>554305.29417322925</v>
      </c>
      <c r="I211" s="7">
        <f>I209+I210</f>
        <v>506597.13578061771</v>
      </c>
      <c r="J211" s="7">
        <f>J209+J210</f>
        <v>574754.27487999992</v>
      </c>
      <c r="K211" s="10">
        <f t="shared" si="98"/>
        <v>68157.139099382213</v>
      </c>
      <c r="L211" s="16">
        <f t="shared" si="99"/>
        <v>13.453913235091347</v>
      </c>
      <c r="M211" s="220"/>
      <c r="N211" s="221"/>
      <c r="O211" s="122">
        <f t="shared" si="79"/>
        <v>20448.980706770672</v>
      </c>
      <c r="P211" s="123">
        <f t="shared" si="80"/>
        <v>3.6891187801608902</v>
      </c>
      <c r="Q211" s="114"/>
      <c r="S211">
        <f t="shared" si="96"/>
        <v>390126.11499999999</v>
      </c>
      <c r="T211" s="44">
        <f>E211+апр!I207</f>
        <v>362784.57499999995</v>
      </c>
      <c r="U211" s="30">
        <f>F211+апр!J207</f>
        <v>392841.26083999989</v>
      </c>
    </row>
    <row r="212" spans="1:22" ht="17.25" customHeight="1">
      <c r="A212" s="224" t="s">
        <v>196</v>
      </c>
      <c r="B212" s="225" t="s">
        <v>197</v>
      </c>
      <c r="C212" s="132" t="s">
        <v>114</v>
      </c>
      <c r="D212" s="7">
        <v>559.39200000000005</v>
      </c>
      <c r="E212" s="132">
        <v>523.61</v>
      </c>
      <c r="F212" s="132">
        <v>740.96500000000003</v>
      </c>
      <c r="G212" s="10">
        <f t="shared" si="97"/>
        <v>217.35500000000002</v>
      </c>
      <c r="H212" s="10">
        <f>D212+июнь!H210</f>
        <v>3915.7439999999997</v>
      </c>
      <c r="I212" s="8">
        <f>E212+июнь!I210</f>
        <v>3665.2700000000004</v>
      </c>
      <c r="J212" s="54">
        <f>F212+июнь!J210</f>
        <v>4169.3140000000003</v>
      </c>
      <c r="K212" s="10">
        <f t="shared" si="98"/>
        <v>504.04399999999987</v>
      </c>
      <c r="L212" s="16">
        <f t="shared" si="99"/>
        <v>13.751892766426479</v>
      </c>
      <c r="M212" s="220"/>
      <c r="N212" s="221"/>
      <c r="O212" s="122">
        <f t="shared" si="79"/>
        <v>253.57000000000062</v>
      </c>
      <c r="P212" s="123">
        <f t="shared" si="80"/>
        <v>6.4756531581227126</v>
      </c>
      <c r="Q212" s="114"/>
      <c r="S212">
        <f t="shared" si="96"/>
        <v>2796.96</v>
      </c>
      <c r="T212" s="44">
        <f>E212+апр!I208</f>
        <v>2618.0500000000002</v>
      </c>
      <c r="U212" s="30">
        <f>F212+апр!J208</f>
        <v>2848.3270000000002</v>
      </c>
    </row>
    <row r="213" spans="1:22" ht="17.25" customHeight="1">
      <c r="A213" s="224"/>
      <c r="B213" s="225"/>
      <c r="C213" s="132" t="s">
        <v>4</v>
      </c>
      <c r="D213" s="7">
        <f>D211</f>
        <v>78025.222999999998</v>
      </c>
      <c r="E213" s="21">
        <f>E211</f>
        <v>72556.914999999994</v>
      </c>
      <c r="F213" s="132">
        <f>F217*F212</f>
        <v>102193.8928</v>
      </c>
      <c r="G213" s="16">
        <f t="shared" si="97"/>
        <v>29636.977800000008</v>
      </c>
      <c r="H213" s="10">
        <f>D213+июнь!H211</f>
        <v>546176.56099999999</v>
      </c>
      <c r="I213" s="7">
        <f>I211</f>
        <v>506597.13578061771</v>
      </c>
      <c r="J213" s="132">
        <f>J217*J212</f>
        <v>574754.27487999992</v>
      </c>
      <c r="K213" s="10">
        <f t="shared" si="98"/>
        <v>68157.139099382213</v>
      </c>
      <c r="L213" s="16">
        <f t="shared" si="99"/>
        <v>13.453913235091347</v>
      </c>
      <c r="M213" s="220"/>
      <c r="N213" s="221"/>
      <c r="O213" s="122">
        <f t="shared" si="79"/>
        <v>28577.713879999937</v>
      </c>
      <c r="P213" s="123">
        <f t="shared" si="80"/>
        <v>5.232321545925867</v>
      </c>
      <c r="Q213" s="114"/>
      <c r="S213">
        <f t="shared" si="96"/>
        <v>390126.11499999999</v>
      </c>
      <c r="T213" s="44">
        <f>E213+апр!I209</f>
        <v>362784.57499999995</v>
      </c>
      <c r="U213" s="30">
        <f>F213+апр!J209</f>
        <v>392841.26083999989</v>
      </c>
    </row>
    <row r="214" spans="1:22" ht="17.25" customHeight="1">
      <c r="A214" s="132" t="s">
        <v>198</v>
      </c>
      <c r="B214" s="133" t="s">
        <v>199</v>
      </c>
      <c r="C214" s="132" t="s">
        <v>114</v>
      </c>
      <c r="D214" s="7">
        <v>761.69899999999996</v>
      </c>
      <c r="E214" s="21">
        <v>713</v>
      </c>
      <c r="F214" s="7">
        <v>817.49199999999996</v>
      </c>
      <c r="G214" s="10">
        <f t="shared" si="97"/>
        <v>104.49199999999996</v>
      </c>
      <c r="H214" s="10">
        <f>D214+июнь!H212</f>
        <v>5331.8929999999991</v>
      </c>
      <c r="I214" s="8">
        <f>E214+июнь!I212</f>
        <v>4991</v>
      </c>
      <c r="J214" s="54">
        <f>F214+июнь!J212</f>
        <v>5040.8620000000001</v>
      </c>
      <c r="K214" s="10">
        <f t="shared" si="98"/>
        <v>49.86200000000008</v>
      </c>
      <c r="L214" s="16">
        <f t="shared" si="99"/>
        <v>0.99903826888399283</v>
      </c>
      <c r="M214" s="220"/>
      <c r="N214" s="221"/>
      <c r="O214" s="122">
        <f t="shared" ref="O214:O217" si="100">J214-H214</f>
        <v>-291.03099999999904</v>
      </c>
      <c r="P214" s="123">
        <f t="shared" ref="P214:P217" si="101">O214/H214*100</f>
        <v>-5.4583053335841338</v>
      </c>
      <c r="Q214" s="114"/>
      <c r="S214">
        <f t="shared" si="96"/>
        <v>3808.4949999999999</v>
      </c>
      <c r="T214" s="44">
        <f>E214+апр!I210</f>
        <v>3565</v>
      </c>
      <c r="U214" s="30">
        <f>F214+апр!J210</f>
        <v>3471.174</v>
      </c>
    </row>
    <row r="215" spans="1:22" ht="17.25" customHeight="1">
      <c r="A215" s="224" t="s">
        <v>200</v>
      </c>
      <c r="B215" s="225" t="s">
        <v>201</v>
      </c>
      <c r="C215" s="132" t="s">
        <v>202</v>
      </c>
      <c r="D215" s="21">
        <f>D216/D214*100</f>
        <v>26.559966600980168</v>
      </c>
      <c r="E215" s="21">
        <f>E216/E214*100</f>
        <v>26.562412342215985</v>
      </c>
      <c r="F215" s="21">
        <f>F216/F214*100</f>
        <v>9.3611925254314325</v>
      </c>
      <c r="G215" s="10">
        <f t="shared" si="97"/>
        <v>-17.201219816784551</v>
      </c>
      <c r="H215" s="21">
        <f>H216/H214*100</f>
        <v>26.559966600980172</v>
      </c>
      <c r="I215" s="21">
        <f>I216/I214*100</f>
        <v>26.562412342215978</v>
      </c>
      <c r="J215" s="21">
        <f>J216/J214*100</f>
        <v>17.289661966544607</v>
      </c>
      <c r="K215" s="10">
        <f t="shared" si="98"/>
        <v>-9.2727503756713716</v>
      </c>
      <c r="L215" s="16">
        <f t="shared" si="99"/>
        <v>-34.909293087563711</v>
      </c>
      <c r="M215" s="220"/>
      <c r="N215" s="221"/>
      <c r="O215" s="122">
        <f t="shared" si="100"/>
        <v>-9.2703046344355649</v>
      </c>
      <c r="P215" s="123">
        <f t="shared" si="101"/>
        <v>-34.903299291398405</v>
      </c>
      <c r="Q215" s="114"/>
      <c r="S215">
        <f t="shared" si="96"/>
        <v>132.79983300490085</v>
      </c>
      <c r="T215" s="44">
        <f>E215+апр!I211</f>
        <v>53.124824684431971</v>
      </c>
      <c r="U215" s="30">
        <f>F215+апр!J211</f>
        <v>29.948436965420854</v>
      </c>
    </row>
    <row r="216" spans="1:22" ht="17.25" customHeight="1">
      <c r="A216" s="224"/>
      <c r="B216" s="225"/>
      <c r="C216" s="132" t="s">
        <v>114</v>
      </c>
      <c r="D216" s="7">
        <f>D214-D212</f>
        <v>202.3069999999999</v>
      </c>
      <c r="E216" s="7">
        <f>E214-E212</f>
        <v>189.39</v>
      </c>
      <c r="F216" s="7">
        <f>F214-F212</f>
        <v>76.52699999999993</v>
      </c>
      <c r="G216" s="10">
        <f t="shared" si="97"/>
        <v>-112.86300000000006</v>
      </c>
      <c r="H216" s="7">
        <f>H214-H212</f>
        <v>1416.1489999999994</v>
      </c>
      <c r="I216" s="7">
        <f>I214-I212</f>
        <v>1325.7299999999996</v>
      </c>
      <c r="J216" s="7">
        <f>J214-J212</f>
        <v>871.54799999999977</v>
      </c>
      <c r="K216" s="10">
        <f t="shared" si="98"/>
        <v>-454.18199999999979</v>
      </c>
      <c r="L216" s="16">
        <f t="shared" si="99"/>
        <v>-34.259012016021359</v>
      </c>
      <c r="M216" s="220"/>
      <c r="N216" s="221"/>
      <c r="O216" s="122">
        <f t="shared" si="100"/>
        <v>-544.60099999999966</v>
      </c>
      <c r="P216" s="123">
        <f t="shared" si="101"/>
        <v>-38.456475978163304</v>
      </c>
      <c r="Q216" s="114"/>
      <c r="S216">
        <f t="shared" si="96"/>
        <v>1011.5349999999995</v>
      </c>
      <c r="T216" s="44">
        <f>E216+апр!I212</f>
        <v>946.94999999999993</v>
      </c>
      <c r="U216" s="30">
        <f>F216+апр!J212</f>
        <v>622.84700000000009</v>
      </c>
    </row>
    <row r="217" spans="1:22" s="1" customFormat="1" ht="21" customHeight="1">
      <c r="A217" s="132" t="s">
        <v>203</v>
      </c>
      <c r="B217" s="6" t="s">
        <v>204</v>
      </c>
      <c r="C217" s="132" t="s">
        <v>205</v>
      </c>
      <c r="D217" s="21">
        <f>D211/D212</f>
        <v>139.48219316686686</v>
      </c>
      <c r="E217" s="21">
        <f>E213/E212</f>
        <v>138.57052959263572</v>
      </c>
      <c r="F217" s="132">
        <v>137.91999999999999</v>
      </c>
      <c r="G217" s="10">
        <f t="shared" si="97"/>
        <v>-0.65052959263573484</v>
      </c>
      <c r="H217" s="21">
        <f>H211/H212</f>
        <v>141.55810343404198</v>
      </c>
      <c r="I217" s="21">
        <f>I211/I212</f>
        <v>138.21550275439944</v>
      </c>
      <c r="J217" s="21">
        <f>J211/J212</f>
        <v>137.85343940993647</v>
      </c>
      <c r="K217" s="10">
        <f t="shared" si="98"/>
        <v>-0.36206334446296751</v>
      </c>
      <c r="L217" s="16">
        <f t="shared" si="99"/>
        <v>-0.2619556686823562</v>
      </c>
      <c r="M217" s="220"/>
      <c r="N217" s="221"/>
      <c r="O217" s="122">
        <f t="shared" si="100"/>
        <v>-3.7046640241055115</v>
      </c>
      <c r="P217" s="123">
        <f t="shared" si="101"/>
        <v>-2.6170624882888984</v>
      </c>
      <c r="Q217" s="114"/>
      <c r="R217"/>
      <c r="S217">
        <f t="shared" si="96"/>
        <v>697.41096583433432</v>
      </c>
      <c r="T217" s="44">
        <f>E217+апр!I213</f>
        <v>277.14105918527144</v>
      </c>
      <c r="U217" s="30">
        <f>F217+апр!J213</f>
        <v>275.84000047452685</v>
      </c>
      <c r="V217"/>
    </row>
    <row r="218" spans="1:22" ht="17.25" customHeight="1">
      <c r="A218" s="8"/>
      <c r="B218" s="9" t="s">
        <v>206</v>
      </c>
      <c r="C218" s="8"/>
      <c r="D218" s="21"/>
      <c r="E218" s="8"/>
      <c r="F218" s="8"/>
      <c r="G218" s="8"/>
      <c r="H218" s="21"/>
      <c r="I218" s="8"/>
      <c r="J218" s="8"/>
      <c r="K218" s="8"/>
      <c r="L218" s="16"/>
      <c r="M218" s="220"/>
      <c r="N218" s="221"/>
      <c r="O218" s="114"/>
      <c r="P218" s="114"/>
      <c r="Q218" s="114"/>
      <c r="S218">
        <f t="shared" si="96"/>
        <v>0</v>
      </c>
      <c r="T218" s="44">
        <f>E218+апр!I214</f>
        <v>0</v>
      </c>
      <c r="U218" s="30">
        <f>F218+апр!J214</f>
        <v>0</v>
      </c>
    </row>
    <row r="219" spans="1:22" ht="35.25" customHeight="1">
      <c r="A219" s="8">
        <v>7</v>
      </c>
      <c r="B219" s="9" t="s">
        <v>207</v>
      </c>
      <c r="C219" s="8" t="s">
        <v>208</v>
      </c>
      <c r="D219" s="14">
        <f>D220+D221</f>
        <v>253</v>
      </c>
      <c r="E219" s="14">
        <f t="shared" ref="E219:G219" si="102">E220+E221</f>
        <v>0</v>
      </c>
      <c r="F219" s="14">
        <f t="shared" si="102"/>
        <v>0</v>
      </c>
      <c r="G219" s="14">
        <f t="shared" si="102"/>
        <v>0</v>
      </c>
      <c r="H219" s="14">
        <f>H220+H221</f>
        <v>253</v>
      </c>
      <c r="I219" s="14">
        <f t="shared" ref="I219:K219" si="103">I220+I221</f>
        <v>0</v>
      </c>
      <c r="J219" s="14">
        <f t="shared" si="103"/>
        <v>172</v>
      </c>
      <c r="K219" s="14">
        <f t="shared" si="103"/>
        <v>0</v>
      </c>
      <c r="L219" s="16"/>
      <c r="M219" s="220"/>
      <c r="N219" s="221"/>
      <c r="O219" s="114"/>
      <c r="P219" s="114"/>
      <c r="Q219" s="114"/>
      <c r="S219">
        <f t="shared" si="96"/>
        <v>1265</v>
      </c>
      <c r="T219" s="44">
        <f>E219+апр!I215</f>
        <v>0</v>
      </c>
      <c r="U219" s="30">
        <f>F219+апр!J215</f>
        <v>172</v>
      </c>
    </row>
    <row r="220" spans="1:22" ht="17.25" customHeight="1">
      <c r="A220" s="18" t="s">
        <v>209</v>
      </c>
      <c r="B220" s="9" t="s">
        <v>210</v>
      </c>
      <c r="C220" s="8" t="s">
        <v>208</v>
      </c>
      <c r="D220" s="14">
        <v>236</v>
      </c>
      <c r="E220" s="8"/>
      <c r="F220" s="8"/>
      <c r="G220" s="8"/>
      <c r="H220" s="14">
        <v>236</v>
      </c>
      <c r="I220" s="8"/>
      <c r="J220" s="8">
        <v>164</v>
      </c>
      <c r="K220" s="8"/>
      <c r="L220" s="16"/>
      <c r="M220" s="220"/>
      <c r="N220" s="221"/>
      <c r="O220" s="114"/>
      <c r="P220" s="114"/>
      <c r="Q220" s="114"/>
      <c r="S220">
        <f t="shared" si="96"/>
        <v>1180</v>
      </c>
      <c r="T220" s="44">
        <f>E220+апр!I216</f>
        <v>0</v>
      </c>
      <c r="U220" s="30">
        <f>F220+апр!J216</f>
        <v>164</v>
      </c>
    </row>
    <row r="221" spans="1:22" ht="17.25" customHeight="1">
      <c r="A221" s="18" t="s">
        <v>211</v>
      </c>
      <c r="B221" s="9" t="s">
        <v>212</v>
      </c>
      <c r="C221" s="8" t="s">
        <v>208</v>
      </c>
      <c r="D221" s="14">
        <v>17</v>
      </c>
      <c r="E221" s="8"/>
      <c r="F221" s="8"/>
      <c r="G221" s="8"/>
      <c r="H221" s="14">
        <v>17</v>
      </c>
      <c r="I221" s="8"/>
      <c r="J221" s="8">
        <v>8</v>
      </c>
      <c r="K221" s="8"/>
      <c r="L221" s="16"/>
      <c r="M221" s="220"/>
      <c r="N221" s="221"/>
      <c r="O221" s="114"/>
      <c r="P221" s="114"/>
      <c r="Q221" s="114"/>
      <c r="S221">
        <f t="shared" si="96"/>
        <v>85</v>
      </c>
      <c r="T221" s="44">
        <f>E221+апр!I217</f>
        <v>0</v>
      </c>
      <c r="U221" s="30">
        <f>F221+апр!J217</f>
        <v>8</v>
      </c>
    </row>
    <row r="222" spans="1:22" ht="36" customHeight="1">
      <c r="A222" s="18" t="s">
        <v>213</v>
      </c>
      <c r="B222" s="9" t="s">
        <v>214</v>
      </c>
      <c r="C222" s="8" t="s">
        <v>16</v>
      </c>
      <c r="D222" s="14">
        <f>(D88+D148)/D219*1000</f>
        <v>86746.573122529648</v>
      </c>
      <c r="E222" s="8"/>
      <c r="F222" s="8"/>
      <c r="G222" s="8"/>
      <c r="H222" s="14">
        <f>(H88+H148)/H219*1000/7</f>
        <v>86746.573122529648</v>
      </c>
      <c r="I222" s="8"/>
      <c r="J222" s="14">
        <f>(J88+J148)/J219*1000/6</f>
        <v>133680.94670542635</v>
      </c>
      <c r="K222" s="8"/>
      <c r="L222" s="16"/>
      <c r="M222" s="220"/>
      <c r="N222" s="221"/>
      <c r="O222" s="114"/>
      <c r="P222" s="114"/>
      <c r="Q222" s="114"/>
      <c r="S222">
        <f t="shared" si="96"/>
        <v>433732.86561264825</v>
      </c>
      <c r="T222" s="44">
        <f>E222+апр!I218</f>
        <v>0</v>
      </c>
      <c r="U222" s="30">
        <f>F222+апр!J218</f>
        <v>113361.80523255812</v>
      </c>
    </row>
    <row r="223" spans="1:22" ht="17.25" customHeight="1">
      <c r="A223" s="18" t="s">
        <v>215</v>
      </c>
      <c r="B223" s="9" t="s">
        <v>210</v>
      </c>
      <c r="C223" s="8" t="s">
        <v>16</v>
      </c>
      <c r="D223" s="14">
        <f>D88/D220*1000</f>
        <v>84883.580508474581</v>
      </c>
      <c r="E223" s="8"/>
      <c r="F223" s="8"/>
      <c r="G223" s="8"/>
      <c r="H223" s="14">
        <f>H88/H220*1000/7</f>
        <v>84883.580508474566</v>
      </c>
      <c r="I223" s="8"/>
      <c r="J223" s="14">
        <f>J88/J220*1000/6</f>
        <v>130212.48882113821</v>
      </c>
      <c r="K223" s="8"/>
      <c r="L223" s="16"/>
      <c r="M223" s="220"/>
      <c r="N223" s="221"/>
      <c r="O223" s="114"/>
      <c r="P223" s="114"/>
      <c r="Q223" s="114"/>
      <c r="T223" s="44">
        <f>E223+апр!I219</f>
        <v>0</v>
      </c>
      <c r="U223" s="30">
        <f>F223+апр!J219</f>
        <v>110632.42835365853</v>
      </c>
    </row>
    <row r="224" spans="1:22" ht="17.25" customHeight="1">
      <c r="A224" s="18" t="s">
        <v>216</v>
      </c>
      <c r="B224" s="9" t="s">
        <v>212</v>
      </c>
      <c r="C224" s="8" t="s">
        <v>16</v>
      </c>
      <c r="D224" s="14">
        <f>D148/D221*1000</f>
        <v>112609.29411764705</v>
      </c>
      <c r="E224" s="8"/>
      <c r="F224" s="8"/>
      <c r="G224" s="8"/>
      <c r="H224" s="14">
        <f>H148/H221*1000/7</f>
        <v>112609.29411764703</v>
      </c>
      <c r="I224" s="8"/>
      <c r="J224" s="14">
        <f>J148/J221*1000/6</f>
        <v>204784.33333333337</v>
      </c>
      <c r="K224" s="8"/>
      <c r="L224" s="16"/>
      <c r="M224" s="220"/>
      <c r="N224" s="221"/>
      <c r="O224" s="114"/>
      <c r="P224" s="114"/>
      <c r="Q224" s="114"/>
      <c r="T224" s="44">
        <f>E224+апр!I220</f>
        <v>0</v>
      </c>
      <c r="U224" s="30">
        <f>F224+апр!J220</f>
        <v>169314.03125</v>
      </c>
    </row>
    <row r="225" spans="1:17" ht="18.75">
      <c r="A225" s="29"/>
      <c r="B225" s="29"/>
      <c r="C225" s="29"/>
      <c r="D225" s="29"/>
      <c r="E225" s="29"/>
      <c r="F225" s="29"/>
      <c r="G225" s="29"/>
      <c r="H225" s="29">
        <f>H224*I221*12/1000</f>
        <v>0</v>
      </c>
      <c r="I225" s="29">
        <f>H222*I220*12/1000</f>
        <v>0</v>
      </c>
      <c r="J225" s="29"/>
      <c r="K225" s="29"/>
      <c r="L225" s="29"/>
      <c r="M225" s="29"/>
      <c r="N225" s="29">
        <f>H225+I225</f>
        <v>0</v>
      </c>
      <c r="O225" s="29"/>
      <c r="P225" s="29"/>
      <c r="Q225" s="29"/>
    </row>
    <row r="226" spans="1:17" ht="18.75">
      <c r="A226" s="29"/>
      <c r="B226" s="29"/>
      <c r="C226" s="29"/>
      <c r="D226" s="29"/>
      <c r="E226" s="29"/>
      <c r="F226" s="29"/>
      <c r="G226" s="29"/>
      <c r="H226" s="29">
        <v>607.40800000000002</v>
      </c>
      <c r="I226" s="29">
        <v>9999.5409999999993</v>
      </c>
      <c r="J226" s="29"/>
      <c r="K226" s="29"/>
      <c r="L226" s="29"/>
      <c r="M226" s="29"/>
      <c r="N226" s="29"/>
      <c r="O226" s="29"/>
      <c r="P226" s="29"/>
      <c r="Q226" s="29"/>
    </row>
    <row r="227" spans="1:17" ht="18.75">
      <c r="A227" s="29"/>
      <c r="B227" s="29"/>
      <c r="C227" s="29"/>
      <c r="D227" s="29"/>
      <c r="E227" s="29"/>
      <c r="F227" s="29"/>
      <c r="G227" s="29"/>
      <c r="H227" s="29">
        <v>953.40200000000004</v>
      </c>
      <c r="I227" s="29">
        <v>10043.467000000001</v>
      </c>
      <c r="J227" s="29"/>
      <c r="K227" s="29"/>
      <c r="L227" s="29"/>
      <c r="M227" s="29"/>
      <c r="N227" s="29"/>
      <c r="O227" s="29"/>
      <c r="P227" s="29"/>
      <c r="Q227" s="29"/>
    </row>
    <row r="228" spans="1:17" ht="18.75">
      <c r="A228" s="29"/>
      <c r="B228" s="29"/>
      <c r="C228" s="29"/>
      <c r="D228" s="29"/>
      <c r="E228" s="29"/>
      <c r="F228" s="29"/>
      <c r="G228" s="29"/>
      <c r="H228" s="29"/>
      <c r="I228" s="29">
        <f>888.772+371.175+148.47</f>
        <v>1408.4170000000001</v>
      </c>
      <c r="J228" s="29"/>
      <c r="K228" s="29"/>
      <c r="L228" s="29"/>
      <c r="M228" s="29"/>
      <c r="N228" s="29"/>
      <c r="O228" s="29"/>
      <c r="P228" s="29"/>
      <c r="Q228" s="29"/>
    </row>
    <row r="229" spans="1:17" ht="18.75">
      <c r="A229" s="29"/>
      <c r="B229" s="29"/>
      <c r="C229" s="29"/>
      <c r="D229" s="29"/>
      <c r="E229" s="29"/>
      <c r="F229" s="29"/>
      <c r="G229" s="29"/>
      <c r="H229" s="29">
        <f>SUM(H225:H227)</f>
        <v>1560.81</v>
      </c>
      <c r="I229" s="29">
        <f>SUM(I225:I228)</f>
        <v>21451.425000000003</v>
      </c>
      <c r="J229" s="29"/>
      <c r="K229" s="29"/>
      <c r="L229" s="29"/>
      <c r="M229" s="29"/>
      <c r="N229" s="29">
        <f>SUM(H229:M229)</f>
        <v>23012.235000000004</v>
      </c>
      <c r="O229" s="29"/>
      <c r="P229" s="29"/>
      <c r="Q229" s="29"/>
    </row>
    <row r="230" spans="1:17" ht="72.75" customHeight="1">
      <c r="A230" s="29"/>
      <c r="B230" s="29" t="s">
        <v>295</v>
      </c>
      <c r="C230" s="29"/>
      <c r="D230" s="29"/>
      <c r="E230" s="29"/>
      <c r="F230" s="29"/>
      <c r="G230" s="29"/>
      <c r="H230" s="29"/>
      <c r="I230" s="29" t="s">
        <v>296</v>
      </c>
      <c r="J230" s="29"/>
      <c r="K230" s="29"/>
      <c r="L230" s="29"/>
      <c r="M230" s="29"/>
      <c r="N230" s="29"/>
      <c r="O230" s="29"/>
      <c r="P230" s="29"/>
      <c r="Q230" s="29"/>
    </row>
    <row r="231" spans="1:17" ht="9" customHeight="1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</row>
    <row r="232" spans="1:17" ht="52.5" hidden="1" customHeight="1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</row>
    <row r="233" spans="1:17" ht="15.75" hidden="1" customHeight="1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</row>
    <row r="234" spans="1:17" ht="27" hidden="1" customHeight="1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</row>
    <row r="235" spans="1:17" ht="30" customHeight="1">
      <c r="A235" s="29"/>
      <c r="B235" s="29" t="s">
        <v>233</v>
      </c>
      <c r="C235" s="29"/>
      <c r="D235" s="29"/>
      <c r="E235" s="29"/>
      <c r="F235" s="29"/>
      <c r="G235" s="29"/>
      <c r="H235" s="29"/>
      <c r="I235" s="29" t="s">
        <v>234</v>
      </c>
      <c r="J235" s="29"/>
      <c r="K235" s="29"/>
      <c r="L235" s="29"/>
      <c r="M235" s="29"/>
      <c r="N235" s="29"/>
      <c r="O235" s="29"/>
      <c r="P235" s="29"/>
      <c r="Q235" s="29"/>
    </row>
    <row r="236" spans="1:17" ht="28.5" customHeight="1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</row>
    <row r="237" spans="1:17" ht="4.5" hidden="1" customHeight="1">
      <c r="B237" s="3" t="s">
        <v>233</v>
      </c>
      <c r="C237" s="3"/>
      <c r="D237" s="3"/>
      <c r="E237" s="3"/>
      <c r="F237" s="3"/>
      <c r="G237" s="3"/>
      <c r="H237" t="s">
        <v>234</v>
      </c>
    </row>
    <row r="238" spans="1:17" ht="16.5" customHeight="1">
      <c r="B238" s="4"/>
      <c r="C238" s="2"/>
      <c r="D238" s="2"/>
      <c r="E238" s="2"/>
      <c r="F238" s="2"/>
      <c r="G238" s="2"/>
    </row>
    <row r="239" spans="1:17" ht="15.75">
      <c r="A239" s="2"/>
      <c r="B239" s="2"/>
      <c r="C239" s="2"/>
      <c r="D239" s="2"/>
      <c r="E239" s="2"/>
      <c r="F239" s="2"/>
      <c r="G239" s="2"/>
    </row>
    <row r="240" spans="1:17" ht="15.75">
      <c r="A240" s="2"/>
      <c r="B240" s="2"/>
      <c r="C240" s="2"/>
      <c r="D240" s="2"/>
      <c r="E240" s="2"/>
      <c r="F240" s="2"/>
      <c r="G240" s="2"/>
    </row>
    <row r="241" spans="1:7" ht="15.75">
      <c r="A241" s="2"/>
      <c r="B241" s="2"/>
      <c r="C241" s="2"/>
      <c r="D241" s="2"/>
      <c r="E241" s="2"/>
      <c r="F241" s="2"/>
      <c r="G241" s="2"/>
    </row>
    <row r="242" spans="1:7" ht="15.75">
      <c r="A242" s="4" t="s">
        <v>235</v>
      </c>
      <c r="B242" s="2"/>
      <c r="C242" s="2"/>
      <c r="D242" s="2"/>
      <c r="E242" s="2"/>
      <c r="F242" s="2"/>
      <c r="G242" s="2"/>
    </row>
    <row r="243" spans="1:7" ht="15.75">
      <c r="A243" s="2"/>
      <c r="B243" s="2"/>
      <c r="C243" s="2"/>
      <c r="D243" s="2"/>
      <c r="E243" s="2"/>
      <c r="F243" s="2"/>
      <c r="G243" s="2"/>
    </row>
  </sheetData>
  <mergeCells count="224">
    <mergeCell ref="M224:N224"/>
    <mergeCell ref="M218:N218"/>
    <mergeCell ref="M219:N219"/>
    <mergeCell ref="M220:N220"/>
    <mergeCell ref="M221:N221"/>
    <mergeCell ref="M222:N222"/>
    <mergeCell ref="M223:N223"/>
    <mergeCell ref="M214:N214"/>
    <mergeCell ref="A215:A216"/>
    <mergeCell ref="B215:B216"/>
    <mergeCell ref="M215:N215"/>
    <mergeCell ref="M216:N216"/>
    <mergeCell ref="M217:N217"/>
    <mergeCell ref="M206:N206"/>
    <mergeCell ref="M207:N207"/>
    <mergeCell ref="M209:N209"/>
    <mergeCell ref="M210:N210"/>
    <mergeCell ref="M211:N211"/>
    <mergeCell ref="A212:A213"/>
    <mergeCell ref="B212:B213"/>
    <mergeCell ref="M212:N212"/>
    <mergeCell ref="M213:N213"/>
    <mergeCell ref="M200:N200"/>
    <mergeCell ref="M201:N201"/>
    <mergeCell ref="M202:N202"/>
    <mergeCell ref="M203:N203"/>
    <mergeCell ref="M204:N204"/>
    <mergeCell ref="M205:N205"/>
    <mergeCell ref="M194:N194"/>
    <mergeCell ref="M195:N195"/>
    <mergeCell ref="M196:N196"/>
    <mergeCell ref="M197:N197"/>
    <mergeCell ref="M198:N198"/>
    <mergeCell ref="M199:N199"/>
    <mergeCell ref="M188:N188"/>
    <mergeCell ref="M189:N189"/>
    <mergeCell ref="M190:N190"/>
    <mergeCell ref="M191:N191"/>
    <mergeCell ref="M192:N192"/>
    <mergeCell ref="M193:N193"/>
    <mergeCell ref="M182:N182"/>
    <mergeCell ref="M183:N183"/>
    <mergeCell ref="M184:N184"/>
    <mergeCell ref="M185:N185"/>
    <mergeCell ref="M186:N186"/>
    <mergeCell ref="M187:N187"/>
    <mergeCell ref="M175:N175"/>
    <mergeCell ref="M176:N176"/>
    <mergeCell ref="M177:N177"/>
    <mergeCell ref="M178:N178"/>
    <mergeCell ref="M179:N179"/>
    <mergeCell ref="M180:N180"/>
    <mergeCell ref="M169:N169"/>
    <mergeCell ref="M170:N170"/>
    <mergeCell ref="M171:N171"/>
    <mergeCell ref="M172:N172"/>
    <mergeCell ref="M173:N173"/>
    <mergeCell ref="M174:N174"/>
    <mergeCell ref="M163:N163"/>
    <mergeCell ref="M164:N164"/>
    <mergeCell ref="M165:N165"/>
    <mergeCell ref="M166:N166"/>
    <mergeCell ref="M167:N167"/>
    <mergeCell ref="M168:N168"/>
    <mergeCell ref="M157:N157"/>
    <mergeCell ref="M158:N158"/>
    <mergeCell ref="M159:N159"/>
    <mergeCell ref="M160:N160"/>
    <mergeCell ref="M161:N161"/>
    <mergeCell ref="M162:N162"/>
    <mergeCell ref="M148:N148"/>
    <mergeCell ref="M149:N149"/>
    <mergeCell ref="M153:N153"/>
    <mergeCell ref="M154:N154"/>
    <mergeCell ref="M155:N155"/>
    <mergeCell ref="M156:N156"/>
    <mergeCell ref="M142:N142"/>
    <mergeCell ref="M143:N143"/>
    <mergeCell ref="M144:N144"/>
    <mergeCell ref="M145:N145"/>
    <mergeCell ref="M146:N146"/>
    <mergeCell ref="M147:N147"/>
    <mergeCell ref="M131:N131"/>
    <mergeCell ref="M132:N132"/>
    <mergeCell ref="M133:N133"/>
    <mergeCell ref="M134:N134"/>
    <mergeCell ref="M135:N135"/>
    <mergeCell ref="M141:N141"/>
    <mergeCell ref="M125:N125"/>
    <mergeCell ref="M126:N126"/>
    <mergeCell ref="M127:N127"/>
    <mergeCell ref="M128:N128"/>
    <mergeCell ref="M129:N129"/>
    <mergeCell ref="M130:N130"/>
    <mergeCell ref="M119:N119"/>
    <mergeCell ref="M120:N120"/>
    <mergeCell ref="M121:N121"/>
    <mergeCell ref="M122:N122"/>
    <mergeCell ref="M123:N123"/>
    <mergeCell ref="M124:N124"/>
    <mergeCell ref="M113:N113"/>
    <mergeCell ref="M114:N114"/>
    <mergeCell ref="M115:N115"/>
    <mergeCell ref="M116:N116"/>
    <mergeCell ref="M117:N117"/>
    <mergeCell ref="M118:N118"/>
    <mergeCell ref="M107:N107"/>
    <mergeCell ref="M108:N108"/>
    <mergeCell ref="M109:N109"/>
    <mergeCell ref="M110:N110"/>
    <mergeCell ref="M111:N111"/>
    <mergeCell ref="M112:N112"/>
    <mergeCell ref="M101:N101"/>
    <mergeCell ref="M102:N102"/>
    <mergeCell ref="M103:N103"/>
    <mergeCell ref="M104:N104"/>
    <mergeCell ref="M105:N105"/>
    <mergeCell ref="M106:N106"/>
    <mergeCell ref="M95:N95"/>
    <mergeCell ref="M96:N96"/>
    <mergeCell ref="M97:N97"/>
    <mergeCell ref="M98:N98"/>
    <mergeCell ref="M99:N99"/>
    <mergeCell ref="M100:N100"/>
    <mergeCell ref="M86:N86"/>
    <mergeCell ref="M87:N87"/>
    <mergeCell ref="M88:N88"/>
    <mergeCell ref="M89:N89"/>
    <mergeCell ref="M93:N93"/>
    <mergeCell ref="M94:N94"/>
    <mergeCell ref="M79:N79"/>
    <mergeCell ref="M80:N80"/>
    <mergeCell ref="M81:N81"/>
    <mergeCell ref="M82:N82"/>
    <mergeCell ref="M83:N83"/>
    <mergeCell ref="M84:N85"/>
    <mergeCell ref="M73:N73"/>
    <mergeCell ref="M74:N74"/>
    <mergeCell ref="M75:N75"/>
    <mergeCell ref="M76:N76"/>
    <mergeCell ref="M77:N77"/>
    <mergeCell ref="M78:N78"/>
    <mergeCell ref="M66:N66"/>
    <mergeCell ref="M67:N67"/>
    <mergeCell ref="M68:N68"/>
    <mergeCell ref="M69:N70"/>
    <mergeCell ref="M71:N71"/>
    <mergeCell ref="M72:N72"/>
    <mergeCell ref="M59:N59"/>
    <mergeCell ref="M60:N61"/>
    <mergeCell ref="M62:N62"/>
    <mergeCell ref="M63:N63"/>
    <mergeCell ref="M64:N64"/>
    <mergeCell ref="M65:N65"/>
    <mergeCell ref="M52:N52"/>
    <mergeCell ref="M53:N53"/>
    <mergeCell ref="M54:N54"/>
    <mergeCell ref="M55:N55"/>
    <mergeCell ref="M56:N56"/>
    <mergeCell ref="M57:N58"/>
    <mergeCell ref="M46:N46"/>
    <mergeCell ref="M47:N47"/>
    <mergeCell ref="M48:N48"/>
    <mergeCell ref="M49:N49"/>
    <mergeCell ref="M50:N50"/>
    <mergeCell ref="M51:N51"/>
    <mergeCell ref="M39:N39"/>
    <mergeCell ref="M40:N40"/>
    <mergeCell ref="M41:N41"/>
    <mergeCell ref="M42:N43"/>
    <mergeCell ref="M44:N44"/>
    <mergeCell ref="M45:N45"/>
    <mergeCell ref="M33:N33"/>
    <mergeCell ref="M34:N34"/>
    <mergeCell ref="M35:N35"/>
    <mergeCell ref="M36:N36"/>
    <mergeCell ref="M37:N37"/>
    <mergeCell ref="M38:N38"/>
    <mergeCell ref="M27:N27"/>
    <mergeCell ref="M28:N28"/>
    <mergeCell ref="M29:N29"/>
    <mergeCell ref="M30:N30"/>
    <mergeCell ref="M31:N31"/>
    <mergeCell ref="M32:N32"/>
    <mergeCell ref="M21:N21"/>
    <mergeCell ref="M22:N22"/>
    <mergeCell ref="M23:N23"/>
    <mergeCell ref="M24:N24"/>
    <mergeCell ref="M25:N25"/>
    <mergeCell ref="M26:N26"/>
    <mergeCell ref="M15:N15"/>
    <mergeCell ref="M16:N16"/>
    <mergeCell ref="M17:N17"/>
    <mergeCell ref="M18:N18"/>
    <mergeCell ref="M19:N19"/>
    <mergeCell ref="M20:N20"/>
    <mergeCell ref="M9:N9"/>
    <mergeCell ref="M10:N10"/>
    <mergeCell ref="M11:N11"/>
    <mergeCell ref="M12:N12"/>
    <mergeCell ref="M13:N13"/>
    <mergeCell ref="M14:N14"/>
    <mergeCell ref="O5:O6"/>
    <mergeCell ref="P5:P6"/>
    <mergeCell ref="M7:N7"/>
    <mergeCell ref="M8:N8"/>
    <mergeCell ref="E5:E6"/>
    <mergeCell ref="F5:F6"/>
    <mergeCell ref="G5:G6"/>
    <mergeCell ref="H5:H6"/>
    <mergeCell ref="I5:I6"/>
    <mergeCell ref="J5:J6"/>
    <mergeCell ref="A1:N1"/>
    <mergeCell ref="A2:N2"/>
    <mergeCell ref="A3:C3"/>
    <mergeCell ref="A4:A6"/>
    <mergeCell ref="B4:B6"/>
    <mergeCell ref="C4:C6"/>
    <mergeCell ref="D4:G4"/>
    <mergeCell ref="H4:L4"/>
    <mergeCell ref="M4:N6"/>
    <mergeCell ref="D5:D6"/>
    <mergeCell ref="K5:K6"/>
    <mergeCell ref="L5:L6"/>
  </mergeCells>
  <pageMargins left="0" right="0" top="0.94488188976377963" bottom="0.39370078740157483" header="0.31496062992125984" footer="0.31496062992125984"/>
  <pageSetup paperSize="9" scale="78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V245"/>
  <sheetViews>
    <sheetView workbookViewId="0">
      <pane xSplit="10" ySplit="15" topLeftCell="K200" activePane="bottomRight" state="frozen"/>
      <selection pane="topRight" activeCell="J1" sqref="J1"/>
      <selection pane="bottomLeft" activeCell="A16" sqref="A16"/>
      <selection pane="bottomRight" activeCell="H202" sqref="H202"/>
    </sheetView>
  </sheetViews>
  <sheetFormatPr defaultRowHeight="15"/>
  <cols>
    <col min="1" max="1" width="8.85546875" customWidth="1"/>
    <col min="2" max="2" width="38.42578125" customWidth="1"/>
    <col min="3" max="3" width="13.140625" customWidth="1"/>
    <col min="4" max="4" width="14.5703125" customWidth="1"/>
    <col min="5" max="5" width="13" customWidth="1"/>
    <col min="6" max="6" width="14.5703125" style="60" customWidth="1"/>
    <col min="7" max="8" width="15" customWidth="1"/>
    <col min="9" max="9" width="14.7109375" style="60" customWidth="1"/>
    <col min="10" max="10" width="18.140625" customWidth="1"/>
    <col min="11" max="11" width="16.140625" customWidth="1"/>
    <col min="12" max="12" width="13.85546875" customWidth="1"/>
    <col min="13" max="13" width="14.85546875" hidden="1" customWidth="1"/>
    <col min="14" max="14" width="2" hidden="1" customWidth="1"/>
    <col min="15" max="15" width="15" customWidth="1"/>
    <col min="16" max="17" width="11.140625" customWidth="1"/>
    <col min="18" max="18" width="13.42578125" customWidth="1"/>
    <col min="19" max="19" width="12.85546875" customWidth="1"/>
    <col min="20" max="20" width="13.28515625" customWidth="1"/>
    <col min="21" max="21" width="13.7109375" customWidth="1"/>
    <col min="22" max="22" width="11.85546875" customWidth="1"/>
  </cols>
  <sheetData>
    <row r="1" spans="1:22" ht="54" customHeight="1">
      <c r="A1" s="241" t="s">
        <v>226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151"/>
      <c r="P1" s="151"/>
      <c r="Q1" s="151"/>
    </row>
    <row r="2" spans="1:22" ht="42.75" customHeight="1">
      <c r="A2" s="242" t="s">
        <v>335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152"/>
      <c r="P2" s="152"/>
      <c r="Q2" s="152"/>
      <c r="T2" s="30"/>
    </row>
    <row r="3" spans="1:22" ht="1.5" customHeight="1">
      <c r="A3" s="243"/>
      <c r="B3" s="243"/>
      <c r="C3" s="243"/>
      <c r="D3" s="153"/>
      <c r="E3" s="153"/>
      <c r="F3" s="153"/>
      <c r="G3" s="153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22" ht="18.75">
      <c r="A4" s="244" t="s">
        <v>0</v>
      </c>
      <c r="B4" s="247" t="s">
        <v>1</v>
      </c>
      <c r="C4" s="244" t="s">
        <v>217</v>
      </c>
      <c r="D4" s="250" t="s">
        <v>304</v>
      </c>
      <c r="E4" s="251"/>
      <c r="F4" s="251"/>
      <c r="G4" s="252"/>
      <c r="H4" s="250" t="s">
        <v>227</v>
      </c>
      <c r="I4" s="251"/>
      <c r="J4" s="251"/>
      <c r="K4" s="251"/>
      <c r="L4" s="252"/>
      <c r="M4" s="253" t="s">
        <v>239</v>
      </c>
      <c r="N4" s="254"/>
      <c r="O4" s="121"/>
      <c r="P4" s="121"/>
      <c r="Q4" s="112"/>
    </row>
    <row r="5" spans="1:22" ht="15" customHeight="1">
      <c r="A5" s="245"/>
      <c r="B5" s="248"/>
      <c r="C5" s="245"/>
      <c r="D5" s="237" t="s">
        <v>305</v>
      </c>
      <c r="E5" s="237" t="s">
        <v>306</v>
      </c>
      <c r="F5" s="237" t="s">
        <v>229</v>
      </c>
      <c r="G5" s="237" t="s">
        <v>219</v>
      </c>
      <c r="H5" s="237" t="s">
        <v>305</v>
      </c>
      <c r="I5" s="237" t="s">
        <v>306</v>
      </c>
      <c r="J5" s="237" t="s">
        <v>229</v>
      </c>
      <c r="K5" s="237" t="s">
        <v>219</v>
      </c>
      <c r="L5" s="237" t="s">
        <v>236</v>
      </c>
      <c r="M5" s="255"/>
      <c r="N5" s="256"/>
      <c r="O5" s="237" t="s">
        <v>329</v>
      </c>
      <c r="P5" s="237" t="s">
        <v>330</v>
      </c>
      <c r="Q5" s="112"/>
      <c r="T5" s="30">
        <f>F78+F81+F84</f>
        <v>29618.649000000001</v>
      </c>
    </row>
    <row r="6" spans="1:22" ht="41.25" customHeight="1">
      <c r="A6" s="246"/>
      <c r="B6" s="249"/>
      <c r="C6" s="246"/>
      <c r="D6" s="238"/>
      <c r="E6" s="238"/>
      <c r="F6" s="238"/>
      <c r="G6" s="238"/>
      <c r="H6" s="238"/>
      <c r="I6" s="238"/>
      <c r="J6" s="238"/>
      <c r="K6" s="238"/>
      <c r="L6" s="238"/>
      <c r="M6" s="257"/>
      <c r="N6" s="258"/>
      <c r="O6" s="238"/>
      <c r="P6" s="238"/>
      <c r="Q6" s="112"/>
    </row>
    <row r="7" spans="1:22" ht="15.75" customHeight="1">
      <c r="A7" s="35">
        <v>1</v>
      </c>
      <c r="B7" s="35">
        <v>2</v>
      </c>
      <c r="C7" s="35">
        <v>3</v>
      </c>
      <c r="D7" s="35"/>
      <c r="E7" s="35"/>
      <c r="F7" s="35"/>
      <c r="G7" s="35"/>
      <c r="H7" s="35">
        <v>4</v>
      </c>
      <c r="I7" s="35">
        <v>5</v>
      </c>
      <c r="J7" s="35">
        <v>6</v>
      </c>
      <c r="K7" s="35"/>
      <c r="L7" s="35">
        <v>7</v>
      </c>
      <c r="M7" s="239">
        <v>8</v>
      </c>
      <c r="N7" s="240"/>
      <c r="O7" s="119"/>
      <c r="P7" s="120"/>
      <c r="Q7" s="113"/>
      <c r="R7" s="30">
        <f>J8-R8</f>
        <v>308203.77749999985</v>
      </c>
      <c r="S7">
        <v>272681.63099999999</v>
      </c>
      <c r="T7" s="30">
        <f>J8-S7</f>
        <v>308844.23249999987</v>
      </c>
    </row>
    <row r="8" spans="1:22" ht="39" customHeight="1">
      <c r="A8" s="157" t="s">
        <v>2</v>
      </c>
      <c r="B8" s="6" t="s">
        <v>3</v>
      </c>
      <c r="C8" s="157" t="s">
        <v>4</v>
      </c>
      <c r="D8" s="7">
        <f>D9+D87+D93+D95+D97</f>
        <v>73170.115000000005</v>
      </c>
      <c r="E8" s="21">
        <f>E9+E87+E93+E95+E97</f>
        <v>68097.582999999999</v>
      </c>
      <c r="F8" s="7">
        <f>F9+F87+F93+F95+F97</f>
        <v>73606.376999999993</v>
      </c>
      <c r="G8" s="7">
        <f>F8-E8</f>
        <v>5508.7939999999944</v>
      </c>
      <c r="H8" s="7">
        <f>H9+H87+H93+H95+H97</f>
        <v>585360.92000000004</v>
      </c>
      <c r="I8" s="21">
        <f>I9+I87+I93+I95+I97</f>
        <v>544779.33100000001</v>
      </c>
      <c r="J8" s="7">
        <f>J9+J87+J93+J95+J97</f>
        <v>581525.86349999986</v>
      </c>
      <c r="K8" s="71">
        <f>J8-I8</f>
        <v>36746.532499999856</v>
      </c>
      <c r="L8" s="21">
        <f>K8/I8*100</f>
        <v>6.7452141461658819</v>
      </c>
      <c r="M8" s="220"/>
      <c r="N8" s="221"/>
      <c r="O8" s="122">
        <f>J8-H8</f>
        <v>-3835.0565000001807</v>
      </c>
      <c r="P8" s="123">
        <f>O8/H8*100</f>
        <v>-0.65516100733205429</v>
      </c>
      <c r="Q8" s="118"/>
      <c r="R8">
        <f>640.455+272681.631</f>
        <v>273322.08600000001</v>
      </c>
      <c r="S8">
        <f>D8*5</f>
        <v>365850.57500000001</v>
      </c>
      <c r="T8" s="44">
        <f>E8+апр!I8</f>
        <v>340487.91499999998</v>
      </c>
      <c r="U8" s="30">
        <f>F8+апр!J8</f>
        <v>347417.82949999988</v>
      </c>
      <c r="V8" s="30">
        <f>J8-U8</f>
        <v>234108.03399999999</v>
      </c>
    </row>
    <row r="9" spans="1:22" ht="17.25" customHeight="1">
      <c r="A9" s="157" t="s">
        <v>5</v>
      </c>
      <c r="B9" s="6" t="s">
        <v>6</v>
      </c>
      <c r="C9" s="157" t="s">
        <v>4</v>
      </c>
      <c r="D9" s="7">
        <f>D10+D37+D72</f>
        <v>35732.106</v>
      </c>
      <c r="E9" s="21">
        <f>E10+E37+E72</f>
        <v>32135.084000000003</v>
      </c>
      <c r="F9" s="7">
        <f>F10+F37+F72</f>
        <v>38377.466</v>
      </c>
      <c r="G9" s="7">
        <f>F9-E9</f>
        <v>6242.3819999999978</v>
      </c>
      <c r="H9" s="7">
        <f>H10+H37+H72</f>
        <v>285856.848</v>
      </c>
      <c r="I9" s="21">
        <f>I10+I37+I72</f>
        <v>257080.67200000002</v>
      </c>
      <c r="J9" s="7">
        <f>J10+J37+J72</f>
        <v>298104.33299999998</v>
      </c>
      <c r="K9" s="21">
        <f>J9-I9</f>
        <v>41023.660999999964</v>
      </c>
      <c r="L9" s="21">
        <f>K9/I9*100</f>
        <v>15.957504965600823</v>
      </c>
      <c r="M9" s="220"/>
      <c r="N9" s="221"/>
      <c r="O9" s="122">
        <f t="shared" ref="O9:O72" si="0">J9-H9</f>
        <v>12247.484999999986</v>
      </c>
      <c r="P9" s="123">
        <f t="shared" ref="P9:P72" si="1">O9/H9*100</f>
        <v>4.2844819306200375</v>
      </c>
      <c r="Q9" s="114"/>
      <c r="S9">
        <f t="shared" ref="S9:S72" si="2">D9*5</f>
        <v>178660.53</v>
      </c>
      <c r="T9" s="44">
        <f>E9+апр!I9</f>
        <v>160675.42000000001</v>
      </c>
      <c r="U9" s="30">
        <f>F9+апр!J9</f>
        <v>177344.48800000001</v>
      </c>
    </row>
    <row r="10" spans="1:22" ht="17.25" customHeight="1">
      <c r="A10" s="8" t="s">
        <v>7</v>
      </c>
      <c r="B10" s="9" t="s">
        <v>8</v>
      </c>
      <c r="C10" s="8" t="s">
        <v>4</v>
      </c>
      <c r="D10" s="10">
        <f>D11+D30+D35</f>
        <v>7601.0440000000008</v>
      </c>
      <c r="E10" s="10">
        <f>E11+E30+E35</f>
        <v>5895.3339999999998</v>
      </c>
      <c r="F10" s="10">
        <f>F11+F30+F35</f>
        <v>6297.0779999999995</v>
      </c>
      <c r="G10" s="10">
        <f>F10-E10</f>
        <v>401.74399999999969</v>
      </c>
      <c r="H10" s="10">
        <f>H11+H30+H35</f>
        <v>60808.352000000014</v>
      </c>
      <c r="I10" s="10">
        <f>I11+I30+I35</f>
        <v>47162.671999999999</v>
      </c>
      <c r="J10" s="10">
        <f>J11+J30+J35</f>
        <v>56280.063000000002</v>
      </c>
      <c r="K10" s="10">
        <f>J10-I10</f>
        <v>9117.3910000000033</v>
      </c>
      <c r="L10" s="16">
        <f>K10/I10*100</f>
        <v>19.331794856746036</v>
      </c>
      <c r="M10" s="220"/>
      <c r="N10" s="221"/>
      <c r="O10" s="122">
        <f t="shared" si="0"/>
        <v>-4528.2890000000116</v>
      </c>
      <c r="P10" s="123">
        <f t="shared" si="1"/>
        <v>-7.4468207919859601</v>
      </c>
      <c r="Q10" s="114"/>
      <c r="S10">
        <f t="shared" si="2"/>
        <v>38005.22</v>
      </c>
      <c r="T10" s="44">
        <f>E10+апр!I10</f>
        <v>29476.67</v>
      </c>
      <c r="U10" s="30">
        <f>F10+апр!J10</f>
        <v>28999.79</v>
      </c>
    </row>
    <row r="11" spans="1:22" ht="17.25" customHeight="1">
      <c r="A11" s="8" t="s">
        <v>9</v>
      </c>
      <c r="B11" s="9" t="s">
        <v>10</v>
      </c>
      <c r="C11" s="8" t="s">
        <v>4</v>
      </c>
      <c r="D11" s="10">
        <f>D12+D15+D18+D21+D24+D27</f>
        <v>5032.2450000000008</v>
      </c>
      <c r="E11" s="8">
        <v>4970.0829999999996</v>
      </c>
      <c r="F11" s="10">
        <f>F12+F15+F18+F21+F24+F27</f>
        <v>6147.1209999999992</v>
      </c>
      <c r="G11" s="10">
        <f t="shared" ref="G11:G74" si="3">F11-E11</f>
        <v>1177.0379999999996</v>
      </c>
      <c r="H11" s="10">
        <f>H12+H15+H18+H21+H24+H27</f>
        <v>40257.960000000006</v>
      </c>
      <c r="I11" s="8">
        <f>E11+июль!I11</f>
        <v>39760.663999999997</v>
      </c>
      <c r="J11" s="10">
        <f>J12+J15+J18+J21+J24+J27</f>
        <v>36237.567999999999</v>
      </c>
      <c r="K11" s="10">
        <f t="shared" ref="K11:K74" si="4">J11-I11</f>
        <v>-3523.0959999999977</v>
      </c>
      <c r="L11" s="16">
        <f t="shared" ref="L11:L72" si="5">K11/I11*100</f>
        <v>-8.860757456163201</v>
      </c>
      <c r="M11" s="220"/>
      <c r="N11" s="221"/>
      <c r="O11" s="122">
        <f t="shared" si="0"/>
        <v>-4020.3920000000071</v>
      </c>
      <c r="P11" s="123">
        <f t="shared" si="1"/>
        <v>-9.9865765677148239</v>
      </c>
      <c r="Q11" s="114"/>
      <c r="S11">
        <f t="shared" si="2"/>
        <v>25161.225000000006</v>
      </c>
      <c r="T11" s="44">
        <f>E11+апр!I11</f>
        <v>24850.414999999997</v>
      </c>
      <c r="U11" s="30">
        <f>F11+апр!J11</f>
        <v>17893.536</v>
      </c>
    </row>
    <row r="12" spans="1:22" ht="18.75" customHeight="1">
      <c r="A12" s="8" t="s">
        <v>11</v>
      </c>
      <c r="B12" s="9" t="s">
        <v>12</v>
      </c>
      <c r="C12" s="8" t="s">
        <v>4</v>
      </c>
      <c r="D12" s="10">
        <v>852.13199999999995</v>
      </c>
      <c r="E12" s="8"/>
      <c r="F12" s="54">
        <v>2657.4549999999999</v>
      </c>
      <c r="G12" s="10">
        <f t="shared" si="3"/>
        <v>2657.4549999999999</v>
      </c>
      <c r="H12" s="10">
        <f>D12+июль!H12</f>
        <v>6817.0559999999987</v>
      </c>
      <c r="I12" s="8"/>
      <c r="J12" s="54">
        <f>F12+июль!J12</f>
        <v>9452.1360000000004</v>
      </c>
      <c r="K12" s="10">
        <f t="shared" si="4"/>
        <v>9452.1360000000004</v>
      </c>
      <c r="L12" s="16"/>
      <c r="M12" s="222" t="s">
        <v>297</v>
      </c>
      <c r="N12" s="223"/>
      <c r="O12" s="122">
        <f t="shared" si="0"/>
        <v>2635.0800000000017</v>
      </c>
      <c r="P12" s="123">
        <f t="shared" si="1"/>
        <v>38.654222585233306</v>
      </c>
      <c r="Q12" s="115"/>
      <c r="S12">
        <f t="shared" si="2"/>
        <v>4260.66</v>
      </c>
      <c r="T12" s="44">
        <f>E12+апр!I12</f>
        <v>0</v>
      </c>
      <c r="U12" s="30">
        <f>F12+апр!J12</f>
        <v>4977.0450000000001</v>
      </c>
    </row>
    <row r="13" spans="1:22" ht="17.25" customHeight="1">
      <c r="A13" s="8"/>
      <c r="B13" s="12" t="s">
        <v>13</v>
      </c>
      <c r="C13" s="13" t="s">
        <v>14</v>
      </c>
      <c r="D13" s="14">
        <v>3667</v>
      </c>
      <c r="E13" s="13"/>
      <c r="F13" s="8"/>
      <c r="G13" s="10">
        <f t="shared" si="3"/>
        <v>0</v>
      </c>
      <c r="H13" s="10">
        <f>D13+июль!H13</f>
        <v>29336</v>
      </c>
      <c r="I13" s="8"/>
      <c r="J13" s="54">
        <f>F13+июль!J13</f>
        <v>21952</v>
      </c>
      <c r="K13" s="10">
        <f t="shared" si="4"/>
        <v>21952</v>
      </c>
      <c r="L13" s="16"/>
      <c r="M13" s="220"/>
      <c r="N13" s="221"/>
      <c r="O13" s="122">
        <f t="shared" si="0"/>
        <v>-7384</v>
      </c>
      <c r="P13" s="123">
        <f t="shared" si="1"/>
        <v>-25.170439050995363</v>
      </c>
      <c r="Q13" s="114"/>
      <c r="S13">
        <f t="shared" si="2"/>
        <v>18335</v>
      </c>
      <c r="T13" s="44">
        <f>E13+апр!I13</f>
        <v>0</v>
      </c>
      <c r="U13" s="30">
        <f>F13+апр!J13</f>
        <v>7641</v>
      </c>
    </row>
    <row r="14" spans="1:22" ht="17.25" customHeight="1">
      <c r="A14" s="15"/>
      <c r="B14" s="12" t="s">
        <v>15</v>
      </c>
      <c r="C14" s="13" t="s">
        <v>16</v>
      </c>
      <c r="D14" s="16">
        <f>D12/D13*1000</f>
        <v>232.37851104445048</v>
      </c>
      <c r="E14" s="16"/>
      <c r="F14" s="16" t="e">
        <f t="shared" ref="F14" si="6">F12/F13*1000</f>
        <v>#DIV/0!</v>
      </c>
      <c r="G14" s="10" t="e">
        <f t="shared" si="3"/>
        <v>#DIV/0!</v>
      </c>
      <c r="H14" s="16">
        <f>H12/H13*1000</f>
        <v>232.37851104445045</v>
      </c>
      <c r="I14" s="16"/>
      <c r="J14" s="16">
        <f t="shared" ref="J14" si="7">J12/J13*1000</f>
        <v>430.58199708454816</v>
      </c>
      <c r="K14" s="10">
        <f t="shared" si="4"/>
        <v>430.58199708454816</v>
      </c>
      <c r="L14" s="16"/>
      <c r="M14" s="220"/>
      <c r="N14" s="221"/>
      <c r="O14" s="122">
        <f t="shared" si="0"/>
        <v>198.20348604009772</v>
      </c>
      <c r="P14" s="123">
        <f t="shared" si="1"/>
        <v>85.293379817802702</v>
      </c>
      <c r="Q14" s="114"/>
      <c r="S14">
        <f t="shared" si="2"/>
        <v>1161.8925552222524</v>
      </c>
      <c r="T14" s="44">
        <f>E14+апр!I14</f>
        <v>0</v>
      </c>
      <c r="U14" s="30" t="e">
        <f>F14+апр!J14</f>
        <v>#DIV/0!</v>
      </c>
    </row>
    <row r="15" spans="1:22" ht="17.25" customHeight="1">
      <c r="A15" s="8" t="s">
        <v>17</v>
      </c>
      <c r="B15" s="9" t="s">
        <v>18</v>
      </c>
      <c r="C15" s="8" t="s">
        <v>4</v>
      </c>
      <c r="D15" s="10">
        <v>2808.576</v>
      </c>
      <c r="E15" s="8"/>
      <c r="F15" s="54">
        <v>2573.7660000000001</v>
      </c>
      <c r="G15" s="10">
        <f t="shared" si="3"/>
        <v>2573.7660000000001</v>
      </c>
      <c r="H15" s="10">
        <f>D15+июль!H15</f>
        <v>22468.608000000004</v>
      </c>
      <c r="I15" s="8"/>
      <c r="J15" s="54">
        <f>F15+июль!J15</f>
        <v>16739.738000000001</v>
      </c>
      <c r="K15" s="10">
        <f t="shared" si="4"/>
        <v>16739.738000000001</v>
      </c>
      <c r="L15" s="16"/>
      <c r="M15" s="220"/>
      <c r="N15" s="221"/>
      <c r="O15" s="122">
        <f t="shared" si="0"/>
        <v>-5728.8700000000026</v>
      </c>
      <c r="P15" s="123">
        <f t="shared" si="1"/>
        <v>-25.497218163225781</v>
      </c>
      <c r="Q15" s="114"/>
      <c r="S15">
        <f t="shared" si="2"/>
        <v>14042.880000000001</v>
      </c>
      <c r="T15" s="44">
        <f>E15+апр!I15</f>
        <v>0</v>
      </c>
      <c r="U15" s="30">
        <f>F15+апр!J15</f>
        <v>7544.5709999999999</v>
      </c>
    </row>
    <row r="16" spans="1:22" ht="17.25" customHeight="1">
      <c r="A16" s="8"/>
      <c r="B16" s="12" t="s">
        <v>13</v>
      </c>
      <c r="C16" s="13" t="s">
        <v>14</v>
      </c>
      <c r="D16" s="14">
        <v>15000</v>
      </c>
      <c r="E16" s="13"/>
      <c r="F16" s="8"/>
      <c r="G16" s="10">
        <f t="shared" si="3"/>
        <v>0</v>
      </c>
      <c r="H16" s="10">
        <f>D16+июль!H16</f>
        <v>120000</v>
      </c>
      <c r="I16" s="8"/>
      <c r="J16" s="54">
        <f>F16+июль!J16</f>
        <v>110633</v>
      </c>
      <c r="K16" s="10">
        <f t="shared" si="4"/>
        <v>110633</v>
      </c>
      <c r="L16" s="16"/>
      <c r="M16" s="220"/>
      <c r="N16" s="221"/>
      <c r="O16" s="122">
        <f t="shared" si="0"/>
        <v>-9367</v>
      </c>
      <c r="P16" s="123">
        <f t="shared" si="1"/>
        <v>-7.8058333333333323</v>
      </c>
      <c r="Q16" s="114"/>
      <c r="S16">
        <f t="shared" si="2"/>
        <v>75000</v>
      </c>
      <c r="T16" s="44">
        <f>E16+апр!I16</f>
        <v>0</v>
      </c>
      <c r="U16" s="30">
        <f>F16+апр!J16</f>
        <v>39326</v>
      </c>
    </row>
    <row r="17" spans="1:21" ht="17.25" customHeight="1">
      <c r="A17" s="8"/>
      <c r="B17" s="12" t="s">
        <v>15</v>
      </c>
      <c r="C17" s="13" t="s">
        <v>16</v>
      </c>
      <c r="D17" s="16">
        <f>D15/D16*1000</f>
        <v>187.23840000000001</v>
      </c>
      <c r="E17" s="16"/>
      <c r="F17" s="16" t="e">
        <f t="shared" ref="F17" si="8">F15/F16*1000</f>
        <v>#DIV/0!</v>
      </c>
      <c r="G17" s="10" t="e">
        <f t="shared" si="3"/>
        <v>#DIV/0!</v>
      </c>
      <c r="H17" s="16">
        <f>H15/H16*1000</f>
        <v>187.23840000000001</v>
      </c>
      <c r="I17" s="8"/>
      <c r="J17" s="13"/>
      <c r="K17" s="10">
        <f t="shared" si="4"/>
        <v>0</v>
      </c>
      <c r="L17" s="16"/>
      <c r="M17" s="220"/>
      <c r="N17" s="221"/>
      <c r="O17" s="122">
        <f t="shared" si="0"/>
        <v>-187.23840000000001</v>
      </c>
      <c r="P17" s="123">
        <f t="shared" si="1"/>
        <v>-100</v>
      </c>
      <c r="Q17" s="114"/>
      <c r="S17">
        <f t="shared" si="2"/>
        <v>936.19200000000001</v>
      </c>
      <c r="T17" s="44">
        <f>E17+апр!I17</f>
        <v>0</v>
      </c>
      <c r="U17" s="30" t="e">
        <f>F17+апр!J17</f>
        <v>#DIV/0!</v>
      </c>
    </row>
    <row r="18" spans="1:21" ht="17.25" customHeight="1">
      <c r="A18" s="8" t="s">
        <v>19</v>
      </c>
      <c r="B18" s="9" t="s">
        <v>20</v>
      </c>
      <c r="C18" s="8" t="s">
        <v>4</v>
      </c>
      <c r="D18" s="10">
        <v>241.64599999999999</v>
      </c>
      <c r="E18" s="8"/>
      <c r="F18" s="54">
        <v>17.5</v>
      </c>
      <c r="G18" s="10">
        <f t="shared" si="3"/>
        <v>17.5</v>
      </c>
      <c r="H18" s="10">
        <f>D18+июль!H18</f>
        <v>1933.1679999999999</v>
      </c>
      <c r="I18" s="8"/>
      <c r="J18" s="54">
        <f>F18+июль!J18</f>
        <v>527.46</v>
      </c>
      <c r="K18" s="10">
        <f t="shared" si="4"/>
        <v>527.46</v>
      </c>
      <c r="L18" s="16"/>
      <c r="M18" s="220"/>
      <c r="N18" s="221"/>
      <c r="O18" s="122">
        <f t="shared" si="0"/>
        <v>-1405.7079999999999</v>
      </c>
      <c r="P18" s="123">
        <f t="shared" si="1"/>
        <v>-72.715252890592012</v>
      </c>
      <c r="Q18" s="114"/>
      <c r="S18">
        <f t="shared" si="2"/>
        <v>1208.23</v>
      </c>
      <c r="T18" s="44">
        <f>E18+апр!I18</f>
        <v>0</v>
      </c>
      <c r="U18" s="30">
        <f>F18+апр!J18</f>
        <v>163.46</v>
      </c>
    </row>
    <row r="19" spans="1:21" ht="17.25" customHeight="1">
      <c r="A19" s="8"/>
      <c r="B19" s="12" t="s">
        <v>13</v>
      </c>
      <c r="C19" s="13" t="s">
        <v>14</v>
      </c>
      <c r="D19" s="14">
        <v>1025</v>
      </c>
      <c r="E19" s="13"/>
      <c r="F19" s="8"/>
      <c r="G19" s="10">
        <f t="shared" si="3"/>
        <v>0</v>
      </c>
      <c r="H19" s="10">
        <f>D19+июль!H19</f>
        <v>8200</v>
      </c>
      <c r="I19" s="8"/>
      <c r="J19" s="54">
        <f>F19+июль!J19</f>
        <v>1330</v>
      </c>
      <c r="K19" s="10">
        <f t="shared" si="4"/>
        <v>1330</v>
      </c>
      <c r="L19" s="16"/>
      <c r="M19" s="220"/>
      <c r="N19" s="221"/>
      <c r="O19" s="122">
        <f t="shared" si="0"/>
        <v>-6870</v>
      </c>
      <c r="P19" s="123">
        <f t="shared" si="1"/>
        <v>-83.780487804878049</v>
      </c>
      <c r="Q19" s="114"/>
      <c r="S19">
        <f t="shared" si="2"/>
        <v>5125</v>
      </c>
      <c r="T19" s="44">
        <f>E19+апр!I19</f>
        <v>0</v>
      </c>
      <c r="U19" s="30">
        <f>F19+апр!J19</f>
        <v>290</v>
      </c>
    </row>
    <row r="20" spans="1:21" ht="17.25" customHeight="1">
      <c r="A20" s="8"/>
      <c r="B20" s="12" t="s">
        <v>15</v>
      </c>
      <c r="C20" s="13" t="s">
        <v>16</v>
      </c>
      <c r="D20" s="16">
        <f>D18/D19*1000</f>
        <v>235.75219512195119</v>
      </c>
      <c r="E20" s="16"/>
      <c r="F20" s="16" t="e">
        <f>F18/F19*1000</f>
        <v>#DIV/0!</v>
      </c>
      <c r="G20" s="10" t="e">
        <f t="shared" si="3"/>
        <v>#DIV/0!</v>
      </c>
      <c r="H20" s="16">
        <f>H18/H19*1000</f>
        <v>235.75219512195119</v>
      </c>
      <c r="I20" s="8"/>
      <c r="J20" s="58"/>
      <c r="K20" s="10">
        <f t="shared" si="4"/>
        <v>0</v>
      </c>
      <c r="L20" s="16"/>
      <c r="M20" s="220"/>
      <c r="N20" s="221"/>
      <c r="O20" s="122">
        <f t="shared" si="0"/>
        <v>-235.75219512195119</v>
      </c>
      <c r="P20" s="123">
        <f t="shared" si="1"/>
        <v>-100</v>
      </c>
      <c r="Q20" s="114"/>
      <c r="S20">
        <f t="shared" si="2"/>
        <v>1178.7609756097559</v>
      </c>
      <c r="T20" s="44">
        <f>E20+апр!I20</f>
        <v>0</v>
      </c>
      <c r="U20" s="30" t="e">
        <f>F20+апр!J20</f>
        <v>#DIV/0!</v>
      </c>
    </row>
    <row r="21" spans="1:21" ht="17.25" customHeight="1">
      <c r="A21" s="8" t="s">
        <v>21</v>
      </c>
      <c r="B21" s="9" t="s">
        <v>22</v>
      </c>
      <c r="C21" s="8" t="s">
        <v>4</v>
      </c>
      <c r="D21" s="10">
        <v>750.73</v>
      </c>
      <c r="E21" s="8"/>
      <c r="F21" s="54">
        <v>898.4</v>
      </c>
      <c r="G21" s="10">
        <f t="shared" si="3"/>
        <v>898.4</v>
      </c>
      <c r="H21" s="10">
        <f>D21+июль!H21</f>
        <v>6005.84</v>
      </c>
      <c r="I21" s="8"/>
      <c r="J21" s="54">
        <f>F21+июль!J21</f>
        <v>7666.8199999999988</v>
      </c>
      <c r="K21" s="10">
        <f t="shared" si="4"/>
        <v>7666.8199999999988</v>
      </c>
      <c r="L21" s="16"/>
      <c r="M21" s="220"/>
      <c r="N21" s="221"/>
      <c r="O21" s="122">
        <f t="shared" si="0"/>
        <v>1660.9799999999987</v>
      </c>
      <c r="P21" s="123">
        <f t="shared" si="1"/>
        <v>27.656081414090259</v>
      </c>
      <c r="Q21" s="114"/>
      <c r="S21">
        <f t="shared" si="2"/>
        <v>3753.65</v>
      </c>
      <c r="T21" s="44">
        <f>E21+апр!I21</f>
        <v>0</v>
      </c>
      <c r="U21" s="30">
        <f>F21+апр!J21</f>
        <v>4792.62</v>
      </c>
    </row>
    <row r="22" spans="1:21" ht="17.25" customHeight="1">
      <c r="A22" s="8"/>
      <c r="B22" s="12" t="s">
        <v>13</v>
      </c>
      <c r="C22" s="13" t="s">
        <v>14</v>
      </c>
      <c r="D22" s="14">
        <v>5883</v>
      </c>
      <c r="E22" s="13"/>
      <c r="F22" s="8"/>
      <c r="G22" s="10">
        <f t="shared" si="3"/>
        <v>0</v>
      </c>
      <c r="H22" s="10">
        <f>D22+июль!H22</f>
        <v>47064</v>
      </c>
      <c r="I22" s="8"/>
      <c r="J22" s="54">
        <f>F22+июль!J22</f>
        <v>40590</v>
      </c>
      <c r="K22" s="10">
        <f t="shared" si="4"/>
        <v>40590</v>
      </c>
      <c r="L22" s="16"/>
      <c r="M22" s="220"/>
      <c r="N22" s="221"/>
      <c r="O22" s="122">
        <f t="shared" si="0"/>
        <v>-6474</v>
      </c>
      <c r="P22" s="123">
        <f t="shared" si="1"/>
        <v>-13.755736868944416</v>
      </c>
      <c r="Q22" s="114"/>
      <c r="S22">
        <f t="shared" si="2"/>
        <v>29415</v>
      </c>
      <c r="T22" s="44">
        <f>E22+апр!I22</f>
        <v>0</v>
      </c>
      <c r="U22" s="30">
        <f>F22+апр!J22</f>
        <v>22790</v>
      </c>
    </row>
    <row r="23" spans="1:21" ht="17.25" customHeight="1">
      <c r="A23" s="8"/>
      <c r="B23" s="12" t="s">
        <v>15</v>
      </c>
      <c r="C23" s="13" t="s">
        <v>16</v>
      </c>
      <c r="D23" s="16">
        <f>D21/D22*1000</f>
        <v>127.61006289308177</v>
      </c>
      <c r="E23" s="16" t="e">
        <f t="shared" ref="E23:F23" si="9">E21/E22*1000</f>
        <v>#DIV/0!</v>
      </c>
      <c r="F23" s="16" t="e">
        <f t="shared" si="9"/>
        <v>#DIV/0!</v>
      </c>
      <c r="G23" s="10" t="e">
        <f t="shared" si="3"/>
        <v>#DIV/0!</v>
      </c>
      <c r="H23" s="16">
        <f>H21/H22*1000</f>
        <v>127.61006289308177</v>
      </c>
      <c r="I23" s="8"/>
      <c r="J23" s="13"/>
      <c r="K23" s="10">
        <f t="shared" si="4"/>
        <v>0</v>
      </c>
      <c r="L23" s="16"/>
      <c r="M23" s="220"/>
      <c r="N23" s="221"/>
      <c r="O23" s="122">
        <f t="shared" si="0"/>
        <v>-127.61006289308177</v>
      </c>
      <c r="P23" s="123">
        <f t="shared" si="1"/>
        <v>-100</v>
      </c>
      <c r="Q23" s="114"/>
      <c r="S23">
        <f t="shared" si="2"/>
        <v>638.05031446540886</v>
      </c>
      <c r="T23" s="44" t="e">
        <f>E23+апр!I23</f>
        <v>#DIV/0!</v>
      </c>
      <c r="U23" s="30" t="e">
        <f>F23+апр!J23</f>
        <v>#DIV/0!</v>
      </c>
    </row>
    <row r="24" spans="1:21" ht="17.25" customHeight="1">
      <c r="A24" s="8" t="s">
        <v>23</v>
      </c>
      <c r="B24" s="9" t="s">
        <v>24</v>
      </c>
      <c r="C24" s="8" t="s">
        <v>4</v>
      </c>
      <c r="D24" s="10">
        <v>165.005</v>
      </c>
      <c r="E24" s="8"/>
      <c r="F24" s="54"/>
      <c r="G24" s="10">
        <f t="shared" si="3"/>
        <v>0</v>
      </c>
      <c r="H24" s="10">
        <f>D24+июль!H24</f>
        <v>1320.04</v>
      </c>
      <c r="I24" s="8"/>
      <c r="J24" s="54">
        <f>F24+июль!J24</f>
        <v>483.41399999999999</v>
      </c>
      <c r="K24" s="10">
        <f t="shared" si="4"/>
        <v>483.41399999999999</v>
      </c>
      <c r="L24" s="16"/>
      <c r="M24" s="220"/>
      <c r="N24" s="221"/>
      <c r="O24" s="122">
        <f t="shared" si="0"/>
        <v>-836.62599999999998</v>
      </c>
      <c r="P24" s="123">
        <f t="shared" si="1"/>
        <v>-63.37883700493925</v>
      </c>
      <c r="Q24" s="114"/>
      <c r="S24">
        <f t="shared" si="2"/>
        <v>825.02499999999998</v>
      </c>
      <c r="T24" s="44">
        <f>E24+апр!I24</f>
        <v>0</v>
      </c>
      <c r="U24" s="30">
        <f>F24+апр!J24</f>
        <v>415.84</v>
      </c>
    </row>
    <row r="25" spans="1:21" ht="17.25" customHeight="1">
      <c r="A25" s="8"/>
      <c r="B25" s="12" t="s">
        <v>13</v>
      </c>
      <c r="C25" s="13" t="s">
        <v>14</v>
      </c>
      <c r="D25" s="14">
        <v>251</v>
      </c>
      <c r="E25" s="13"/>
      <c r="F25" s="8"/>
      <c r="G25" s="10">
        <f t="shared" si="3"/>
        <v>0</v>
      </c>
      <c r="H25" s="10">
        <f>D25+июль!H25</f>
        <v>2008</v>
      </c>
      <c r="I25" s="8"/>
      <c r="J25" s="54">
        <f>F25+июль!J25</f>
        <v>930</v>
      </c>
      <c r="K25" s="10">
        <f t="shared" si="4"/>
        <v>930</v>
      </c>
      <c r="L25" s="16"/>
      <c r="M25" s="220"/>
      <c r="N25" s="221"/>
      <c r="O25" s="122">
        <f t="shared" si="0"/>
        <v>-1078</v>
      </c>
      <c r="P25" s="123">
        <f t="shared" si="1"/>
        <v>-53.685258964143422</v>
      </c>
      <c r="Q25" s="114"/>
      <c r="S25">
        <f t="shared" si="2"/>
        <v>1255</v>
      </c>
      <c r="T25" s="44">
        <f>E25+апр!I25</f>
        <v>0</v>
      </c>
      <c r="U25" s="30">
        <f>F25+апр!J25</f>
        <v>800</v>
      </c>
    </row>
    <row r="26" spans="1:21" ht="17.25" customHeight="1">
      <c r="A26" s="8"/>
      <c r="B26" s="12" t="s">
        <v>15</v>
      </c>
      <c r="C26" s="13" t="s">
        <v>16</v>
      </c>
      <c r="D26" s="16">
        <f>D24/D25*1000</f>
        <v>657.39043824701196</v>
      </c>
      <c r="E26" s="16" t="e">
        <f t="shared" ref="E26:F26" si="10">E24/E25*1000</f>
        <v>#DIV/0!</v>
      </c>
      <c r="F26" s="16" t="e">
        <f t="shared" si="10"/>
        <v>#DIV/0!</v>
      </c>
      <c r="G26" s="10" t="e">
        <f t="shared" si="3"/>
        <v>#DIV/0!</v>
      </c>
      <c r="H26" s="16">
        <f>H24/H25*1000</f>
        <v>657.39043824701196</v>
      </c>
      <c r="I26" s="16"/>
      <c r="J26" s="16">
        <f t="shared" ref="J26" si="11">J24/J25*1000</f>
        <v>519.80000000000007</v>
      </c>
      <c r="K26" s="16"/>
      <c r="L26" s="16"/>
      <c r="M26" s="220"/>
      <c r="N26" s="221"/>
      <c r="O26" s="122">
        <f t="shared" si="0"/>
        <v>-137.59043824701189</v>
      </c>
      <c r="P26" s="123">
        <f t="shared" si="1"/>
        <v>-20.929790006363433</v>
      </c>
      <c r="Q26" s="114"/>
      <c r="S26">
        <f t="shared" si="2"/>
        <v>3286.9521912350597</v>
      </c>
      <c r="T26" s="44" t="e">
        <f>E26+апр!I26</f>
        <v>#DIV/0!</v>
      </c>
      <c r="U26" s="30" t="e">
        <f>F26+апр!J26</f>
        <v>#DIV/0!</v>
      </c>
    </row>
    <row r="27" spans="1:21" ht="17.25" customHeight="1">
      <c r="A27" s="8" t="s">
        <v>23</v>
      </c>
      <c r="B27" s="9" t="s">
        <v>25</v>
      </c>
      <c r="C27" s="8" t="s">
        <v>4</v>
      </c>
      <c r="D27" s="10">
        <v>214.15600000000001</v>
      </c>
      <c r="E27" s="8"/>
      <c r="F27" s="54"/>
      <c r="G27" s="10">
        <f t="shared" si="3"/>
        <v>0</v>
      </c>
      <c r="H27" s="10">
        <f>D27+июль!H27</f>
        <v>1713.2479999999998</v>
      </c>
      <c r="I27" s="8"/>
      <c r="J27" s="54">
        <f>F27+июль!J27</f>
        <v>1368</v>
      </c>
      <c r="K27" s="10">
        <f t="shared" si="4"/>
        <v>1368</v>
      </c>
      <c r="L27" s="16"/>
      <c r="M27" s="220"/>
      <c r="N27" s="221"/>
      <c r="O27" s="122">
        <f t="shared" si="0"/>
        <v>-345.24799999999982</v>
      </c>
      <c r="P27" s="123">
        <f t="shared" si="1"/>
        <v>-20.151665141298857</v>
      </c>
      <c r="Q27" s="114"/>
      <c r="S27">
        <f t="shared" si="2"/>
        <v>1070.78</v>
      </c>
      <c r="T27" s="44">
        <f>E27+апр!I27</f>
        <v>0</v>
      </c>
      <c r="U27" s="30">
        <f>F27+апр!J27</f>
        <v>0</v>
      </c>
    </row>
    <row r="28" spans="1:21" ht="17.25" customHeight="1">
      <c r="A28" s="8"/>
      <c r="B28" s="12" t="s">
        <v>13</v>
      </c>
      <c r="C28" s="13" t="s">
        <v>14</v>
      </c>
      <c r="D28" s="14">
        <v>238</v>
      </c>
      <c r="E28" s="13"/>
      <c r="F28" s="8"/>
      <c r="G28" s="10">
        <f t="shared" si="3"/>
        <v>0</v>
      </c>
      <c r="H28" s="10">
        <f>D28+июль!H28</f>
        <v>1904</v>
      </c>
      <c r="I28" s="8"/>
      <c r="J28" s="54">
        <f>F28+июль!J28</f>
        <v>1710</v>
      </c>
      <c r="K28" s="10">
        <f t="shared" si="4"/>
        <v>1710</v>
      </c>
      <c r="L28" s="16"/>
      <c r="M28" s="220"/>
      <c r="N28" s="221"/>
      <c r="O28" s="122">
        <f t="shared" si="0"/>
        <v>-194</v>
      </c>
      <c r="P28" s="123">
        <f t="shared" si="1"/>
        <v>-10.1890756302521</v>
      </c>
      <c r="Q28" s="114"/>
      <c r="S28">
        <f t="shared" si="2"/>
        <v>1190</v>
      </c>
      <c r="T28" s="44">
        <f>E28+апр!I28</f>
        <v>0</v>
      </c>
      <c r="U28" s="30">
        <f>F28+апр!J28</f>
        <v>0</v>
      </c>
    </row>
    <row r="29" spans="1:21" ht="17.25" customHeight="1">
      <c r="A29" s="8"/>
      <c r="B29" s="12" t="s">
        <v>15</v>
      </c>
      <c r="C29" s="13" t="s">
        <v>16</v>
      </c>
      <c r="D29" s="16">
        <f>D27/D28*1000</f>
        <v>899.81512605042019</v>
      </c>
      <c r="E29" s="13"/>
      <c r="F29" s="16" t="e">
        <f t="shared" ref="F29" si="12">F27/F28*1000</f>
        <v>#DIV/0!</v>
      </c>
      <c r="G29" s="10" t="e">
        <f t="shared" si="3"/>
        <v>#DIV/0!</v>
      </c>
      <c r="H29" s="16">
        <f>H27/H28*1000</f>
        <v>899.81512605042008</v>
      </c>
      <c r="I29" s="16"/>
      <c r="J29" s="16">
        <f t="shared" ref="J29" si="13">J27/J28*1000</f>
        <v>800</v>
      </c>
      <c r="K29" s="10">
        <f t="shared" si="4"/>
        <v>800</v>
      </c>
      <c r="L29" s="16"/>
      <c r="M29" s="220"/>
      <c r="N29" s="221"/>
      <c r="O29" s="122">
        <f t="shared" si="0"/>
        <v>-99.815126050420076</v>
      </c>
      <c r="P29" s="123">
        <f t="shared" si="1"/>
        <v>-11.09284820411288</v>
      </c>
      <c r="Q29" s="114"/>
      <c r="S29">
        <f t="shared" si="2"/>
        <v>4499.0756302521013</v>
      </c>
      <c r="T29" s="44">
        <f>E29+апр!I29</f>
        <v>0</v>
      </c>
      <c r="U29" s="30" t="e">
        <f>F29+апр!J29</f>
        <v>#DIV/0!</v>
      </c>
    </row>
    <row r="30" spans="1:21" ht="17.25" customHeight="1">
      <c r="A30" s="18" t="s">
        <v>26</v>
      </c>
      <c r="B30" s="9" t="s">
        <v>27</v>
      </c>
      <c r="C30" s="8" t="s">
        <v>4</v>
      </c>
      <c r="D30" s="10">
        <f t="shared" ref="D30" si="14">D31+D32+D33+D34</f>
        <v>2406.0839999999998</v>
      </c>
      <c r="E30" s="8">
        <v>762.50099999999998</v>
      </c>
      <c r="F30" s="10">
        <f>F31+F32+F33+F34</f>
        <v>135.81</v>
      </c>
      <c r="G30" s="10">
        <f t="shared" si="3"/>
        <v>-626.69100000000003</v>
      </c>
      <c r="H30" s="10">
        <f t="shared" ref="H30" si="15">H31+H32+H33+H34</f>
        <v>19248.672000000002</v>
      </c>
      <c r="I30" s="8">
        <f>E30+июль!I30</f>
        <v>6100.0080000000007</v>
      </c>
      <c r="J30" s="10">
        <f t="shared" ref="J30" si="16">J31+J32+J33+J34</f>
        <v>17469.294000000002</v>
      </c>
      <c r="K30" s="10">
        <f t="shared" si="4"/>
        <v>11369.286</v>
      </c>
      <c r="L30" s="16">
        <f t="shared" si="5"/>
        <v>186.38149327017274</v>
      </c>
      <c r="M30" s="220"/>
      <c r="N30" s="221"/>
      <c r="O30" s="122">
        <f t="shared" si="0"/>
        <v>-1779.3780000000006</v>
      </c>
      <c r="P30" s="123">
        <f t="shared" si="1"/>
        <v>-9.2441598048945952</v>
      </c>
      <c r="Q30" s="114"/>
      <c r="S30">
        <f t="shared" si="2"/>
        <v>12030.419999999998</v>
      </c>
      <c r="T30" s="44">
        <f>E30+апр!I30</f>
        <v>3812.5050000000001</v>
      </c>
      <c r="U30" s="30">
        <f>F30+апр!J30</f>
        <v>9308.5589999999993</v>
      </c>
    </row>
    <row r="31" spans="1:21" ht="35.25" customHeight="1">
      <c r="A31" s="18" t="s">
        <v>28</v>
      </c>
      <c r="B31" s="9" t="s">
        <v>29</v>
      </c>
      <c r="C31" s="8" t="s">
        <v>4</v>
      </c>
      <c r="D31" s="10">
        <v>2288.5219999999999</v>
      </c>
      <c r="E31" s="8"/>
      <c r="F31" s="55">
        <v>101.81699999999999</v>
      </c>
      <c r="G31" s="10">
        <f t="shared" si="3"/>
        <v>101.81699999999999</v>
      </c>
      <c r="H31" s="10">
        <f>D31+июль!H31</f>
        <v>18308.176000000003</v>
      </c>
      <c r="I31" s="8"/>
      <c r="J31" s="54">
        <f>F31+июль!J31</f>
        <v>16410.650000000001</v>
      </c>
      <c r="K31" s="10">
        <f t="shared" si="4"/>
        <v>16410.650000000001</v>
      </c>
      <c r="L31" s="16"/>
      <c r="M31" s="220"/>
      <c r="N31" s="221"/>
      <c r="O31" s="122">
        <f t="shared" si="0"/>
        <v>-1897.5260000000017</v>
      </c>
      <c r="P31" s="123">
        <f t="shared" si="1"/>
        <v>-10.364363986887614</v>
      </c>
      <c r="Q31" s="114"/>
      <c r="S31">
        <f t="shared" si="2"/>
        <v>11442.61</v>
      </c>
      <c r="T31" s="44">
        <f>E31+апр!I31</f>
        <v>0</v>
      </c>
      <c r="U31" s="30">
        <f>F31+апр!J31</f>
        <v>8875.2519999999986</v>
      </c>
    </row>
    <row r="32" spans="1:21" ht="51.75" customHeight="1">
      <c r="A32" s="18" t="s">
        <v>30</v>
      </c>
      <c r="B32" s="9" t="s">
        <v>31</v>
      </c>
      <c r="C32" s="8" t="s">
        <v>4</v>
      </c>
      <c r="D32" s="10">
        <v>60.337000000000003</v>
      </c>
      <c r="E32" s="8"/>
      <c r="F32" s="54">
        <v>4.1669999999999998</v>
      </c>
      <c r="G32" s="10">
        <f t="shared" si="3"/>
        <v>4.1669999999999998</v>
      </c>
      <c r="H32" s="10">
        <f>D32+июль!H32</f>
        <v>482.69599999999997</v>
      </c>
      <c r="I32" s="8"/>
      <c r="J32" s="54">
        <f>F32+июль!J32</f>
        <v>779.06399999999996</v>
      </c>
      <c r="K32" s="10">
        <f t="shared" si="4"/>
        <v>779.06399999999996</v>
      </c>
      <c r="L32" s="16"/>
      <c r="M32" s="222" t="s">
        <v>285</v>
      </c>
      <c r="N32" s="223"/>
      <c r="O32" s="122">
        <f t="shared" si="0"/>
        <v>296.36799999999999</v>
      </c>
      <c r="P32" s="123">
        <f t="shared" si="1"/>
        <v>61.398478545502769</v>
      </c>
      <c r="Q32" s="115"/>
      <c r="S32">
        <f t="shared" si="2"/>
        <v>301.685</v>
      </c>
      <c r="T32" s="44">
        <f>E32+апр!I32</f>
        <v>0</v>
      </c>
      <c r="U32" s="30">
        <f>F32+апр!J32</f>
        <v>272.19699999999995</v>
      </c>
    </row>
    <row r="33" spans="1:21" ht="17.25" customHeight="1">
      <c r="A33" s="18" t="s">
        <v>32</v>
      </c>
      <c r="B33" s="9" t="s">
        <v>33</v>
      </c>
      <c r="C33" s="8" t="s">
        <v>4</v>
      </c>
      <c r="D33" s="10">
        <v>19.736999999999998</v>
      </c>
      <c r="E33" s="8"/>
      <c r="F33" s="55">
        <v>26.228999999999999</v>
      </c>
      <c r="G33" s="10">
        <f t="shared" si="3"/>
        <v>26.228999999999999</v>
      </c>
      <c r="H33" s="10">
        <f>D33+июль!H33</f>
        <v>157.89599999999999</v>
      </c>
      <c r="I33" s="8"/>
      <c r="J33" s="54">
        <f>F33+июль!J33</f>
        <v>188.11500000000001</v>
      </c>
      <c r="K33" s="10">
        <f t="shared" si="4"/>
        <v>188.11500000000001</v>
      </c>
      <c r="L33" s="16"/>
      <c r="M33" s="220"/>
      <c r="N33" s="221"/>
      <c r="O33" s="122">
        <f t="shared" si="0"/>
        <v>30.219000000000023</v>
      </c>
      <c r="P33" s="123">
        <f t="shared" si="1"/>
        <v>19.138546891624884</v>
      </c>
      <c r="Q33" s="114"/>
      <c r="S33">
        <f t="shared" si="2"/>
        <v>98.684999999999988</v>
      </c>
      <c r="T33" s="44">
        <f>E33+апр!I33</f>
        <v>0</v>
      </c>
      <c r="U33" s="30">
        <f>F33+апр!J33</f>
        <v>75.754999999999995</v>
      </c>
    </row>
    <row r="34" spans="1:21" ht="33" customHeight="1">
      <c r="A34" s="18" t="s">
        <v>34</v>
      </c>
      <c r="B34" s="9" t="s">
        <v>35</v>
      </c>
      <c r="C34" s="8" t="s">
        <v>4</v>
      </c>
      <c r="D34" s="10">
        <v>37.488</v>
      </c>
      <c r="E34" s="8"/>
      <c r="F34" s="55">
        <v>3.597</v>
      </c>
      <c r="G34" s="10">
        <f t="shared" si="3"/>
        <v>3.597</v>
      </c>
      <c r="H34" s="10">
        <f>D34+июль!H34</f>
        <v>299.904</v>
      </c>
      <c r="I34" s="8"/>
      <c r="J34" s="54">
        <f>F34+июль!J34</f>
        <v>91.465000000000018</v>
      </c>
      <c r="K34" s="10">
        <f t="shared" si="4"/>
        <v>91.465000000000018</v>
      </c>
      <c r="L34" s="16"/>
      <c r="M34" s="220"/>
      <c r="N34" s="221"/>
      <c r="O34" s="122">
        <f t="shared" si="0"/>
        <v>-208.43899999999996</v>
      </c>
      <c r="P34" s="123">
        <f t="shared" si="1"/>
        <v>-69.501907276995283</v>
      </c>
      <c r="Q34" s="114"/>
      <c r="S34">
        <f t="shared" si="2"/>
        <v>187.44</v>
      </c>
      <c r="T34" s="44">
        <f>E34+апр!I34</f>
        <v>0</v>
      </c>
      <c r="U34" s="30">
        <f>F34+апр!J34</f>
        <v>85.355000000000004</v>
      </c>
    </row>
    <row r="35" spans="1:21" ht="17.25" customHeight="1">
      <c r="A35" s="18" t="s">
        <v>36</v>
      </c>
      <c r="B35" s="9" t="s">
        <v>37</v>
      </c>
      <c r="C35" s="8" t="s">
        <v>4</v>
      </c>
      <c r="D35" s="10">
        <f t="shared" ref="D35:J35" si="17">D36</f>
        <v>162.715</v>
      </c>
      <c r="E35" s="10">
        <f t="shared" si="17"/>
        <v>162.75</v>
      </c>
      <c r="F35" s="10">
        <f t="shared" si="17"/>
        <v>14.147</v>
      </c>
      <c r="G35" s="10">
        <f t="shared" si="3"/>
        <v>-148.60300000000001</v>
      </c>
      <c r="H35" s="10">
        <f t="shared" si="17"/>
        <v>1301.72</v>
      </c>
      <c r="I35" s="10">
        <f t="shared" si="17"/>
        <v>1302</v>
      </c>
      <c r="J35" s="10">
        <f t="shared" si="17"/>
        <v>2573.201</v>
      </c>
      <c r="K35" s="10">
        <f t="shared" si="4"/>
        <v>1271.201</v>
      </c>
      <c r="L35" s="16">
        <f t="shared" si="5"/>
        <v>97.634485407066052</v>
      </c>
      <c r="M35" s="220"/>
      <c r="N35" s="221"/>
      <c r="O35" s="122">
        <f t="shared" si="0"/>
        <v>1271.481</v>
      </c>
      <c r="P35" s="123">
        <f t="shared" si="1"/>
        <v>97.676996589128223</v>
      </c>
      <c r="Q35" s="114"/>
      <c r="S35">
        <f t="shared" si="2"/>
        <v>813.57500000000005</v>
      </c>
      <c r="T35" s="44">
        <f>E35+апр!I35</f>
        <v>813.75</v>
      </c>
      <c r="U35" s="30">
        <f>F35+апр!J35</f>
        <v>1797.6949999999999</v>
      </c>
    </row>
    <row r="36" spans="1:21" ht="17.25" customHeight="1">
      <c r="A36" s="8" t="s">
        <v>38</v>
      </c>
      <c r="B36" s="9" t="s">
        <v>39</v>
      </c>
      <c r="C36" s="8" t="s">
        <v>4</v>
      </c>
      <c r="D36" s="10">
        <v>162.715</v>
      </c>
      <c r="E36" s="8">
        <v>162.75</v>
      </c>
      <c r="F36" s="54">
        <v>14.147</v>
      </c>
      <c r="G36" s="10">
        <f t="shared" si="3"/>
        <v>-148.60300000000001</v>
      </c>
      <c r="H36" s="10">
        <f>D36+июль!H36</f>
        <v>1301.72</v>
      </c>
      <c r="I36" s="8">
        <f>E36+июль!I36</f>
        <v>1302</v>
      </c>
      <c r="J36" s="54">
        <f>F36+июль!J36</f>
        <v>2573.201</v>
      </c>
      <c r="K36" s="10">
        <f t="shared" si="4"/>
        <v>1271.201</v>
      </c>
      <c r="L36" s="16">
        <f t="shared" si="5"/>
        <v>97.634485407066052</v>
      </c>
      <c r="M36" s="220"/>
      <c r="N36" s="221"/>
      <c r="O36" s="122">
        <f t="shared" si="0"/>
        <v>1271.481</v>
      </c>
      <c r="P36" s="123">
        <f t="shared" si="1"/>
        <v>97.676996589128223</v>
      </c>
      <c r="Q36" s="114"/>
      <c r="S36">
        <f t="shared" si="2"/>
        <v>813.57500000000005</v>
      </c>
      <c r="T36" s="44">
        <f>E36+апр!I36</f>
        <v>813.75</v>
      </c>
      <c r="U36" s="30">
        <f>F36+апр!J36</f>
        <v>1797.6949999999999</v>
      </c>
    </row>
    <row r="37" spans="1:21" ht="17.25" customHeight="1">
      <c r="A37" s="18" t="s">
        <v>40</v>
      </c>
      <c r="B37" s="9" t="s">
        <v>41</v>
      </c>
      <c r="C37" s="8" t="s">
        <v>4</v>
      </c>
      <c r="D37" s="10">
        <f>D38+D41+D48+D51</f>
        <v>1613.3909999999998</v>
      </c>
      <c r="E37" s="8">
        <v>1933.0830000000001</v>
      </c>
      <c r="F37" s="10">
        <f>F38+F41+F48+F51</f>
        <v>1053.3230000000001</v>
      </c>
      <c r="G37" s="10">
        <f t="shared" si="3"/>
        <v>-879.76</v>
      </c>
      <c r="H37" s="10">
        <f>H38+H41+H48+H51</f>
        <v>12907.127999999999</v>
      </c>
      <c r="I37" s="8">
        <f>E37+июль!I37</f>
        <v>15464.664000000002</v>
      </c>
      <c r="J37" s="10">
        <f>J38+J41+J48+J51</f>
        <v>15321.639000000001</v>
      </c>
      <c r="K37" s="10">
        <f t="shared" si="4"/>
        <v>-143.02500000000146</v>
      </c>
      <c r="L37" s="16">
        <f t="shared" si="5"/>
        <v>-0.92485035562364271</v>
      </c>
      <c r="M37" s="220"/>
      <c r="N37" s="221"/>
      <c r="O37" s="122">
        <f t="shared" si="0"/>
        <v>2414.5110000000022</v>
      </c>
      <c r="P37" s="123">
        <f t="shared" si="1"/>
        <v>18.706802938655311</v>
      </c>
      <c r="Q37" s="114"/>
      <c r="S37">
        <f t="shared" si="2"/>
        <v>8066.954999999999</v>
      </c>
      <c r="T37" s="44">
        <f>E37+апр!I37</f>
        <v>9665.4150000000009</v>
      </c>
      <c r="U37" s="30">
        <f>F37+апр!J37</f>
        <v>11105.055</v>
      </c>
    </row>
    <row r="38" spans="1:21" ht="17.25" customHeight="1">
      <c r="A38" s="18" t="s">
        <v>42</v>
      </c>
      <c r="B38" s="9" t="s">
        <v>43</v>
      </c>
      <c r="C38" s="8" t="s">
        <v>4</v>
      </c>
      <c r="D38" s="10">
        <v>707.32500000000005</v>
      </c>
      <c r="E38" s="8">
        <v>707.33299999999997</v>
      </c>
      <c r="F38" s="8"/>
      <c r="G38" s="10">
        <f t="shared" si="3"/>
        <v>-707.33299999999997</v>
      </c>
      <c r="H38" s="10">
        <f>D38+июль!H38</f>
        <v>5658.5999999999995</v>
      </c>
      <c r="I38" s="8">
        <f>E38+июль!I38</f>
        <v>5658.6639999999989</v>
      </c>
      <c r="J38" s="54">
        <f>F38+июль!J38</f>
        <v>5653.2079999999996</v>
      </c>
      <c r="K38" s="10">
        <f t="shared" si="4"/>
        <v>-5.4559999999992215</v>
      </c>
      <c r="L38" s="16">
        <f t="shared" si="5"/>
        <v>-9.6418518576102466E-2</v>
      </c>
      <c r="M38" s="220"/>
      <c r="N38" s="221"/>
      <c r="O38" s="122">
        <f t="shared" si="0"/>
        <v>-5.3919999999998254</v>
      </c>
      <c r="P38" s="123">
        <f t="shared" si="1"/>
        <v>-9.5288587283070478E-2</v>
      </c>
      <c r="Q38" s="114"/>
      <c r="S38">
        <f t="shared" si="2"/>
        <v>3536.625</v>
      </c>
      <c r="T38" s="44">
        <f>E38+апр!I38</f>
        <v>3536.665</v>
      </c>
      <c r="U38" s="30">
        <f>F38+апр!J38</f>
        <v>5547.366</v>
      </c>
    </row>
    <row r="39" spans="1:21" ht="17.25" customHeight="1">
      <c r="A39" s="8"/>
      <c r="B39" s="12" t="s">
        <v>13</v>
      </c>
      <c r="C39" s="13" t="s">
        <v>44</v>
      </c>
      <c r="D39" s="14">
        <v>87</v>
      </c>
      <c r="E39" s="13"/>
      <c r="F39" s="8"/>
      <c r="G39" s="10">
        <f t="shared" si="3"/>
        <v>0</v>
      </c>
      <c r="H39" s="10">
        <f>D39+июль!H39</f>
        <v>696</v>
      </c>
      <c r="I39" s="8"/>
      <c r="J39" s="54">
        <f>F39+июль!J39</f>
        <v>908</v>
      </c>
      <c r="K39" s="10">
        <f t="shared" si="4"/>
        <v>908</v>
      </c>
      <c r="L39" s="16"/>
      <c r="M39" s="220"/>
      <c r="N39" s="221"/>
      <c r="O39" s="122">
        <f t="shared" si="0"/>
        <v>212</v>
      </c>
      <c r="P39" s="123">
        <f t="shared" si="1"/>
        <v>30.459770114942529</v>
      </c>
      <c r="Q39" s="114"/>
      <c r="S39">
        <f t="shared" si="2"/>
        <v>435</v>
      </c>
      <c r="T39" s="44">
        <f>E39+апр!I39</f>
        <v>0</v>
      </c>
      <c r="U39" s="30">
        <f>F39+апр!J39</f>
        <v>891</v>
      </c>
    </row>
    <row r="40" spans="1:21" ht="17.25" customHeight="1">
      <c r="A40" s="8"/>
      <c r="B40" s="12" t="s">
        <v>15</v>
      </c>
      <c r="C40" s="13" t="s">
        <v>16</v>
      </c>
      <c r="D40" s="16">
        <f>D38/D39*1000</f>
        <v>8130.1724137931051</v>
      </c>
      <c r="E40" s="16"/>
      <c r="F40" s="16" t="e">
        <f t="shared" ref="F40" si="18">F38/F39*1000</f>
        <v>#DIV/0!</v>
      </c>
      <c r="G40" s="10" t="e">
        <f t="shared" si="3"/>
        <v>#DIV/0!</v>
      </c>
      <c r="H40" s="16">
        <f>H38/H39*1000</f>
        <v>8130.1724137931033</v>
      </c>
      <c r="I40" s="16"/>
      <c r="J40" s="16">
        <f t="shared" ref="J40" si="19">J38/J39*1000</f>
        <v>6226</v>
      </c>
      <c r="K40" s="10">
        <f t="shared" si="4"/>
        <v>6226</v>
      </c>
      <c r="L40" s="16"/>
      <c r="M40" s="220"/>
      <c r="N40" s="221"/>
      <c r="O40" s="122">
        <f t="shared" si="0"/>
        <v>-1904.1724137931033</v>
      </c>
      <c r="P40" s="123">
        <f t="shared" si="1"/>
        <v>-23.421058212278652</v>
      </c>
      <c r="Q40" s="114"/>
      <c r="S40">
        <f t="shared" si="2"/>
        <v>40650.862068965522</v>
      </c>
      <c r="T40" s="44">
        <f>E40+апр!I40</f>
        <v>0</v>
      </c>
      <c r="U40" s="30" t="e">
        <f>F40+апр!J40</f>
        <v>#DIV/0!</v>
      </c>
    </row>
    <row r="41" spans="1:21" ht="17.25" customHeight="1">
      <c r="A41" s="18" t="s">
        <v>45</v>
      </c>
      <c r="B41" s="9" t="s">
        <v>46</v>
      </c>
      <c r="C41" s="8" t="s">
        <v>4</v>
      </c>
      <c r="D41" s="10">
        <f t="shared" ref="D41:F41" si="20">D42+D45</f>
        <v>315.00200000000001</v>
      </c>
      <c r="E41" s="10">
        <f t="shared" si="20"/>
        <v>0</v>
      </c>
      <c r="F41" s="10">
        <f t="shared" si="20"/>
        <v>287.33199999999999</v>
      </c>
      <c r="G41" s="10">
        <f t="shared" si="3"/>
        <v>287.33199999999999</v>
      </c>
      <c r="H41" s="10">
        <f t="shared" ref="H41:J41" si="21">H42+H45</f>
        <v>2520.0159999999996</v>
      </c>
      <c r="I41" s="10">
        <f t="shared" si="21"/>
        <v>0</v>
      </c>
      <c r="J41" s="10">
        <f t="shared" si="21"/>
        <v>2692.7449999999994</v>
      </c>
      <c r="K41" s="10">
        <f t="shared" si="4"/>
        <v>2692.7449999999994</v>
      </c>
      <c r="L41" s="16"/>
      <c r="M41" s="220"/>
      <c r="N41" s="221"/>
      <c r="O41" s="122">
        <f t="shared" si="0"/>
        <v>172.72899999999981</v>
      </c>
      <c r="P41" s="123">
        <f t="shared" si="1"/>
        <v>6.8542818775753744</v>
      </c>
      <c r="Q41" s="114"/>
      <c r="S41">
        <f t="shared" si="2"/>
        <v>1575.01</v>
      </c>
      <c r="T41" s="44">
        <f>E41+апр!I41</f>
        <v>0</v>
      </c>
      <c r="U41" s="30">
        <f>F41+апр!J41</f>
        <v>1724.3899999999999</v>
      </c>
    </row>
    <row r="42" spans="1:21" ht="16.5" customHeight="1">
      <c r="A42" s="8"/>
      <c r="B42" s="9" t="s">
        <v>47</v>
      </c>
      <c r="C42" s="8" t="s">
        <v>4</v>
      </c>
      <c r="D42" s="10">
        <v>152.298</v>
      </c>
      <c r="E42" s="8"/>
      <c r="F42" s="8"/>
      <c r="G42" s="10">
        <f t="shared" si="3"/>
        <v>0</v>
      </c>
      <c r="H42" s="10">
        <f>D42+июль!H42</f>
        <v>1218.384</v>
      </c>
      <c r="I42" s="8"/>
      <c r="J42" s="54">
        <f>F42+июль!J42</f>
        <v>0</v>
      </c>
      <c r="K42" s="10">
        <f t="shared" si="4"/>
        <v>0</v>
      </c>
      <c r="L42" s="16"/>
      <c r="M42" s="233" t="s">
        <v>286</v>
      </c>
      <c r="N42" s="234"/>
      <c r="O42" s="122">
        <f t="shared" si="0"/>
        <v>-1218.384</v>
      </c>
      <c r="P42" s="123">
        <f t="shared" si="1"/>
        <v>-100</v>
      </c>
      <c r="Q42" s="115"/>
      <c r="S42">
        <f t="shared" si="2"/>
        <v>761.49</v>
      </c>
      <c r="T42" s="44">
        <f>E42+апр!I42</f>
        <v>0</v>
      </c>
      <c r="U42" s="30">
        <f>F42+апр!J42</f>
        <v>0</v>
      </c>
    </row>
    <row r="43" spans="1:21" ht="17.25" customHeight="1">
      <c r="A43" s="8"/>
      <c r="B43" s="12" t="s">
        <v>48</v>
      </c>
      <c r="C43" s="13" t="s">
        <v>49</v>
      </c>
      <c r="D43" s="14">
        <v>1917</v>
      </c>
      <c r="E43" s="13"/>
      <c r="F43" s="8"/>
      <c r="G43" s="10">
        <f t="shared" si="3"/>
        <v>0</v>
      </c>
      <c r="H43" s="10">
        <f>D43+июль!H43</f>
        <v>15336</v>
      </c>
      <c r="I43" s="8"/>
      <c r="J43" s="54">
        <f>F43+июль!J43</f>
        <v>0</v>
      </c>
      <c r="K43" s="10">
        <f t="shared" si="4"/>
        <v>0</v>
      </c>
      <c r="L43" s="16"/>
      <c r="M43" s="235"/>
      <c r="N43" s="236"/>
      <c r="O43" s="122">
        <f t="shared" si="0"/>
        <v>-15336</v>
      </c>
      <c r="P43" s="123">
        <f t="shared" si="1"/>
        <v>-100</v>
      </c>
      <c r="Q43" s="115"/>
      <c r="S43">
        <f t="shared" si="2"/>
        <v>9585</v>
      </c>
      <c r="T43" s="44">
        <f>E43+апр!I43</f>
        <v>0</v>
      </c>
      <c r="U43" s="30">
        <f>F43+апр!J43</f>
        <v>0</v>
      </c>
    </row>
    <row r="44" spans="1:21" ht="17.25" customHeight="1">
      <c r="A44" s="8"/>
      <c r="B44" s="12" t="s">
        <v>15</v>
      </c>
      <c r="C44" s="13" t="s">
        <v>16</v>
      </c>
      <c r="D44" s="16">
        <f>D42/D43*1000</f>
        <v>79.44600938967136</v>
      </c>
      <c r="E44" s="13"/>
      <c r="F44" s="8"/>
      <c r="G44" s="10">
        <f t="shared" si="3"/>
        <v>0</v>
      </c>
      <c r="H44" s="16">
        <f>H42/H43*1000</f>
        <v>79.44600938967136</v>
      </c>
      <c r="I44" s="16"/>
      <c r="J44" s="16" t="e">
        <f t="shared" ref="J44" si="22">J42/J43*1000</f>
        <v>#DIV/0!</v>
      </c>
      <c r="K44" s="10" t="e">
        <f t="shared" si="4"/>
        <v>#DIV/0!</v>
      </c>
      <c r="L44" s="16"/>
      <c r="M44" s="220"/>
      <c r="N44" s="221"/>
      <c r="O44" s="122" t="e">
        <f t="shared" si="0"/>
        <v>#DIV/0!</v>
      </c>
      <c r="P44" s="123" t="e">
        <f t="shared" si="1"/>
        <v>#DIV/0!</v>
      </c>
      <c r="Q44" s="114"/>
      <c r="S44">
        <f t="shared" si="2"/>
        <v>397.2300469483568</v>
      </c>
      <c r="T44" s="44">
        <f>E44+апр!I44</f>
        <v>0</v>
      </c>
      <c r="U44" s="30" t="e">
        <f>F44+апр!J44</f>
        <v>#DIV/0!</v>
      </c>
    </row>
    <row r="45" spans="1:21" ht="17.25" customHeight="1">
      <c r="A45" s="8"/>
      <c r="B45" s="19" t="s">
        <v>50</v>
      </c>
      <c r="C45" s="8" t="s">
        <v>4</v>
      </c>
      <c r="D45" s="10">
        <v>162.70400000000001</v>
      </c>
      <c r="E45" s="8"/>
      <c r="F45" s="54">
        <v>287.33199999999999</v>
      </c>
      <c r="G45" s="10">
        <f t="shared" si="3"/>
        <v>287.33199999999999</v>
      </c>
      <c r="H45" s="10">
        <f>D45+июль!H45</f>
        <v>1301.6319999999998</v>
      </c>
      <c r="I45" s="8">
        <f>E45+июль!I45</f>
        <v>0</v>
      </c>
      <c r="J45" s="54">
        <f>F45+июль!J45</f>
        <v>2692.7449999999994</v>
      </c>
      <c r="K45" s="10">
        <f t="shared" si="4"/>
        <v>2692.7449999999994</v>
      </c>
      <c r="L45" s="16"/>
      <c r="M45" s="220"/>
      <c r="N45" s="221"/>
      <c r="O45" s="122">
        <f t="shared" si="0"/>
        <v>1391.1129999999996</v>
      </c>
      <c r="P45" s="123">
        <f t="shared" si="1"/>
        <v>106.87452367489428</v>
      </c>
      <c r="Q45" s="114"/>
      <c r="S45">
        <f t="shared" si="2"/>
        <v>813.52</v>
      </c>
      <c r="T45" s="44">
        <f>E45+апр!I45</f>
        <v>0</v>
      </c>
      <c r="U45" s="30">
        <f>F45+апр!J45</f>
        <v>1724.3899999999999</v>
      </c>
    </row>
    <row r="46" spans="1:21" ht="17.25" customHeight="1">
      <c r="A46" s="8"/>
      <c r="B46" s="12" t="s">
        <v>51</v>
      </c>
      <c r="C46" s="13" t="s">
        <v>49</v>
      </c>
      <c r="D46" s="14">
        <v>1417</v>
      </c>
      <c r="E46" s="13"/>
      <c r="F46" s="8"/>
      <c r="G46" s="10">
        <f t="shared" si="3"/>
        <v>0</v>
      </c>
      <c r="H46" s="10">
        <f>D46+июль!H46</f>
        <v>11336</v>
      </c>
      <c r="I46" s="8"/>
      <c r="J46" s="54">
        <f>F46+июль!J46</f>
        <v>16930</v>
      </c>
      <c r="K46" s="10">
        <f t="shared" si="4"/>
        <v>16930</v>
      </c>
      <c r="L46" s="16"/>
      <c r="M46" s="220"/>
      <c r="N46" s="221"/>
      <c r="O46" s="122">
        <f t="shared" si="0"/>
        <v>5594</v>
      </c>
      <c r="P46" s="123">
        <f t="shared" si="1"/>
        <v>49.347212420606915</v>
      </c>
      <c r="Q46" s="114"/>
      <c r="S46">
        <f t="shared" si="2"/>
        <v>7085</v>
      </c>
      <c r="T46" s="44">
        <f>E46+апр!I46</f>
        <v>0</v>
      </c>
      <c r="U46" s="30">
        <f>F46+апр!J46</f>
        <v>10122</v>
      </c>
    </row>
    <row r="47" spans="1:21" ht="17.25" customHeight="1">
      <c r="A47" s="8"/>
      <c r="B47" s="12" t="s">
        <v>15</v>
      </c>
      <c r="C47" s="13" t="s">
        <v>16</v>
      </c>
      <c r="D47" s="16">
        <f>D45/D46*1000</f>
        <v>114.82286520818631</v>
      </c>
      <c r="E47" s="16"/>
      <c r="F47" s="16" t="e">
        <f t="shared" ref="F47" si="23">F45/F46*1000</f>
        <v>#DIV/0!</v>
      </c>
      <c r="G47" s="10" t="e">
        <f t="shared" si="3"/>
        <v>#DIV/0!</v>
      </c>
      <c r="H47" s="16">
        <f>H45/H46*1000</f>
        <v>114.8228652081863</v>
      </c>
      <c r="I47" s="16"/>
      <c r="J47" s="16">
        <f t="shared" ref="J47" si="24">J45/J46*1000</f>
        <v>159.05168340224452</v>
      </c>
      <c r="K47" s="10">
        <f t="shared" si="4"/>
        <v>159.05168340224452</v>
      </c>
      <c r="L47" s="16"/>
      <c r="M47" s="220"/>
      <c r="N47" s="221"/>
      <c r="O47" s="122">
        <f t="shared" si="0"/>
        <v>44.228818194058221</v>
      </c>
      <c r="P47" s="123">
        <f t="shared" si="1"/>
        <v>38.519173087926852</v>
      </c>
      <c r="Q47" s="114"/>
      <c r="S47">
        <f t="shared" si="2"/>
        <v>574.11432604093159</v>
      </c>
      <c r="T47" s="44">
        <f>E47+апр!I47</f>
        <v>0</v>
      </c>
      <c r="U47" s="30" t="e">
        <f>F47+апр!J47</f>
        <v>#DIV/0!</v>
      </c>
    </row>
    <row r="48" spans="1:21" ht="17.25" customHeight="1">
      <c r="A48" s="18" t="s">
        <v>52</v>
      </c>
      <c r="B48" s="9" t="s">
        <v>53</v>
      </c>
      <c r="C48" s="8" t="s">
        <v>4</v>
      </c>
      <c r="D48" s="10">
        <v>515.60799999999995</v>
      </c>
      <c r="E48" s="8"/>
      <c r="F48" s="55">
        <v>750.96100000000001</v>
      </c>
      <c r="G48" s="10">
        <f t="shared" si="3"/>
        <v>750.96100000000001</v>
      </c>
      <c r="H48" s="10">
        <f>D48+июль!H48</f>
        <v>4124.8640000000005</v>
      </c>
      <c r="I48" s="8"/>
      <c r="J48" s="54">
        <f>F48+июль!J48</f>
        <v>6447.5580000000009</v>
      </c>
      <c r="K48" s="10">
        <f t="shared" si="4"/>
        <v>6447.5580000000009</v>
      </c>
      <c r="L48" s="16"/>
      <c r="M48" s="220"/>
      <c r="N48" s="221"/>
      <c r="O48" s="122">
        <f t="shared" si="0"/>
        <v>2322.6940000000004</v>
      </c>
      <c r="P48" s="123">
        <f t="shared" si="1"/>
        <v>56.309589843446958</v>
      </c>
      <c r="Q48" s="114"/>
      <c r="S48">
        <f t="shared" si="2"/>
        <v>2578.04</v>
      </c>
      <c r="T48" s="44">
        <f>E48+апр!I48</f>
        <v>0</v>
      </c>
      <c r="U48" s="30">
        <f>F48+апр!J48</f>
        <v>3697.1200000000008</v>
      </c>
    </row>
    <row r="49" spans="1:21" ht="17.25" customHeight="1">
      <c r="A49" s="8"/>
      <c r="B49" s="12" t="s">
        <v>13</v>
      </c>
      <c r="C49" s="13" t="s">
        <v>49</v>
      </c>
      <c r="D49" s="14">
        <v>5833</v>
      </c>
      <c r="E49" s="13"/>
      <c r="F49" s="8"/>
      <c r="G49" s="10">
        <f t="shared" si="3"/>
        <v>0</v>
      </c>
      <c r="H49" s="10">
        <f>D49+июль!H49</f>
        <v>46664</v>
      </c>
      <c r="I49" s="8"/>
      <c r="J49" s="54">
        <f>F49+июль!J49</f>
        <v>37001</v>
      </c>
      <c r="K49" s="10">
        <f t="shared" si="4"/>
        <v>37001</v>
      </c>
      <c r="L49" s="16"/>
      <c r="M49" s="220"/>
      <c r="N49" s="221"/>
      <c r="O49" s="122">
        <f t="shared" si="0"/>
        <v>-9663</v>
      </c>
      <c r="P49" s="123">
        <f t="shared" si="1"/>
        <v>-20.707611863535057</v>
      </c>
      <c r="Q49" s="114"/>
      <c r="S49">
        <f t="shared" si="2"/>
        <v>29165</v>
      </c>
      <c r="T49" s="44">
        <f>E49+апр!I49</f>
        <v>0</v>
      </c>
      <c r="U49" s="30">
        <f>F49+апр!J49</f>
        <v>18323</v>
      </c>
    </row>
    <row r="50" spans="1:21" ht="17.25" customHeight="1">
      <c r="A50" s="8"/>
      <c r="B50" s="12" t="s">
        <v>15</v>
      </c>
      <c r="C50" s="13" t="s">
        <v>16</v>
      </c>
      <c r="D50" s="16">
        <f>D48/D49*1000</f>
        <v>88.394993999657117</v>
      </c>
      <c r="E50" s="16"/>
      <c r="F50" s="16" t="e">
        <f t="shared" ref="F50" si="25">F48/F49*1000</f>
        <v>#DIV/0!</v>
      </c>
      <c r="G50" s="10" t="e">
        <f t="shared" si="3"/>
        <v>#DIV/0!</v>
      </c>
      <c r="H50" s="16">
        <f>H48/H49*1000</f>
        <v>88.394993999657146</v>
      </c>
      <c r="I50" s="16"/>
      <c r="J50" s="16">
        <f t="shared" ref="J50" si="26">J48/J49*1000</f>
        <v>174.25361476716847</v>
      </c>
      <c r="K50" s="10">
        <f t="shared" si="4"/>
        <v>174.25361476716847</v>
      </c>
      <c r="L50" s="16"/>
      <c r="M50" s="220"/>
      <c r="N50" s="221"/>
      <c r="O50" s="122">
        <f t="shared" si="0"/>
        <v>85.858620767511326</v>
      </c>
      <c r="P50" s="123">
        <f t="shared" si="1"/>
        <v>97.130637022096906</v>
      </c>
      <c r="Q50" s="114"/>
      <c r="S50">
        <f t="shared" si="2"/>
        <v>441.97496999828559</v>
      </c>
      <c r="T50" s="44">
        <f>E50+апр!I50</f>
        <v>0</v>
      </c>
      <c r="U50" s="30" t="e">
        <f>F50+апр!J50</f>
        <v>#DIV/0!</v>
      </c>
    </row>
    <row r="51" spans="1:21" ht="17.25" customHeight="1">
      <c r="A51" s="18" t="s">
        <v>54</v>
      </c>
      <c r="B51" s="20" t="s">
        <v>55</v>
      </c>
      <c r="C51" s="8" t="s">
        <v>4</v>
      </c>
      <c r="D51" s="10">
        <f t="shared" ref="D51:F52" si="27">D54+D57+D60+D63+D66+D69</f>
        <v>75.456000000000003</v>
      </c>
      <c r="E51" s="10"/>
      <c r="F51" s="10">
        <f t="shared" si="27"/>
        <v>15.03</v>
      </c>
      <c r="G51" s="10">
        <f t="shared" si="3"/>
        <v>15.03</v>
      </c>
      <c r="H51" s="10">
        <f t="shared" ref="H51:H52" si="28">H54+H57+H60+H63+H66+H69</f>
        <v>603.64800000000002</v>
      </c>
      <c r="I51" s="10"/>
      <c r="J51" s="10">
        <f t="shared" ref="J51:J52" si="29">J54+J57+J60+J63+J66+J69</f>
        <v>528.12800000000004</v>
      </c>
      <c r="K51" s="10">
        <f t="shared" si="4"/>
        <v>528.12800000000004</v>
      </c>
      <c r="L51" s="16"/>
      <c r="M51" s="220"/>
      <c r="N51" s="221"/>
      <c r="O51" s="122">
        <f t="shared" si="0"/>
        <v>-75.519999999999982</v>
      </c>
      <c r="P51" s="123">
        <f t="shared" si="1"/>
        <v>-12.510602205258689</v>
      </c>
      <c r="Q51" s="114"/>
      <c r="S51">
        <f t="shared" si="2"/>
        <v>377.28000000000003</v>
      </c>
      <c r="T51" s="44">
        <f>E51+апр!I51</f>
        <v>0</v>
      </c>
      <c r="U51" s="30">
        <f>F51+апр!J51</f>
        <v>136.179</v>
      </c>
    </row>
    <row r="52" spans="1:21" ht="17.25" customHeight="1">
      <c r="A52" s="8"/>
      <c r="B52" s="19" t="s">
        <v>13</v>
      </c>
      <c r="C52" s="13" t="s">
        <v>49</v>
      </c>
      <c r="D52" s="14">
        <f t="shared" si="27"/>
        <v>177</v>
      </c>
      <c r="E52" s="13"/>
      <c r="F52" s="14">
        <f t="shared" si="27"/>
        <v>0</v>
      </c>
      <c r="G52" s="10">
        <f t="shared" si="3"/>
        <v>0</v>
      </c>
      <c r="H52" s="14">
        <f t="shared" si="28"/>
        <v>1416</v>
      </c>
      <c r="I52" s="8"/>
      <c r="J52" s="14">
        <f t="shared" si="29"/>
        <v>1019.575</v>
      </c>
      <c r="K52" s="10">
        <f t="shared" si="4"/>
        <v>1019.575</v>
      </c>
      <c r="L52" s="16"/>
      <c r="M52" s="220"/>
      <c r="N52" s="221"/>
      <c r="O52" s="122">
        <f t="shared" si="0"/>
        <v>-396.42499999999995</v>
      </c>
      <c r="P52" s="123">
        <f t="shared" si="1"/>
        <v>-27.996115819209038</v>
      </c>
      <c r="Q52" s="114"/>
      <c r="S52">
        <f t="shared" si="2"/>
        <v>885</v>
      </c>
      <c r="T52" s="44">
        <f>E52+апр!I52</f>
        <v>0</v>
      </c>
      <c r="U52" s="30">
        <f>F52+апр!J52</f>
        <v>219.07499999999999</v>
      </c>
    </row>
    <row r="53" spans="1:21" ht="17.25" customHeight="1">
      <c r="A53" s="8"/>
      <c r="B53" s="19" t="s">
        <v>15</v>
      </c>
      <c r="C53" s="13" t="s">
        <v>16</v>
      </c>
      <c r="D53" s="16">
        <f>D51/D52*1000</f>
        <v>426.30508474576271</v>
      </c>
      <c r="E53" s="16"/>
      <c r="F53" s="16" t="e">
        <f t="shared" ref="F53" si="30">F51/F52*1000</f>
        <v>#DIV/0!</v>
      </c>
      <c r="G53" s="10" t="e">
        <f t="shared" si="3"/>
        <v>#DIV/0!</v>
      </c>
      <c r="H53" s="16">
        <f>H51/H52*1000</f>
        <v>426.30508474576271</v>
      </c>
      <c r="I53" s="16"/>
      <c r="J53" s="16">
        <f t="shared" ref="J53" si="31">J51/J52*1000</f>
        <v>517.98837751023711</v>
      </c>
      <c r="K53" s="10">
        <f t="shared" si="4"/>
        <v>517.98837751023711</v>
      </c>
      <c r="L53" s="16"/>
      <c r="M53" s="220"/>
      <c r="N53" s="221"/>
      <c r="O53" s="122">
        <f t="shared" si="0"/>
        <v>91.683292764474402</v>
      </c>
      <c r="P53" s="123">
        <f t="shared" si="1"/>
        <v>21.506497587086475</v>
      </c>
      <c r="Q53" s="114"/>
      <c r="S53">
        <f t="shared" si="2"/>
        <v>2131.5254237288136</v>
      </c>
      <c r="T53" s="44">
        <f>E53+апр!I53</f>
        <v>0</v>
      </c>
      <c r="U53" s="30" t="e">
        <f>F53+апр!J53</f>
        <v>#DIV/0!</v>
      </c>
    </row>
    <row r="54" spans="1:21" ht="17.25" customHeight="1">
      <c r="A54" s="8"/>
      <c r="B54" s="20" t="s">
        <v>56</v>
      </c>
      <c r="C54" s="8" t="s">
        <v>4</v>
      </c>
      <c r="D54" s="10">
        <v>7.8079999999999998</v>
      </c>
      <c r="E54" s="8"/>
      <c r="F54" s="55">
        <v>4.43</v>
      </c>
      <c r="G54" s="10">
        <f t="shared" si="3"/>
        <v>4.43</v>
      </c>
      <c r="H54" s="10">
        <f>D54+июль!H54</f>
        <v>62.463999999999999</v>
      </c>
      <c r="I54" s="8"/>
      <c r="J54" s="54">
        <f>F54+июль!J54</f>
        <v>33.033999999999999</v>
      </c>
      <c r="K54" s="10">
        <f t="shared" si="4"/>
        <v>33.033999999999999</v>
      </c>
      <c r="L54" s="16"/>
      <c r="M54" s="220"/>
      <c r="N54" s="221"/>
      <c r="O54" s="122">
        <f t="shared" si="0"/>
        <v>-29.43</v>
      </c>
      <c r="P54" s="123">
        <f t="shared" si="1"/>
        <v>-47.115138319672134</v>
      </c>
      <c r="Q54" s="114"/>
      <c r="S54">
        <f t="shared" si="2"/>
        <v>39.04</v>
      </c>
      <c r="T54" s="44">
        <f>E54+апр!I54</f>
        <v>0</v>
      </c>
      <c r="U54" s="30">
        <f>F54+апр!J54</f>
        <v>18.033999999999999</v>
      </c>
    </row>
    <row r="55" spans="1:21" ht="17.25" customHeight="1">
      <c r="A55" s="8"/>
      <c r="B55" s="12" t="s">
        <v>13</v>
      </c>
      <c r="C55" s="13" t="s">
        <v>49</v>
      </c>
      <c r="D55" s="14">
        <v>31</v>
      </c>
      <c r="E55" s="13"/>
      <c r="F55" s="8"/>
      <c r="G55" s="10">
        <f t="shared" si="3"/>
        <v>0</v>
      </c>
      <c r="H55" s="10">
        <f>D55+июль!H55</f>
        <v>248</v>
      </c>
      <c r="I55" s="8"/>
      <c r="J55" s="54">
        <f>F55+июль!J55</f>
        <v>57</v>
      </c>
      <c r="K55" s="10">
        <f t="shared" si="4"/>
        <v>57</v>
      </c>
      <c r="L55" s="16"/>
      <c r="M55" s="220"/>
      <c r="N55" s="221"/>
      <c r="O55" s="122">
        <f t="shared" si="0"/>
        <v>-191</v>
      </c>
      <c r="P55" s="123">
        <f t="shared" si="1"/>
        <v>-77.016129032258064</v>
      </c>
      <c r="Q55" s="114"/>
      <c r="S55">
        <f t="shared" si="2"/>
        <v>155</v>
      </c>
      <c r="T55" s="44">
        <f>E55+апр!I55</f>
        <v>0</v>
      </c>
      <c r="U55" s="30">
        <f>F55+апр!J55</f>
        <v>25</v>
      </c>
    </row>
    <row r="56" spans="1:21" ht="17.25" customHeight="1">
      <c r="A56" s="8"/>
      <c r="B56" s="12" t="s">
        <v>15</v>
      </c>
      <c r="C56" s="13" t="s">
        <v>16</v>
      </c>
      <c r="D56" s="16">
        <f>D54/D55*1000</f>
        <v>251.87096774193546</v>
      </c>
      <c r="E56" s="16"/>
      <c r="F56" s="16" t="e">
        <f t="shared" ref="F56" si="32">F54/F55*1000</f>
        <v>#DIV/0!</v>
      </c>
      <c r="G56" s="10" t="e">
        <f t="shared" si="3"/>
        <v>#DIV/0!</v>
      </c>
      <c r="H56" s="16">
        <f>H54/H55*1000</f>
        <v>251.87096774193546</v>
      </c>
      <c r="I56" s="16"/>
      <c r="J56" s="16">
        <f t="shared" ref="J56" si="33">J54/J55*1000</f>
        <v>579.54385964912285</v>
      </c>
      <c r="K56" s="10">
        <f t="shared" si="4"/>
        <v>579.54385964912285</v>
      </c>
      <c r="L56" s="16"/>
      <c r="M56" s="220"/>
      <c r="N56" s="221"/>
      <c r="O56" s="122">
        <f t="shared" si="0"/>
        <v>327.67289190718736</v>
      </c>
      <c r="P56" s="123">
        <f t="shared" si="1"/>
        <v>130.0955385389704</v>
      </c>
      <c r="Q56" s="114"/>
      <c r="S56">
        <f t="shared" si="2"/>
        <v>1259.3548387096773</v>
      </c>
      <c r="T56" s="44">
        <f>E56+апр!I56</f>
        <v>0</v>
      </c>
      <c r="U56" s="30" t="e">
        <f>F56+апр!J56</f>
        <v>#DIV/0!</v>
      </c>
    </row>
    <row r="57" spans="1:21" ht="17.25" customHeight="1">
      <c r="A57" s="8"/>
      <c r="B57" s="20" t="s">
        <v>57</v>
      </c>
      <c r="C57" s="8" t="s">
        <v>4</v>
      </c>
      <c r="D57" s="10">
        <v>13.96</v>
      </c>
      <c r="E57" s="8"/>
      <c r="F57" s="55"/>
      <c r="G57" s="10">
        <f t="shared" si="3"/>
        <v>0</v>
      </c>
      <c r="H57" s="10">
        <f>D57+июль!H57</f>
        <v>111.68000000000004</v>
      </c>
      <c r="I57" s="8"/>
      <c r="J57" s="54">
        <f>F57+июль!J57</f>
        <v>116.25</v>
      </c>
      <c r="K57" s="10">
        <f t="shared" si="4"/>
        <v>116.25</v>
      </c>
      <c r="L57" s="16"/>
      <c r="M57" s="233" t="s">
        <v>291</v>
      </c>
      <c r="N57" s="234"/>
      <c r="O57" s="122">
        <f t="shared" si="0"/>
        <v>4.5699999999999648</v>
      </c>
      <c r="P57" s="123">
        <f t="shared" si="1"/>
        <v>4.0920487106016861</v>
      </c>
      <c r="Q57" s="115"/>
      <c r="S57">
        <f t="shared" si="2"/>
        <v>69.800000000000011</v>
      </c>
      <c r="T57" s="44">
        <f>E57+апр!I57</f>
        <v>0</v>
      </c>
      <c r="U57" s="30">
        <f>F57+апр!J57</f>
        <v>0</v>
      </c>
    </row>
    <row r="58" spans="1:21" ht="17.25" customHeight="1">
      <c r="A58" s="8"/>
      <c r="B58" s="12" t="s">
        <v>13</v>
      </c>
      <c r="C58" s="13" t="s">
        <v>49</v>
      </c>
      <c r="D58" s="14">
        <v>33</v>
      </c>
      <c r="E58" s="13"/>
      <c r="F58" s="8"/>
      <c r="G58" s="10">
        <f t="shared" si="3"/>
        <v>0</v>
      </c>
      <c r="H58" s="10">
        <f>D58+июль!H58</f>
        <v>264</v>
      </c>
      <c r="I58" s="8"/>
      <c r="J58" s="54">
        <f>F58+июль!J58</f>
        <v>300</v>
      </c>
      <c r="K58" s="10">
        <f t="shared" si="4"/>
        <v>300</v>
      </c>
      <c r="L58" s="16"/>
      <c r="M58" s="235"/>
      <c r="N58" s="236"/>
      <c r="O58" s="122">
        <f t="shared" si="0"/>
        <v>36</v>
      </c>
      <c r="P58" s="123">
        <f t="shared" si="1"/>
        <v>13.636363636363635</v>
      </c>
      <c r="Q58" s="115"/>
      <c r="S58">
        <f t="shared" si="2"/>
        <v>165</v>
      </c>
      <c r="T58" s="44">
        <f>E58+апр!I58</f>
        <v>0</v>
      </c>
      <c r="U58" s="30">
        <f>F58+апр!J58</f>
        <v>0</v>
      </c>
    </row>
    <row r="59" spans="1:21" ht="17.25" customHeight="1">
      <c r="A59" s="8"/>
      <c r="B59" s="12" t="s">
        <v>15</v>
      </c>
      <c r="C59" s="13" t="s">
        <v>16</v>
      </c>
      <c r="D59" s="16">
        <f>D57/D58*1000</f>
        <v>423.03030303030306</v>
      </c>
      <c r="E59" s="13"/>
      <c r="F59" s="16" t="e">
        <f t="shared" ref="F59" si="34">F57/F58*1000</f>
        <v>#DIV/0!</v>
      </c>
      <c r="G59" s="10" t="e">
        <f t="shared" si="3"/>
        <v>#DIV/0!</v>
      </c>
      <c r="H59" s="16">
        <f>H57/H58*1000</f>
        <v>423.03030303030317</v>
      </c>
      <c r="I59" s="8"/>
      <c r="J59" s="13"/>
      <c r="K59" s="10">
        <f t="shared" si="4"/>
        <v>0</v>
      </c>
      <c r="L59" s="16"/>
      <c r="M59" s="220"/>
      <c r="N59" s="221"/>
      <c r="O59" s="122">
        <f t="shared" si="0"/>
        <v>-423.03030303030317</v>
      </c>
      <c r="P59" s="123">
        <f t="shared" si="1"/>
        <v>-100</v>
      </c>
      <c r="Q59" s="114"/>
      <c r="S59">
        <f t="shared" si="2"/>
        <v>2115.1515151515155</v>
      </c>
      <c r="T59" s="44">
        <f>E59+апр!I59</f>
        <v>0</v>
      </c>
      <c r="U59" s="30" t="e">
        <f>F59+апр!J59</f>
        <v>#DIV/0!</v>
      </c>
    </row>
    <row r="60" spans="1:21" ht="17.25" customHeight="1">
      <c r="A60" s="8"/>
      <c r="B60" s="20" t="s">
        <v>58</v>
      </c>
      <c r="C60" s="8" t="s">
        <v>4</v>
      </c>
      <c r="D60" s="10">
        <v>28.585000000000001</v>
      </c>
      <c r="E60" s="8"/>
      <c r="F60" s="55">
        <v>7.5</v>
      </c>
      <c r="G60" s="10">
        <f t="shared" si="3"/>
        <v>7.5</v>
      </c>
      <c r="H60" s="10">
        <f>D60+июль!H60</f>
        <v>228.68000000000004</v>
      </c>
      <c r="I60" s="8"/>
      <c r="J60" s="54">
        <f>F60+июль!J60</f>
        <v>268.59399999999999</v>
      </c>
      <c r="K60" s="10">
        <f t="shared" si="4"/>
        <v>268.59399999999999</v>
      </c>
      <c r="L60" s="16"/>
      <c r="M60" s="233" t="s">
        <v>291</v>
      </c>
      <c r="N60" s="234"/>
      <c r="O60" s="122">
        <f t="shared" si="0"/>
        <v>39.913999999999959</v>
      </c>
      <c r="P60" s="123">
        <f t="shared" si="1"/>
        <v>17.454084309952751</v>
      </c>
      <c r="Q60" s="115"/>
      <c r="S60">
        <f t="shared" si="2"/>
        <v>142.92500000000001</v>
      </c>
      <c r="T60" s="44">
        <f>E60+апр!I60</f>
        <v>0</v>
      </c>
      <c r="U60" s="30">
        <f>F60+апр!J60</f>
        <v>64.875</v>
      </c>
    </row>
    <row r="61" spans="1:21" ht="17.25" customHeight="1">
      <c r="A61" s="8"/>
      <c r="B61" s="12" t="s">
        <v>13</v>
      </c>
      <c r="C61" s="13" t="s">
        <v>49</v>
      </c>
      <c r="D61" s="14">
        <v>70</v>
      </c>
      <c r="E61" s="13"/>
      <c r="F61" s="8"/>
      <c r="G61" s="10">
        <f t="shared" si="3"/>
        <v>0</v>
      </c>
      <c r="H61" s="10">
        <f>D61+июль!H61</f>
        <v>560</v>
      </c>
      <c r="I61" s="8"/>
      <c r="J61" s="54">
        <f>F61+июль!J61</f>
        <v>455</v>
      </c>
      <c r="K61" s="10">
        <f t="shared" si="4"/>
        <v>455</v>
      </c>
      <c r="L61" s="16"/>
      <c r="M61" s="235"/>
      <c r="N61" s="236"/>
      <c r="O61" s="122">
        <f t="shared" si="0"/>
        <v>-105</v>
      </c>
      <c r="P61" s="123">
        <f t="shared" si="1"/>
        <v>-18.75</v>
      </c>
      <c r="Q61" s="115"/>
      <c r="S61">
        <f t="shared" si="2"/>
        <v>350</v>
      </c>
      <c r="T61" s="44">
        <f>E61+апр!I61</f>
        <v>0</v>
      </c>
      <c r="U61" s="30">
        <f>F61+апр!J61</f>
        <v>108</v>
      </c>
    </row>
    <row r="62" spans="1:21" ht="17.25" customHeight="1">
      <c r="A62" s="8"/>
      <c r="B62" s="12" t="s">
        <v>15</v>
      </c>
      <c r="C62" s="13" t="s">
        <v>16</v>
      </c>
      <c r="D62" s="16">
        <f>D60/D61*1000</f>
        <v>408.35714285714289</v>
      </c>
      <c r="E62" s="16"/>
      <c r="F62" s="16" t="e">
        <f t="shared" ref="F62" si="35">F60/F61*1000</f>
        <v>#DIV/0!</v>
      </c>
      <c r="G62" s="10" t="e">
        <f t="shared" si="3"/>
        <v>#DIV/0!</v>
      </c>
      <c r="H62" s="16">
        <f>H60/H61*1000</f>
        <v>408.35714285714295</v>
      </c>
      <c r="I62" s="16"/>
      <c r="J62" s="16">
        <f t="shared" ref="J62" si="36">J60/J61*1000</f>
        <v>590.31648351648346</v>
      </c>
      <c r="K62" s="10">
        <f t="shared" si="4"/>
        <v>590.31648351648346</v>
      </c>
      <c r="L62" s="16"/>
      <c r="M62" s="220"/>
      <c r="N62" s="221"/>
      <c r="O62" s="122">
        <f t="shared" si="0"/>
        <v>181.95934065934051</v>
      </c>
      <c r="P62" s="123">
        <f t="shared" si="1"/>
        <v>44.558872996864906</v>
      </c>
      <c r="Q62" s="114"/>
      <c r="S62">
        <f t="shared" si="2"/>
        <v>2041.7857142857144</v>
      </c>
      <c r="T62" s="44">
        <f>E62+апр!I62</f>
        <v>0</v>
      </c>
      <c r="U62" s="30" t="e">
        <f>F62+апр!J62</f>
        <v>#DIV/0!</v>
      </c>
    </row>
    <row r="63" spans="1:21" ht="17.25" customHeight="1">
      <c r="A63" s="8"/>
      <c r="B63" s="20" t="s">
        <v>220</v>
      </c>
      <c r="C63" s="8" t="s">
        <v>4</v>
      </c>
      <c r="D63" s="10">
        <v>12.234</v>
      </c>
      <c r="E63" s="8"/>
      <c r="F63" s="54"/>
      <c r="G63" s="10">
        <f t="shared" si="3"/>
        <v>0</v>
      </c>
      <c r="H63" s="10">
        <f>D63+июль!H63</f>
        <v>97.871999999999986</v>
      </c>
      <c r="I63" s="8"/>
      <c r="J63" s="54">
        <f>F63+июль!J63</f>
        <v>52.059999999999995</v>
      </c>
      <c r="K63" s="10">
        <f t="shared" si="4"/>
        <v>52.059999999999995</v>
      </c>
      <c r="L63" s="16"/>
      <c r="M63" s="220"/>
      <c r="N63" s="221"/>
      <c r="O63" s="122">
        <f t="shared" si="0"/>
        <v>-45.811999999999991</v>
      </c>
      <c r="P63" s="123">
        <f t="shared" si="1"/>
        <v>-46.808075854176884</v>
      </c>
      <c r="Q63" s="114"/>
      <c r="S63">
        <f t="shared" si="2"/>
        <v>61.17</v>
      </c>
      <c r="T63" s="44">
        <f>E63+апр!I63</f>
        <v>0</v>
      </c>
      <c r="U63" s="30">
        <f>F63+апр!J63</f>
        <v>8.66</v>
      </c>
    </row>
    <row r="64" spans="1:21" ht="17.25" customHeight="1">
      <c r="A64" s="8"/>
      <c r="B64" s="12" t="s">
        <v>13</v>
      </c>
      <c r="C64" s="13" t="s">
        <v>49</v>
      </c>
      <c r="D64" s="14">
        <v>23</v>
      </c>
      <c r="E64" s="13"/>
      <c r="F64" s="8"/>
      <c r="G64" s="10">
        <f t="shared" si="3"/>
        <v>0</v>
      </c>
      <c r="H64" s="10">
        <f>D64+июль!H64</f>
        <v>184</v>
      </c>
      <c r="I64" s="8"/>
      <c r="J64" s="54">
        <f>F64+июль!J64</f>
        <v>120</v>
      </c>
      <c r="K64" s="10">
        <f t="shared" si="4"/>
        <v>120</v>
      </c>
      <c r="L64" s="16"/>
      <c r="M64" s="220"/>
      <c r="N64" s="221"/>
      <c r="O64" s="122">
        <f t="shared" si="0"/>
        <v>-64</v>
      </c>
      <c r="P64" s="123">
        <f t="shared" si="1"/>
        <v>-34.782608695652172</v>
      </c>
      <c r="Q64" s="114"/>
      <c r="S64">
        <f t="shared" si="2"/>
        <v>115</v>
      </c>
      <c r="T64" s="44">
        <f>E64+апр!I64</f>
        <v>0</v>
      </c>
      <c r="U64" s="30">
        <f>F64+апр!J64</f>
        <v>20</v>
      </c>
    </row>
    <row r="65" spans="1:21" ht="17.25" customHeight="1">
      <c r="A65" s="8"/>
      <c r="B65" s="12" t="s">
        <v>15</v>
      </c>
      <c r="C65" s="13" t="s">
        <v>16</v>
      </c>
      <c r="D65" s="16">
        <f>D63/D64*1000</f>
        <v>531.91304347826087</v>
      </c>
      <c r="E65" s="16"/>
      <c r="F65" s="16" t="e">
        <f t="shared" ref="F65" si="37">F63/F64*1000</f>
        <v>#DIV/0!</v>
      </c>
      <c r="G65" s="10" t="e">
        <f t="shared" si="3"/>
        <v>#DIV/0!</v>
      </c>
      <c r="H65" s="16">
        <f>H63/H64*1000</f>
        <v>531.91304347826076</v>
      </c>
      <c r="I65" s="16"/>
      <c r="J65" s="16">
        <f t="shared" ref="J65" si="38">J63/J64*1000</f>
        <v>433.83333333333331</v>
      </c>
      <c r="K65" s="10">
        <f t="shared" si="4"/>
        <v>433.83333333333331</v>
      </c>
      <c r="L65" s="16"/>
      <c r="M65" s="220"/>
      <c r="N65" s="221"/>
      <c r="O65" s="122">
        <f t="shared" si="0"/>
        <v>-98.079710144927446</v>
      </c>
      <c r="P65" s="123">
        <f t="shared" si="1"/>
        <v>-18.439049643071208</v>
      </c>
      <c r="Q65" s="114"/>
      <c r="S65">
        <f t="shared" si="2"/>
        <v>2659.5652173913045</v>
      </c>
      <c r="T65" s="44">
        <f>E65+апр!I65</f>
        <v>0</v>
      </c>
      <c r="U65" s="30" t="e">
        <f>F65+апр!J65</f>
        <v>#DIV/0!</v>
      </c>
    </row>
    <row r="66" spans="1:21" ht="17.25" customHeight="1">
      <c r="A66" s="8"/>
      <c r="B66" s="9" t="s">
        <v>59</v>
      </c>
      <c r="C66" s="8" t="s">
        <v>4</v>
      </c>
      <c r="D66" s="10">
        <v>2.8610000000000002</v>
      </c>
      <c r="E66" s="8"/>
      <c r="F66" s="8"/>
      <c r="G66" s="10">
        <f t="shared" si="3"/>
        <v>0</v>
      </c>
      <c r="H66" s="10">
        <f>D66+июль!H66</f>
        <v>22.888000000000002</v>
      </c>
      <c r="I66" s="8"/>
      <c r="J66" s="54">
        <f>F66+июль!J66</f>
        <v>0</v>
      </c>
      <c r="K66" s="10">
        <f t="shared" si="4"/>
        <v>0</v>
      </c>
      <c r="L66" s="16"/>
      <c r="M66" s="220"/>
      <c r="N66" s="221"/>
      <c r="O66" s="122">
        <f t="shared" si="0"/>
        <v>-22.888000000000002</v>
      </c>
      <c r="P66" s="123">
        <f t="shared" si="1"/>
        <v>-100</v>
      </c>
      <c r="Q66" s="114"/>
      <c r="S66">
        <f t="shared" si="2"/>
        <v>14.305000000000001</v>
      </c>
      <c r="T66" s="44">
        <f>E66+апр!I66</f>
        <v>0</v>
      </c>
      <c r="U66" s="30">
        <f>F66+апр!J66</f>
        <v>0</v>
      </c>
    </row>
    <row r="67" spans="1:21" ht="17.25" customHeight="1">
      <c r="A67" s="8"/>
      <c r="B67" s="12" t="s">
        <v>13</v>
      </c>
      <c r="C67" s="13" t="s">
        <v>49</v>
      </c>
      <c r="D67" s="14">
        <v>2</v>
      </c>
      <c r="E67" s="13"/>
      <c r="F67" s="8"/>
      <c r="G67" s="10">
        <f t="shared" si="3"/>
        <v>0</v>
      </c>
      <c r="H67" s="10">
        <f>D67+июль!H67</f>
        <v>16</v>
      </c>
      <c r="I67" s="8"/>
      <c r="J67" s="54">
        <f>F67+июль!J67</f>
        <v>0</v>
      </c>
      <c r="K67" s="10">
        <f t="shared" si="4"/>
        <v>0</v>
      </c>
      <c r="L67" s="16"/>
      <c r="M67" s="220"/>
      <c r="N67" s="221"/>
      <c r="O67" s="122">
        <f t="shared" si="0"/>
        <v>-16</v>
      </c>
      <c r="P67" s="123">
        <f t="shared" si="1"/>
        <v>-100</v>
      </c>
      <c r="Q67" s="114"/>
      <c r="S67">
        <f t="shared" si="2"/>
        <v>10</v>
      </c>
      <c r="T67" s="44">
        <f>E67+апр!I67</f>
        <v>0</v>
      </c>
      <c r="U67" s="30">
        <f>F67+апр!J67</f>
        <v>0</v>
      </c>
    </row>
    <row r="68" spans="1:21" ht="17.25" customHeight="1">
      <c r="A68" s="8"/>
      <c r="B68" s="12" t="s">
        <v>15</v>
      </c>
      <c r="C68" s="13" t="s">
        <v>16</v>
      </c>
      <c r="D68" s="16">
        <f>D66/D67*1000</f>
        <v>1430.5</v>
      </c>
      <c r="E68" s="13"/>
      <c r="F68" s="8"/>
      <c r="G68" s="10">
        <f t="shared" si="3"/>
        <v>0</v>
      </c>
      <c r="H68" s="16">
        <f>H66/H67*1000</f>
        <v>1430.5</v>
      </c>
      <c r="I68" s="16"/>
      <c r="J68" s="16" t="e">
        <f t="shared" ref="J68" si="39">J66/J67*1000</f>
        <v>#DIV/0!</v>
      </c>
      <c r="K68" s="10" t="e">
        <f t="shared" si="4"/>
        <v>#DIV/0!</v>
      </c>
      <c r="L68" s="16"/>
      <c r="M68" s="220"/>
      <c r="N68" s="221"/>
      <c r="O68" s="122" t="e">
        <f t="shared" si="0"/>
        <v>#DIV/0!</v>
      </c>
      <c r="P68" s="123" t="e">
        <f t="shared" si="1"/>
        <v>#DIV/0!</v>
      </c>
      <c r="Q68" s="114"/>
      <c r="S68">
        <f t="shared" si="2"/>
        <v>7152.5</v>
      </c>
      <c r="T68" s="44">
        <f>E68+апр!I68</f>
        <v>0</v>
      </c>
      <c r="U68" s="30" t="e">
        <f>F68+апр!J68</f>
        <v>#DIV/0!</v>
      </c>
    </row>
    <row r="69" spans="1:21" ht="17.25" customHeight="1">
      <c r="A69" s="8"/>
      <c r="B69" s="20" t="s">
        <v>60</v>
      </c>
      <c r="C69" s="8" t="s">
        <v>4</v>
      </c>
      <c r="D69" s="10">
        <v>10.007999999999999</v>
      </c>
      <c r="E69" s="8"/>
      <c r="F69" s="54">
        <v>3.1</v>
      </c>
      <c r="G69" s="10">
        <f t="shared" si="3"/>
        <v>3.1</v>
      </c>
      <c r="H69" s="10">
        <f>D69+июль!H69</f>
        <v>80.063999999999979</v>
      </c>
      <c r="I69" s="8"/>
      <c r="J69" s="54">
        <f>F69+июль!J69</f>
        <v>58.190000000000005</v>
      </c>
      <c r="K69" s="10">
        <f t="shared" si="4"/>
        <v>58.190000000000005</v>
      </c>
      <c r="L69" s="16"/>
      <c r="M69" s="233" t="s">
        <v>292</v>
      </c>
      <c r="N69" s="234"/>
      <c r="O69" s="122">
        <f t="shared" si="0"/>
        <v>-21.873999999999974</v>
      </c>
      <c r="P69" s="123">
        <f t="shared" si="1"/>
        <v>-27.320643485211804</v>
      </c>
      <c r="Q69" s="115"/>
      <c r="S69">
        <f t="shared" si="2"/>
        <v>50.039999999999992</v>
      </c>
      <c r="T69" s="44">
        <f>E69+апр!I69</f>
        <v>0</v>
      </c>
      <c r="U69" s="30">
        <f>F69+апр!J69</f>
        <v>44.610000000000007</v>
      </c>
    </row>
    <row r="70" spans="1:21" ht="17.25" customHeight="1">
      <c r="A70" s="8"/>
      <c r="B70" s="12" t="s">
        <v>13</v>
      </c>
      <c r="C70" s="13" t="s">
        <v>61</v>
      </c>
      <c r="D70" s="14">
        <v>18</v>
      </c>
      <c r="E70" s="13"/>
      <c r="F70" s="8"/>
      <c r="G70" s="10">
        <f t="shared" si="3"/>
        <v>0</v>
      </c>
      <c r="H70" s="10">
        <f>D70+июль!H70</f>
        <v>144</v>
      </c>
      <c r="I70" s="8"/>
      <c r="J70" s="54">
        <f>F70+июль!J70</f>
        <v>87.575000000000003</v>
      </c>
      <c r="K70" s="10">
        <f t="shared" si="4"/>
        <v>87.575000000000003</v>
      </c>
      <c r="L70" s="16"/>
      <c r="M70" s="235"/>
      <c r="N70" s="236"/>
      <c r="O70" s="122">
        <f t="shared" si="0"/>
        <v>-56.424999999999997</v>
      </c>
      <c r="P70" s="123">
        <f t="shared" si="1"/>
        <v>-39.184027777777771</v>
      </c>
      <c r="Q70" s="115"/>
      <c r="S70">
        <f t="shared" si="2"/>
        <v>90</v>
      </c>
      <c r="T70" s="44">
        <f>E70+апр!I70</f>
        <v>0</v>
      </c>
      <c r="U70" s="30">
        <f>F70+апр!J70</f>
        <v>66.075000000000003</v>
      </c>
    </row>
    <row r="71" spans="1:21" ht="17.25" customHeight="1">
      <c r="A71" s="8"/>
      <c r="B71" s="12" t="s">
        <v>15</v>
      </c>
      <c r="C71" s="13" t="s">
        <v>16</v>
      </c>
      <c r="D71" s="16">
        <f>D69/D70*1000</f>
        <v>555.99999999999989</v>
      </c>
      <c r="E71" s="16"/>
      <c r="F71" s="16" t="e">
        <f t="shared" ref="F71" si="40">F69/F70*1000</f>
        <v>#DIV/0!</v>
      </c>
      <c r="G71" s="10" t="e">
        <f t="shared" si="3"/>
        <v>#DIV/0!</v>
      </c>
      <c r="H71" s="16">
        <f>H69/H70*1000</f>
        <v>555.99999999999977</v>
      </c>
      <c r="I71" s="16"/>
      <c r="J71" s="16">
        <f t="shared" ref="J71" si="41">J69/J70*1000</f>
        <v>664.45903511276049</v>
      </c>
      <c r="K71" s="10">
        <f t="shared" si="4"/>
        <v>664.45903511276049</v>
      </c>
      <c r="L71" s="16"/>
      <c r="M71" s="220"/>
      <c r="N71" s="221"/>
      <c r="O71" s="122">
        <f t="shared" si="0"/>
        <v>108.45903511276072</v>
      </c>
      <c r="P71" s="123">
        <f t="shared" si="1"/>
        <v>19.50702070373395</v>
      </c>
      <c r="Q71" s="114"/>
      <c r="S71">
        <f t="shared" si="2"/>
        <v>2779.9999999999995</v>
      </c>
      <c r="T71" s="44">
        <f>E71+апр!I71</f>
        <v>0</v>
      </c>
      <c r="U71" s="30" t="e">
        <f>F71+апр!J71</f>
        <v>#DIV/0!</v>
      </c>
    </row>
    <row r="72" spans="1:21" ht="17.25" customHeight="1">
      <c r="A72" s="18" t="s">
        <v>62</v>
      </c>
      <c r="B72" s="20" t="s">
        <v>63</v>
      </c>
      <c r="C72" s="8" t="s">
        <v>4</v>
      </c>
      <c r="D72" s="10">
        <f>D73</f>
        <v>26517.671000000002</v>
      </c>
      <c r="E72" s="8">
        <v>24306.667000000001</v>
      </c>
      <c r="F72" s="10">
        <f>F73</f>
        <v>31027.065000000002</v>
      </c>
      <c r="G72" s="10">
        <f t="shared" si="3"/>
        <v>6720.398000000001</v>
      </c>
      <c r="H72" s="10">
        <f>H73</f>
        <v>212141.36800000002</v>
      </c>
      <c r="I72" s="8">
        <f>E72+июль!I72</f>
        <v>194453.33600000001</v>
      </c>
      <c r="J72" s="54">
        <f>F72+июль!J72</f>
        <v>226502.63099999999</v>
      </c>
      <c r="K72" s="10">
        <f t="shared" si="4"/>
        <v>32049.294999999984</v>
      </c>
      <c r="L72" s="16">
        <f t="shared" si="5"/>
        <v>16.481740894380945</v>
      </c>
      <c r="M72" s="220"/>
      <c r="N72" s="221"/>
      <c r="O72" s="122">
        <f t="shared" si="0"/>
        <v>14361.262999999977</v>
      </c>
      <c r="P72" s="123">
        <f t="shared" si="1"/>
        <v>6.7696664424262494</v>
      </c>
      <c r="Q72" s="114"/>
      <c r="S72">
        <f t="shared" si="2"/>
        <v>132588.35500000001</v>
      </c>
      <c r="T72" s="44">
        <f>E72+апр!I72</f>
        <v>121533.33500000001</v>
      </c>
      <c r="U72" s="30">
        <f>F72+апр!J72</f>
        <v>137239.64300000001</v>
      </c>
    </row>
    <row r="73" spans="1:21" ht="17.25" customHeight="1">
      <c r="A73" s="8"/>
      <c r="B73" s="28" t="s">
        <v>64</v>
      </c>
      <c r="C73" s="8" t="s">
        <v>4</v>
      </c>
      <c r="D73" s="10">
        <f>D75+D78+D81+D84</f>
        <v>26517.671000000002</v>
      </c>
      <c r="E73" s="10">
        <f t="shared" ref="E73:F73" si="42">E75+E78+E81+E84</f>
        <v>0</v>
      </c>
      <c r="F73" s="54">
        <f t="shared" si="42"/>
        <v>31027.065000000002</v>
      </c>
      <c r="G73" s="10">
        <f t="shared" si="3"/>
        <v>31027.065000000002</v>
      </c>
      <c r="H73" s="10">
        <f>H75+H78+H81+H84</f>
        <v>212141.36800000002</v>
      </c>
      <c r="I73" s="10">
        <f t="shared" ref="I73:J74" si="43">I75+I78+I81+I84</f>
        <v>0</v>
      </c>
      <c r="J73" s="10">
        <f t="shared" si="43"/>
        <v>199270.538</v>
      </c>
      <c r="K73" s="10">
        <f t="shared" si="4"/>
        <v>199270.538</v>
      </c>
      <c r="L73" s="16"/>
      <c r="M73" s="220"/>
      <c r="N73" s="221"/>
      <c r="O73" s="122">
        <f t="shared" ref="O73:O87" si="44">J73-H73</f>
        <v>-12870.830000000016</v>
      </c>
      <c r="P73" s="123">
        <f t="shared" ref="P73:P87" si="45">O73/H73*100</f>
        <v>-6.0671005006435212</v>
      </c>
      <c r="Q73" s="114"/>
      <c r="S73">
        <f t="shared" ref="S73:S136" si="46">D73*5</f>
        <v>132588.35500000001</v>
      </c>
      <c r="T73" s="44">
        <f>E73+апр!I73</f>
        <v>0</v>
      </c>
      <c r="U73" s="30">
        <f>F73+апр!J73</f>
        <v>110007.55</v>
      </c>
    </row>
    <row r="74" spans="1:21" ht="17.25" customHeight="1">
      <c r="A74" s="8"/>
      <c r="B74" s="28" t="s">
        <v>65</v>
      </c>
      <c r="C74" s="22" t="s">
        <v>66</v>
      </c>
      <c r="D74" s="14">
        <f t="shared" ref="D74:F74" si="47">D76+D79+D82+D85</f>
        <v>1280770</v>
      </c>
      <c r="E74" s="14">
        <f t="shared" si="47"/>
        <v>0</v>
      </c>
      <c r="F74" s="14">
        <f t="shared" si="47"/>
        <v>0</v>
      </c>
      <c r="G74" s="14">
        <f t="shared" si="3"/>
        <v>0</v>
      </c>
      <c r="H74" s="14">
        <f t="shared" ref="H74" si="48">H76+H79+H82+H85</f>
        <v>10246160</v>
      </c>
      <c r="I74" s="59"/>
      <c r="J74" s="14">
        <f t="shared" si="43"/>
        <v>8181135.54</v>
      </c>
      <c r="K74" s="10">
        <f t="shared" si="4"/>
        <v>8181135.54</v>
      </c>
      <c r="L74" s="16"/>
      <c r="M74" s="220"/>
      <c r="N74" s="221"/>
      <c r="O74" s="122">
        <f t="shared" si="44"/>
        <v>-2065024.46</v>
      </c>
      <c r="P74" s="123">
        <f t="shared" si="45"/>
        <v>-20.154130523044731</v>
      </c>
      <c r="Q74" s="114"/>
      <c r="S74">
        <f t="shared" si="46"/>
        <v>6403850</v>
      </c>
      <c r="T74" s="44">
        <f>E74+апр!I74</f>
        <v>0</v>
      </c>
      <c r="U74" s="30">
        <f>F74+апр!J74</f>
        <v>3853106.19</v>
      </c>
    </row>
    <row r="75" spans="1:21" ht="36" customHeight="1">
      <c r="A75" s="8"/>
      <c r="B75" s="12" t="s">
        <v>67</v>
      </c>
      <c r="C75" s="8" t="s">
        <v>4</v>
      </c>
      <c r="D75" s="10">
        <v>1338.4829999999999</v>
      </c>
      <c r="E75" s="8"/>
      <c r="F75" s="55">
        <v>1408.4159999999999</v>
      </c>
      <c r="G75" s="10">
        <f t="shared" ref="G75:G143" si="49">F75-E75</f>
        <v>1408.4159999999999</v>
      </c>
      <c r="H75" s="10">
        <f>D75+июль!H75</f>
        <v>10707.864</v>
      </c>
      <c r="I75" s="8"/>
      <c r="J75" s="54">
        <f>F75+июль!J75</f>
        <v>14107.822999999999</v>
      </c>
      <c r="K75" s="10">
        <f t="shared" ref="K75:K144" si="50">J75-I75</f>
        <v>14107.822999999999</v>
      </c>
      <c r="L75" s="16"/>
      <c r="M75" s="220"/>
      <c r="N75" s="221"/>
      <c r="O75" s="122">
        <f t="shared" si="44"/>
        <v>3399.9589999999989</v>
      </c>
      <c r="P75" s="123">
        <f t="shared" si="45"/>
        <v>31.751981534319068</v>
      </c>
      <c r="Q75" s="114"/>
      <c r="S75">
        <f t="shared" si="46"/>
        <v>6692.415</v>
      </c>
      <c r="T75" s="44">
        <f>E75+апр!I75</f>
        <v>0</v>
      </c>
      <c r="U75" s="30">
        <f>F75+апр!J75</f>
        <v>8035.59</v>
      </c>
    </row>
    <row r="76" spans="1:21" ht="17.25" customHeight="1">
      <c r="A76" s="8"/>
      <c r="B76" s="12" t="s">
        <v>68</v>
      </c>
      <c r="C76" s="22" t="s">
        <v>66</v>
      </c>
      <c r="D76" s="14">
        <v>68465</v>
      </c>
      <c r="E76" s="22"/>
      <c r="F76" s="59"/>
      <c r="G76" s="14">
        <f t="shared" si="49"/>
        <v>0</v>
      </c>
      <c r="H76" s="10">
        <f>D76+июль!H76</f>
        <v>547720</v>
      </c>
      <c r="I76" s="59"/>
      <c r="J76" s="54">
        <f>F76+июль!J76</f>
        <v>654748.54</v>
      </c>
      <c r="K76" s="10">
        <f t="shared" si="50"/>
        <v>654748.54</v>
      </c>
      <c r="L76" s="16"/>
      <c r="M76" s="220"/>
      <c r="N76" s="221"/>
      <c r="O76" s="122">
        <f t="shared" si="44"/>
        <v>107028.54000000004</v>
      </c>
      <c r="P76" s="123">
        <f t="shared" si="45"/>
        <v>19.540739794055366</v>
      </c>
      <c r="Q76" s="114"/>
      <c r="S76">
        <f t="shared" si="46"/>
        <v>342325</v>
      </c>
      <c r="T76" s="44">
        <f>E76+апр!I76</f>
        <v>0</v>
      </c>
      <c r="U76" s="30">
        <f>F76+апр!J76</f>
        <v>345435.19</v>
      </c>
    </row>
    <row r="77" spans="1:21" ht="17.25" customHeight="1">
      <c r="A77" s="8"/>
      <c r="B77" s="12" t="s">
        <v>15</v>
      </c>
      <c r="C77" s="13" t="s">
        <v>16</v>
      </c>
      <c r="D77" s="16">
        <f>D75/D76*1000</f>
        <v>19.54988680347623</v>
      </c>
      <c r="E77" s="16"/>
      <c r="F77" s="16" t="e">
        <f t="shared" ref="F77" si="51">F75/F76*1000</f>
        <v>#DIV/0!</v>
      </c>
      <c r="G77" s="10" t="e">
        <f t="shared" si="49"/>
        <v>#DIV/0!</v>
      </c>
      <c r="H77" s="16">
        <f>H75/H76*1000</f>
        <v>19.54988680347623</v>
      </c>
      <c r="I77" s="8"/>
      <c r="J77" s="13"/>
      <c r="K77" s="10">
        <f t="shared" si="50"/>
        <v>0</v>
      </c>
      <c r="L77" s="16"/>
      <c r="M77" s="220"/>
      <c r="N77" s="221"/>
      <c r="O77" s="122">
        <f t="shared" si="44"/>
        <v>-19.54988680347623</v>
      </c>
      <c r="P77" s="123">
        <f t="shared" si="45"/>
        <v>-100</v>
      </c>
      <c r="Q77" s="114"/>
      <c r="S77">
        <f t="shared" si="46"/>
        <v>97.749434017381148</v>
      </c>
      <c r="T77" s="44">
        <f>E77+апр!I77</f>
        <v>0</v>
      </c>
      <c r="U77" s="30" t="e">
        <f>F77+апр!J77</f>
        <v>#DIV/0!</v>
      </c>
    </row>
    <row r="78" spans="1:21" ht="55.5" customHeight="1">
      <c r="A78" s="8"/>
      <c r="B78" s="12" t="s">
        <v>69</v>
      </c>
      <c r="C78" s="8" t="s">
        <v>4</v>
      </c>
      <c r="D78" s="10">
        <v>1253.6469999999999</v>
      </c>
      <c r="E78" s="8"/>
      <c r="F78" s="54">
        <v>1060.713</v>
      </c>
      <c r="G78" s="10">
        <f t="shared" si="49"/>
        <v>1060.713</v>
      </c>
      <c r="H78" s="10">
        <f>D78+июль!H78</f>
        <v>10029.175999999999</v>
      </c>
      <c r="I78" s="8"/>
      <c r="J78" s="54">
        <f>F78+июль!J78</f>
        <v>12540.125</v>
      </c>
      <c r="K78" s="10">
        <f t="shared" si="50"/>
        <v>12540.125</v>
      </c>
      <c r="L78" s="16"/>
      <c r="M78" s="220"/>
      <c r="N78" s="221"/>
      <c r="O78" s="122">
        <f t="shared" si="44"/>
        <v>2510.9490000000005</v>
      </c>
      <c r="P78" s="123">
        <f t="shared" si="45"/>
        <v>25.036443671942749</v>
      </c>
      <c r="Q78" s="114"/>
      <c r="S78">
        <f t="shared" si="46"/>
        <v>6268.2349999999997</v>
      </c>
      <c r="T78" s="44">
        <f>E78+апр!I78</f>
        <v>0</v>
      </c>
      <c r="U78" s="30">
        <f>F78+апр!J78</f>
        <v>6114.896999999999</v>
      </c>
    </row>
    <row r="79" spans="1:21" ht="17.25" customHeight="1">
      <c r="A79" s="8"/>
      <c r="B79" s="12" t="s">
        <v>68</v>
      </c>
      <c r="C79" s="22" t="s">
        <v>66</v>
      </c>
      <c r="D79" s="14">
        <v>63799</v>
      </c>
      <c r="E79" s="22"/>
      <c r="F79" s="59"/>
      <c r="G79" s="14">
        <f t="shared" si="49"/>
        <v>0</v>
      </c>
      <c r="H79" s="10">
        <f>D79+июль!H79</f>
        <v>510392</v>
      </c>
      <c r="I79" s="59"/>
      <c r="J79" s="54">
        <f>F79+июль!J79</f>
        <v>581324</v>
      </c>
      <c r="K79" s="10">
        <f t="shared" si="50"/>
        <v>581324</v>
      </c>
      <c r="L79" s="16"/>
      <c r="M79" s="220"/>
      <c r="N79" s="221"/>
      <c r="O79" s="122">
        <f t="shared" si="44"/>
        <v>70932</v>
      </c>
      <c r="P79" s="123">
        <f t="shared" si="45"/>
        <v>13.897553253185787</v>
      </c>
      <c r="Q79" s="114"/>
      <c r="S79">
        <f t="shared" si="46"/>
        <v>318995</v>
      </c>
      <c r="T79" s="44">
        <f>E79+апр!I79</f>
        <v>0</v>
      </c>
      <c r="U79" s="30">
        <f>F79+апр!J79</f>
        <v>255996</v>
      </c>
    </row>
    <row r="80" spans="1:21" ht="17.25" customHeight="1">
      <c r="A80" s="8"/>
      <c r="B80" s="12" t="s">
        <v>15</v>
      </c>
      <c r="C80" s="13" t="s">
        <v>16</v>
      </c>
      <c r="D80" s="16">
        <f>D78/D79*1000</f>
        <v>19.649947491339987</v>
      </c>
      <c r="E80" s="16"/>
      <c r="F80" s="16" t="e">
        <f t="shared" ref="F80" si="52">F78/F79*1000</f>
        <v>#DIV/0!</v>
      </c>
      <c r="G80" s="10" t="e">
        <f t="shared" si="49"/>
        <v>#DIV/0!</v>
      </c>
      <c r="H80" s="16">
        <f>H78/H79*1000</f>
        <v>19.649947491339987</v>
      </c>
      <c r="I80" s="8"/>
      <c r="J80" s="13"/>
      <c r="K80" s="10">
        <f t="shared" si="50"/>
        <v>0</v>
      </c>
      <c r="L80" s="16"/>
      <c r="M80" s="220"/>
      <c r="N80" s="221"/>
      <c r="O80" s="122">
        <f t="shared" si="44"/>
        <v>-19.649947491339987</v>
      </c>
      <c r="P80" s="123">
        <f t="shared" si="45"/>
        <v>-100</v>
      </c>
      <c r="Q80" s="114"/>
      <c r="S80">
        <f t="shared" si="46"/>
        <v>98.249737456699933</v>
      </c>
      <c r="T80" s="44">
        <f>E80+апр!I80</f>
        <v>0</v>
      </c>
      <c r="U80" s="30" t="e">
        <f>F80+апр!J80</f>
        <v>#DIV/0!</v>
      </c>
    </row>
    <row r="81" spans="1:21" ht="36" customHeight="1">
      <c r="A81" s="8"/>
      <c r="B81" s="12" t="s">
        <v>70</v>
      </c>
      <c r="C81" s="8" t="s">
        <v>4</v>
      </c>
      <c r="D81" s="10">
        <v>3651.203</v>
      </c>
      <c r="E81" s="8"/>
      <c r="F81" s="55">
        <v>3721.7489999999998</v>
      </c>
      <c r="G81" s="10">
        <f t="shared" si="49"/>
        <v>3721.7489999999998</v>
      </c>
      <c r="H81" s="10">
        <f>D81+июль!H81</f>
        <v>29209.624000000003</v>
      </c>
      <c r="I81" s="8"/>
      <c r="J81" s="54">
        <f>F81+июль!J81</f>
        <v>25405.175999999999</v>
      </c>
      <c r="K81" s="10">
        <f t="shared" si="50"/>
        <v>25405.175999999999</v>
      </c>
      <c r="L81" s="16"/>
      <c r="M81" s="220"/>
      <c r="N81" s="221"/>
      <c r="O81" s="122">
        <f t="shared" si="44"/>
        <v>-3804.448000000004</v>
      </c>
      <c r="P81" s="123">
        <f t="shared" si="45"/>
        <v>-13.024638728660129</v>
      </c>
      <c r="Q81" s="114"/>
      <c r="S81">
        <f t="shared" si="46"/>
        <v>18256.014999999999</v>
      </c>
      <c r="T81" s="44">
        <f>E81+апр!I81</f>
        <v>0</v>
      </c>
      <c r="U81" s="30">
        <f>F81+апр!J81</f>
        <v>16415.845000000001</v>
      </c>
    </row>
    <row r="82" spans="1:21" ht="17.25" customHeight="1">
      <c r="A82" s="8"/>
      <c r="B82" s="12" t="s">
        <v>68</v>
      </c>
      <c r="C82" s="22" t="s">
        <v>66</v>
      </c>
      <c r="D82" s="14">
        <v>185812</v>
      </c>
      <c r="E82" s="22"/>
      <c r="F82" s="59"/>
      <c r="G82" s="14">
        <v>5230.0569999999998</v>
      </c>
      <c r="H82" s="10">
        <f>D82+июль!H82</f>
        <v>1486496</v>
      </c>
      <c r="I82" s="59"/>
      <c r="J82" s="54">
        <f>F82+июль!J82</f>
        <v>1097895</v>
      </c>
      <c r="K82" s="10">
        <f t="shared" si="50"/>
        <v>1097895</v>
      </c>
      <c r="L82" s="16"/>
      <c r="M82" s="220"/>
      <c r="N82" s="221"/>
      <c r="O82" s="122">
        <f t="shared" si="44"/>
        <v>-388601</v>
      </c>
      <c r="P82" s="123">
        <f t="shared" si="45"/>
        <v>-26.142081781585691</v>
      </c>
      <c r="Q82" s="114"/>
      <c r="S82">
        <f t="shared" si="46"/>
        <v>929060</v>
      </c>
      <c r="T82" s="44">
        <f>E82+апр!I82</f>
        <v>0</v>
      </c>
      <c r="U82" s="30">
        <f>F82+апр!J82</f>
        <v>642739</v>
      </c>
    </row>
    <row r="83" spans="1:21" ht="17.25" customHeight="1">
      <c r="A83" s="8"/>
      <c r="B83" s="12" t="s">
        <v>15</v>
      </c>
      <c r="C83" s="13" t="s">
        <v>16</v>
      </c>
      <c r="D83" s="16">
        <f>D81/D82*1000</f>
        <v>19.64998493100553</v>
      </c>
      <c r="E83" s="16"/>
      <c r="F83" s="16" t="e">
        <f t="shared" ref="F83" si="53">F81/F82*1000</f>
        <v>#DIV/0!</v>
      </c>
      <c r="G83" s="10" t="e">
        <f t="shared" si="49"/>
        <v>#DIV/0!</v>
      </c>
      <c r="H83" s="16">
        <f>H81/H82*1000</f>
        <v>19.649984931005534</v>
      </c>
      <c r="I83" s="8"/>
      <c r="J83" s="13"/>
      <c r="K83" s="10">
        <f t="shared" si="50"/>
        <v>0</v>
      </c>
      <c r="L83" s="16"/>
      <c r="M83" s="220"/>
      <c r="N83" s="221"/>
      <c r="O83" s="122">
        <f t="shared" si="44"/>
        <v>-19.649984931005534</v>
      </c>
      <c r="P83" s="123">
        <f t="shared" si="45"/>
        <v>-100</v>
      </c>
      <c r="Q83" s="114"/>
      <c r="S83">
        <f t="shared" si="46"/>
        <v>98.249924655027655</v>
      </c>
      <c r="T83" s="44">
        <f>E83+апр!I83</f>
        <v>0</v>
      </c>
      <c r="U83" s="30" t="e">
        <f>F83+апр!J83</f>
        <v>#DIV/0!</v>
      </c>
    </row>
    <row r="84" spans="1:21" ht="17.25" customHeight="1">
      <c r="A84" s="8"/>
      <c r="B84" s="12" t="s">
        <v>71</v>
      </c>
      <c r="C84" s="8" t="s">
        <v>4</v>
      </c>
      <c r="D84" s="10">
        <v>20274.338</v>
      </c>
      <c r="E84" s="8"/>
      <c r="F84" s="55">
        <v>24836.187000000002</v>
      </c>
      <c r="G84" s="10">
        <f t="shared" si="49"/>
        <v>24836.187000000002</v>
      </c>
      <c r="H84" s="10">
        <f>D84+июль!H84</f>
        <v>162194.704</v>
      </c>
      <c r="I84" s="8"/>
      <c r="J84" s="54">
        <f>F84+июль!J84</f>
        <v>147217.41400000002</v>
      </c>
      <c r="K84" s="10">
        <f t="shared" si="50"/>
        <v>147217.41400000002</v>
      </c>
      <c r="L84" s="16"/>
      <c r="M84" s="233" t="s">
        <v>297</v>
      </c>
      <c r="N84" s="234"/>
      <c r="O84" s="122">
        <f t="shared" si="44"/>
        <v>-14977.289999999979</v>
      </c>
      <c r="P84" s="123">
        <f t="shared" si="45"/>
        <v>-9.2341424415435771</v>
      </c>
      <c r="Q84" s="115"/>
      <c r="S84">
        <f t="shared" si="46"/>
        <v>101371.69</v>
      </c>
      <c r="T84" s="44">
        <f>E84+апр!I84</f>
        <v>0</v>
      </c>
      <c r="U84" s="30">
        <f>F84+апр!J84</f>
        <v>79441.218000000008</v>
      </c>
    </row>
    <row r="85" spans="1:21" ht="26.25" customHeight="1">
      <c r="A85" s="8"/>
      <c r="B85" s="12" t="s">
        <v>68</v>
      </c>
      <c r="C85" s="22" t="s">
        <v>66</v>
      </c>
      <c r="D85" s="14">
        <v>962694</v>
      </c>
      <c r="E85" s="22"/>
      <c r="F85" s="59"/>
      <c r="G85" s="14">
        <f t="shared" si="49"/>
        <v>0</v>
      </c>
      <c r="H85" s="10">
        <f>D85+июль!H85</f>
        <v>7701552</v>
      </c>
      <c r="I85" s="59"/>
      <c r="J85" s="54">
        <f>F85+июль!J85</f>
        <v>5847168</v>
      </c>
      <c r="K85" s="10">
        <f t="shared" si="50"/>
        <v>5847168</v>
      </c>
      <c r="L85" s="16"/>
      <c r="M85" s="235"/>
      <c r="N85" s="236"/>
      <c r="O85" s="122">
        <f t="shared" si="44"/>
        <v>-1854384</v>
      </c>
      <c r="P85" s="123">
        <f t="shared" si="45"/>
        <v>-24.078055955474948</v>
      </c>
      <c r="Q85" s="115"/>
      <c r="S85">
        <f t="shared" si="46"/>
        <v>4813470</v>
      </c>
      <c r="T85" s="44">
        <f>E85+апр!I85</f>
        <v>0</v>
      </c>
      <c r="U85" s="30">
        <f>F85+апр!J85</f>
        <v>2608936</v>
      </c>
    </row>
    <row r="86" spans="1:21" ht="17.25" customHeight="1">
      <c r="A86" s="8"/>
      <c r="B86" s="12" t="s">
        <v>15</v>
      </c>
      <c r="C86" s="13" t="s">
        <v>16</v>
      </c>
      <c r="D86" s="16">
        <f>D84/D85*1000</f>
        <v>21.06000245145394</v>
      </c>
      <c r="E86" s="16"/>
      <c r="F86" s="16" t="e">
        <f t="shared" ref="F86" si="54">F84/F85*1000</f>
        <v>#DIV/0!</v>
      </c>
      <c r="G86" s="10" t="e">
        <f t="shared" si="49"/>
        <v>#DIV/0!</v>
      </c>
      <c r="H86" s="16">
        <f>H84/H85*1000</f>
        <v>21.06000245145394</v>
      </c>
      <c r="I86" s="8"/>
      <c r="J86" s="13"/>
      <c r="K86" s="10">
        <f t="shared" si="50"/>
        <v>0</v>
      </c>
      <c r="L86" s="16"/>
      <c r="M86" s="220"/>
      <c r="N86" s="221"/>
      <c r="O86" s="122">
        <f t="shared" si="44"/>
        <v>-21.06000245145394</v>
      </c>
      <c r="P86" s="123">
        <f t="shared" si="45"/>
        <v>-100</v>
      </c>
      <c r="Q86" s="114"/>
      <c r="S86">
        <f t="shared" si="46"/>
        <v>105.3000122572697</v>
      </c>
      <c r="T86" s="44">
        <f>E86+апр!I86</f>
        <v>0</v>
      </c>
      <c r="U86" s="30" t="e">
        <f>F86+апр!J86</f>
        <v>#DIV/0!</v>
      </c>
    </row>
    <row r="87" spans="1:21" ht="17.25" customHeight="1">
      <c r="A87" s="157" t="s">
        <v>72</v>
      </c>
      <c r="B87" s="6" t="s">
        <v>73</v>
      </c>
      <c r="C87" s="157" t="s">
        <v>4</v>
      </c>
      <c r="D87" s="7">
        <f>D88+D89+D90</f>
        <v>22015.745000000003</v>
      </c>
      <c r="E87" s="21">
        <f>E88+E89+E90+E91</f>
        <v>20888.748999999996</v>
      </c>
      <c r="F87" s="7">
        <f>F88+F89+F90+F91+F92</f>
        <v>17368.732999999997</v>
      </c>
      <c r="G87" s="16">
        <f t="shared" si="49"/>
        <v>-3520.0159999999996</v>
      </c>
      <c r="H87" s="7">
        <f>H88+H89+H90</f>
        <v>176125.96</v>
      </c>
      <c r="I87" s="7">
        <f>I88+I89+I90+I91</f>
        <v>167109.99199999997</v>
      </c>
      <c r="J87" s="7">
        <f>J88+J89+J90+J91+J92</f>
        <v>158959.38</v>
      </c>
      <c r="K87" s="10">
        <f t="shared" si="50"/>
        <v>-8150.6119999999646</v>
      </c>
      <c r="L87" s="16">
        <f t="shared" ref="L87:L156" si="55">K87/I87*100</f>
        <v>-4.8773935672260498</v>
      </c>
      <c r="M87" s="220"/>
      <c r="N87" s="221"/>
      <c r="O87" s="122">
        <f t="shared" si="44"/>
        <v>-17166.579999999987</v>
      </c>
      <c r="P87" s="123">
        <f t="shared" si="45"/>
        <v>-9.7467630552588549</v>
      </c>
      <c r="Q87" s="114"/>
      <c r="R87" s="30">
        <f>F88+март!J88+F92+F98+март!J92+март!J98</f>
        <v>73897.079000000012</v>
      </c>
      <c r="S87">
        <f t="shared" si="46"/>
        <v>110078.72500000001</v>
      </c>
      <c r="T87" s="44">
        <f>E87+апр!I87</f>
        <v>104443.74499999998</v>
      </c>
      <c r="U87" s="30">
        <f>F87+апр!J87</f>
        <v>97946.41399999999</v>
      </c>
    </row>
    <row r="88" spans="1:21" ht="17.25" customHeight="1">
      <c r="A88" s="8" t="s">
        <v>74</v>
      </c>
      <c r="B88" s="9" t="s">
        <v>75</v>
      </c>
      <c r="C88" s="8" t="s">
        <v>4</v>
      </c>
      <c r="D88" s="10">
        <v>20032.525000000001</v>
      </c>
      <c r="E88" s="8">
        <v>18751.082999999999</v>
      </c>
      <c r="F88" s="54">
        <f>16303.106-F92-F98</f>
        <v>15510.718000000001</v>
      </c>
      <c r="G88" s="16">
        <f t="shared" si="49"/>
        <v>-3240.364999999998</v>
      </c>
      <c r="H88" s="10">
        <f>D88+июль!H88</f>
        <v>160260.19999999998</v>
      </c>
      <c r="I88" s="8">
        <f>E88+июль!I88</f>
        <v>150008.66399999999</v>
      </c>
      <c r="J88" s="54">
        <f>F88+июль!J88</f>
        <v>143639.807</v>
      </c>
      <c r="K88" s="10">
        <f t="shared" si="50"/>
        <v>-6368.8569999999891</v>
      </c>
      <c r="L88" s="16">
        <f>K88/I88*100</f>
        <v>-4.2456594373775562</v>
      </c>
      <c r="M88" s="227"/>
      <c r="N88" s="228"/>
      <c r="O88" s="122">
        <f>J88-H88</f>
        <v>-16620.392999999982</v>
      </c>
      <c r="P88" s="123">
        <f>O88/H88*100</f>
        <v>-10.370879981430189</v>
      </c>
      <c r="Q88" s="116"/>
      <c r="R88" s="30">
        <f>J88+J92+J98</f>
        <v>149350.147</v>
      </c>
      <c r="S88">
        <f t="shared" si="46"/>
        <v>100162.625</v>
      </c>
      <c r="T88" s="44">
        <f>E88+апр!I88</f>
        <v>93755.414999999994</v>
      </c>
      <c r="U88" s="30">
        <f>F88+апр!J88</f>
        <v>88085.590999999986</v>
      </c>
    </row>
    <row r="89" spans="1:21" ht="17.25" customHeight="1">
      <c r="A89" s="8" t="s">
        <v>76</v>
      </c>
      <c r="B89" s="9" t="s">
        <v>77</v>
      </c>
      <c r="C89" s="8" t="s">
        <v>4</v>
      </c>
      <c r="D89" s="10">
        <v>1101.788</v>
      </c>
      <c r="E89" s="8">
        <v>1012.583</v>
      </c>
      <c r="F89" s="54">
        <v>887.72299999999996</v>
      </c>
      <c r="G89" s="10">
        <f t="shared" si="49"/>
        <v>-124.86000000000001</v>
      </c>
      <c r="H89" s="10">
        <f>D89+июль!H89</f>
        <v>8814.3040000000019</v>
      </c>
      <c r="I89" s="8">
        <f>E89+июль!I89</f>
        <v>8100.6639999999989</v>
      </c>
      <c r="J89" s="54">
        <f>F89+июль!J89</f>
        <v>7797.1329999999998</v>
      </c>
      <c r="K89" s="10">
        <f t="shared" si="50"/>
        <v>-303.53099999999904</v>
      </c>
      <c r="L89" s="16">
        <f t="shared" si="55"/>
        <v>-3.746989135705407</v>
      </c>
      <c r="M89" s="227"/>
      <c r="N89" s="228"/>
      <c r="O89" s="122">
        <f t="shared" ref="O89:O149" si="56">J89-H89</f>
        <v>-1017.1710000000021</v>
      </c>
      <c r="P89" s="123">
        <f t="shared" ref="P89:P149" si="57">O89/H89*100</f>
        <v>-11.540003612310192</v>
      </c>
      <c r="Q89" s="116"/>
      <c r="S89">
        <f t="shared" si="46"/>
        <v>5508.9400000000005</v>
      </c>
      <c r="T89" s="44">
        <f>E89+апр!I89</f>
        <v>5062.915</v>
      </c>
      <c r="U89" s="30">
        <f>F89+апр!J89</f>
        <v>4968.9210000000003</v>
      </c>
    </row>
    <row r="90" spans="1:21" ht="17.25" customHeight="1">
      <c r="A90" s="8" t="s">
        <v>308</v>
      </c>
      <c r="B90" s="9" t="s">
        <v>307</v>
      </c>
      <c r="C90" s="8" t="s">
        <v>4</v>
      </c>
      <c r="D90" s="10">
        <v>881.43200000000002</v>
      </c>
      <c r="E90" s="8">
        <v>843.83299999999997</v>
      </c>
      <c r="F90" s="55">
        <v>476.745</v>
      </c>
      <c r="G90" s="10">
        <f t="shared" si="49"/>
        <v>-367.08799999999997</v>
      </c>
      <c r="H90" s="10">
        <f>D90+июль!H90</f>
        <v>7051.4559999999992</v>
      </c>
      <c r="I90" s="8">
        <f>E90+июль!I90</f>
        <v>6750.6639999999989</v>
      </c>
      <c r="J90" s="54">
        <f>F90+июль!J90</f>
        <v>4241.6140000000005</v>
      </c>
      <c r="K90" s="10">
        <f t="shared" si="50"/>
        <v>-2509.0499999999984</v>
      </c>
      <c r="L90" s="16">
        <f t="shared" si="55"/>
        <v>-37.167454934803438</v>
      </c>
      <c r="M90" s="154"/>
      <c r="N90" s="155"/>
      <c r="O90" s="122">
        <f t="shared" si="56"/>
        <v>-2809.8419999999987</v>
      </c>
      <c r="P90" s="123">
        <f t="shared" si="57"/>
        <v>-39.847685357463753</v>
      </c>
      <c r="Q90" s="116"/>
      <c r="S90">
        <f t="shared" si="46"/>
        <v>4407.16</v>
      </c>
      <c r="T90" s="44">
        <f>E90+апр!I90</f>
        <v>4219.165</v>
      </c>
      <c r="U90" s="30">
        <f>F90+апр!J90</f>
        <v>2708.6970000000001</v>
      </c>
    </row>
    <row r="91" spans="1:21" ht="17.25" customHeight="1">
      <c r="A91" s="8" t="s">
        <v>309</v>
      </c>
      <c r="B91" s="9" t="s">
        <v>310</v>
      </c>
      <c r="C91" s="8" t="s">
        <v>4</v>
      </c>
      <c r="D91" s="10"/>
      <c r="E91" s="8">
        <v>281.25</v>
      </c>
      <c r="F91" s="55">
        <v>224.72800000000001</v>
      </c>
      <c r="G91" s="10">
        <f t="shared" si="49"/>
        <v>-56.521999999999991</v>
      </c>
      <c r="H91" s="10">
        <f>D91+июль!H91</f>
        <v>0</v>
      </c>
      <c r="I91" s="8">
        <f>E91+июль!I91</f>
        <v>2250</v>
      </c>
      <c r="J91" s="54">
        <f>F91+июль!J91</f>
        <v>2008.192</v>
      </c>
      <c r="K91" s="10">
        <f t="shared" si="50"/>
        <v>-241.80799999999999</v>
      </c>
      <c r="L91" s="16">
        <f t="shared" si="55"/>
        <v>-10.747022222222222</v>
      </c>
      <c r="M91" s="154"/>
      <c r="N91" s="155"/>
      <c r="O91" s="122">
        <f t="shared" si="56"/>
        <v>2008.192</v>
      </c>
      <c r="P91" s="123" t="e">
        <f t="shared" si="57"/>
        <v>#DIV/0!</v>
      </c>
      <c r="Q91" s="116"/>
      <c r="S91">
        <f t="shared" si="46"/>
        <v>0</v>
      </c>
      <c r="T91" s="44">
        <f>E91+апр!I91</f>
        <v>1406.25</v>
      </c>
      <c r="U91" s="30">
        <f>F91+апр!J91</f>
        <v>1283.4740000000002</v>
      </c>
    </row>
    <row r="92" spans="1:21" ht="17.25" customHeight="1">
      <c r="A92" s="8"/>
      <c r="B92" s="9" t="s">
        <v>316</v>
      </c>
      <c r="C92" s="8" t="s">
        <v>4</v>
      </c>
      <c r="D92" s="10"/>
      <c r="E92" s="8"/>
      <c r="F92" s="54">
        <v>268.81900000000002</v>
      </c>
      <c r="G92" s="10"/>
      <c r="H92" s="10">
        <f>D92+июль!H92</f>
        <v>0</v>
      </c>
      <c r="I92" s="8">
        <f>E92+июль!I92</f>
        <v>0</v>
      </c>
      <c r="J92" s="54">
        <f>F92+июль!J92</f>
        <v>1272.634</v>
      </c>
      <c r="K92" s="10"/>
      <c r="L92" s="16"/>
      <c r="M92" s="154"/>
      <c r="N92" s="155"/>
      <c r="O92" s="122">
        <f t="shared" si="56"/>
        <v>1272.634</v>
      </c>
      <c r="P92" s="123" t="e">
        <f t="shared" si="57"/>
        <v>#DIV/0!</v>
      </c>
      <c r="Q92" s="116"/>
      <c r="S92">
        <f t="shared" si="46"/>
        <v>0</v>
      </c>
      <c r="T92" s="44">
        <f>E92+апр!I92</f>
        <v>0</v>
      </c>
      <c r="U92" s="30">
        <f>F92+апр!J92</f>
        <v>899.73099999999999</v>
      </c>
    </row>
    <row r="93" spans="1:21" ht="17.25" customHeight="1">
      <c r="A93" s="157" t="s">
        <v>78</v>
      </c>
      <c r="B93" s="6" t="s">
        <v>79</v>
      </c>
      <c r="C93" s="157" t="s">
        <v>4</v>
      </c>
      <c r="D93" s="7">
        <f>D94</f>
        <v>12258.85</v>
      </c>
      <c r="E93" s="21">
        <f>E94</f>
        <v>12219.75</v>
      </c>
      <c r="F93" s="7">
        <f>F94</f>
        <v>15389.018</v>
      </c>
      <c r="G93" s="10">
        <f t="shared" si="49"/>
        <v>3169.268</v>
      </c>
      <c r="H93" s="7">
        <f>H94</f>
        <v>98070.800000000017</v>
      </c>
      <c r="I93" s="21">
        <f>I94</f>
        <v>97758</v>
      </c>
      <c r="J93" s="7">
        <f>J94</f>
        <v>104267.53599999999</v>
      </c>
      <c r="K93" s="10">
        <f t="shared" si="50"/>
        <v>6509.5359999999928</v>
      </c>
      <c r="L93" s="16">
        <f t="shared" si="55"/>
        <v>6.6588268990773054</v>
      </c>
      <c r="M93" s="220"/>
      <c r="N93" s="221"/>
      <c r="O93" s="122">
        <f t="shared" si="56"/>
        <v>6196.7359999999753</v>
      </c>
      <c r="P93" s="123">
        <f t="shared" si="57"/>
        <v>6.3186351085134156</v>
      </c>
      <c r="Q93" s="114"/>
      <c r="S93">
        <f t="shared" si="46"/>
        <v>61294.25</v>
      </c>
      <c r="T93" s="44">
        <f>E93+апр!I93</f>
        <v>61098.75</v>
      </c>
      <c r="U93" s="30">
        <f>F93+апр!J93</f>
        <v>59762.705999999991</v>
      </c>
    </row>
    <row r="94" spans="1:21" ht="17.25" customHeight="1">
      <c r="A94" s="23" t="s">
        <v>80</v>
      </c>
      <c r="B94" s="9" t="s">
        <v>81</v>
      </c>
      <c r="C94" s="8" t="s">
        <v>4</v>
      </c>
      <c r="D94" s="10">
        <v>12258.85</v>
      </c>
      <c r="E94" s="8">
        <v>12219.75</v>
      </c>
      <c r="F94" s="55">
        <v>15389.018</v>
      </c>
      <c r="G94" s="10">
        <f t="shared" si="49"/>
        <v>3169.268</v>
      </c>
      <c r="H94" s="10">
        <f>D94+июль!H94</f>
        <v>98070.800000000017</v>
      </c>
      <c r="I94" s="8">
        <f>E94+июль!I94</f>
        <v>97758</v>
      </c>
      <c r="J94" s="54">
        <f>F94+июль!J94</f>
        <v>104267.53599999999</v>
      </c>
      <c r="K94" s="10">
        <f t="shared" si="50"/>
        <v>6509.5359999999928</v>
      </c>
      <c r="L94" s="16">
        <f t="shared" si="55"/>
        <v>6.6588268990773054</v>
      </c>
      <c r="M94" s="220"/>
      <c r="N94" s="221"/>
      <c r="O94" s="122">
        <f t="shared" si="56"/>
        <v>6196.7359999999753</v>
      </c>
      <c r="P94" s="123">
        <f t="shared" si="57"/>
        <v>6.3186351085134156</v>
      </c>
      <c r="Q94" s="114"/>
      <c r="S94">
        <f t="shared" si="46"/>
        <v>61294.25</v>
      </c>
      <c r="T94" s="44">
        <f>E94+апр!I94</f>
        <v>61098.75</v>
      </c>
      <c r="U94" s="30">
        <f>F94+апр!J94</f>
        <v>59762.705999999991</v>
      </c>
    </row>
    <row r="95" spans="1:21" ht="17.25" customHeight="1">
      <c r="A95" s="157" t="s">
        <v>82</v>
      </c>
      <c r="B95" s="6" t="s">
        <v>83</v>
      </c>
      <c r="C95" s="157" t="s">
        <v>4</v>
      </c>
      <c r="D95" s="7">
        <f t="shared" ref="D95:J95" si="58">D96</f>
        <v>588.22500000000002</v>
      </c>
      <c r="E95" s="7">
        <f t="shared" si="58"/>
        <v>291.66699999999997</v>
      </c>
      <c r="F95" s="7">
        <f>F96</f>
        <v>97.275999999999996</v>
      </c>
      <c r="G95" s="10">
        <f t="shared" si="49"/>
        <v>-194.39099999999996</v>
      </c>
      <c r="H95" s="7">
        <f t="shared" si="58"/>
        <v>4705.8</v>
      </c>
      <c r="I95" s="7">
        <f t="shared" si="58"/>
        <v>2333.3359999999998</v>
      </c>
      <c r="J95" s="7">
        <f t="shared" si="58"/>
        <v>225.91300000000001</v>
      </c>
      <c r="K95" s="10">
        <f t="shared" si="50"/>
        <v>-2107.4229999999998</v>
      </c>
      <c r="L95" s="16">
        <f t="shared" si="55"/>
        <v>-90.318025350828165</v>
      </c>
      <c r="M95" s="220"/>
      <c r="N95" s="221"/>
      <c r="O95" s="122">
        <f t="shared" si="56"/>
        <v>-4479.8870000000006</v>
      </c>
      <c r="P95" s="123">
        <f t="shared" si="57"/>
        <v>-95.199264737132907</v>
      </c>
      <c r="Q95" s="114"/>
      <c r="S95">
        <f t="shared" si="46"/>
        <v>2941.125</v>
      </c>
      <c r="T95" s="44">
        <f>E95+апр!I95</f>
        <v>1458.3349999999998</v>
      </c>
      <c r="U95" s="30">
        <f>F95+апр!J95</f>
        <v>98.045000000000002</v>
      </c>
    </row>
    <row r="96" spans="1:21" ht="54" customHeight="1">
      <c r="A96" s="8" t="s">
        <v>84</v>
      </c>
      <c r="B96" s="9" t="s">
        <v>85</v>
      </c>
      <c r="C96" s="8" t="s">
        <v>4</v>
      </c>
      <c r="D96" s="10">
        <v>588.22500000000002</v>
      </c>
      <c r="E96" s="8">
        <v>291.66699999999997</v>
      </c>
      <c r="F96" s="55">
        <v>97.275999999999996</v>
      </c>
      <c r="G96" s="10">
        <f t="shared" si="49"/>
        <v>-194.39099999999996</v>
      </c>
      <c r="H96" s="10">
        <f>D96+июль!H96</f>
        <v>4705.8</v>
      </c>
      <c r="I96" s="8">
        <f>E96+июль!I96</f>
        <v>2333.3359999999998</v>
      </c>
      <c r="J96" s="54">
        <f>F96+июль!J96</f>
        <v>225.91300000000001</v>
      </c>
      <c r="K96" s="10">
        <f t="shared" si="50"/>
        <v>-2107.4229999999998</v>
      </c>
      <c r="L96" s="16">
        <f t="shared" si="55"/>
        <v>-90.318025350828165</v>
      </c>
      <c r="M96" s="227" t="s">
        <v>299</v>
      </c>
      <c r="N96" s="228"/>
      <c r="O96" s="122">
        <f t="shared" si="56"/>
        <v>-4479.8870000000006</v>
      </c>
      <c r="P96" s="123">
        <f t="shared" si="57"/>
        <v>-95.199264737132907</v>
      </c>
      <c r="Q96" s="116"/>
      <c r="S96">
        <f t="shared" si="46"/>
        <v>2941.125</v>
      </c>
      <c r="T96" s="44">
        <f>E96+апр!I96</f>
        <v>1458.3349999999998</v>
      </c>
      <c r="U96" s="30">
        <f>F96+апр!J96</f>
        <v>98.045000000000002</v>
      </c>
    </row>
    <row r="97" spans="1:21" ht="17.25" customHeight="1">
      <c r="A97" s="157" t="s">
        <v>86</v>
      </c>
      <c r="B97" s="6" t="s">
        <v>87</v>
      </c>
      <c r="C97" s="157" t="s">
        <v>4</v>
      </c>
      <c r="D97" s="7">
        <f t="shared" ref="D97" si="59">D98+D99+D103+D104+D109+D110</f>
        <v>2575.1889999999999</v>
      </c>
      <c r="E97" s="7">
        <f>E98+E99+E103+E104+E109+E110</f>
        <v>2562.3330000000001</v>
      </c>
      <c r="F97" s="7">
        <f>F98+F99+F103+F104+F109+F110</f>
        <v>2373.884</v>
      </c>
      <c r="G97" s="10">
        <f t="shared" si="49"/>
        <v>-188.44900000000007</v>
      </c>
      <c r="H97" s="7">
        <f t="shared" ref="H97" si="60">H98+H99+H103+H104+H109+H110</f>
        <v>20601.511999999995</v>
      </c>
      <c r="I97" s="7">
        <f>I98+I99+I103+I104+I109+I110</f>
        <v>20497.330999999998</v>
      </c>
      <c r="J97" s="7">
        <f>J98+J99+J103+J104+J109+J110</f>
        <v>19968.701499999999</v>
      </c>
      <c r="K97" s="10">
        <f t="shared" si="50"/>
        <v>-528.6294999999991</v>
      </c>
      <c r="L97" s="16">
        <f t="shared" si="55"/>
        <v>-2.5790162631417677</v>
      </c>
      <c r="M97" s="220"/>
      <c r="N97" s="221"/>
      <c r="O97" s="122">
        <f t="shared" si="56"/>
        <v>-632.81049999999595</v>
      </c>
      <c r="P97" s="123">
        <f t="shared" si="57"/>
        <v>-3.0716701764413998</v>
      </c>
      <c r="Q97" s="114"/>
      <c r="S97">
        <f t="shared" si="46"/>
        <v>12875.945</v>
      </c>
      <c r="T97" s="44">
        <f>E97+апр!I97</f>
        <v>12811.665000000001</v>
      </c>
      <c r="U97" s="30">
        <f>F97+апр!J97</f>
        <v>12266.1765</v>
      </c>
    </row>
    <row r="98" spans="1:21" ht="17.25" customHeight="1">
      <c r="A98" s="8" t="s">
        <v>88</v>
      </c>
      <c r="B98" s="9" t="s">
        <v>89</v>
      </c>
      <c r="C98" s="8" t="s">
        <v>4</v>
      </c>
      <c r="D98" s="10">
        <v>626.41700000000003</v>
      </c>
      <c r="E98" s="8">
        <v>543.08299999999997</v>
      </c>
      <c r="F98" s="54">
        <v>523.56899999999996</v>
      </c>
      <c r="G98" s="10">
        <f t="shared" si="49"/>
        <v>-19.51400000000001</v>
      </c>
      <c r="H98" s="10">
        <f>D98+июль!H98</f>
        <v>5011.3360000000002</v>
      </c>
      <c r="I98" s="8">
        <f>E98+июль!I98</f>
        <v>4344.6639999999998</v>
      </c>
      <c r="J98" s="54">
        <f>F98+июль!J98</f>
        <v>4437.7060000000001</v>
      </c>
      <c r="K98" s="10">
        <f t="shared" si="50"/>
        <v>93.042000000000371</v>
      </c>
      <c r="L98" s="16">
        <f t="shared" si="55"/>
        <v>2.1415234872017805</v>
      </c>
      <c r="M98" s="227" t="s">
        <v>298</v>
      </c>
      <c r="N98" s="228"/>
      <c r="O98" s="122">
        <f t="shared" si="56"/>
        <v>-573.63000000000011</v>
      </c>
      <c r="P98" s="123">
        <f t="shared" si="57"/>
        <v>-11.446648159293252</v>
      </c>
      <c r="Q98" s="116"/>
      <c r="S98">
        <f t="shared" si="46"/>
        <v>3132.085</v>
      </c>
      <c r="T98" s="44">
        <f>E98+апр!I98</f>
        <v>2715.415</v>
      </c>
      <c r="U98" s="30">
        <f>F98+апр!J98</f>
        <v>2813.971</v>
      </c>
    </row>
    <row r="99" spans="1:21" ht="53.25" customHeight="1">
      <c r="A99" s="8" t="s">
        <v>90</v>
      </c>
      <c r="B99" s="20" t="s">
        <v>242</v>
      </c>
      <c r="C99" s="8" t="s">
        <v>4</v>
      </c>
      <c r="D99" s="10">
        <f t="shared" ref="D99:F99" si="61">D100+D101+D102</f>
        <v>107.703</v>
      </c>
      <c r="E99" s="8">
        <v>107.667</v>
      </c>
      <c r="F99" s="10">
        <f t="shared" si="61"/>
        <v>0</v>
      </c>
      <c r="G99" s="10">
        <f t="shared" si="49"/>
        <v>-107.667</v>
      </c>
      <c r="H99" s="10">
        <f t="shared" ref="H99" si="62">H100+H101+H102</f>
        <v>861.62400000000002</v>
      </c>
      <c r="I99" s="8">
        <f>E99+июль!I99</f>
        <v>861.33600000000013</v>
      </c>
      <c r="J99" s="10">
        <f t="shared" ref="J99" si="63">J100+J101+J102</f>
        <v>0</v>
      </c>
      <c r="K99" s="10">
        <f t="shared" si="50"/>
        <v>-861.33600000000013</v>
      </c>
      <c r="L99" s="16">
        <f t="shared" si="55"/>
        <v>-100</v>
      </c>
      <c r="M99" s="220"/>
      <c r="N99" s="221"/>
      <c r="O99" s="122">
        <f t="shared" si="56"/>
        <v>-861.62400000000002</v>
      </c>
      <c r="P99" s="123">
        <f t="shared" si="57"/>
        <v>-100</v>
      </c>
      <c r="Q99" s="114"/>
      <c r="S99">
        <f t="shared" si="46"/>
        <v>538.51499999999999</v>
      </c>
      <c r="T99" s="44">
        <f>E99+апр!I99</f>
        <v>538.33500000000004</v>
      </c>
      <c r="U99" s="30">
        <f>F99+апр!J99</f>
        <v>0</v>
      </c>
    </row>
    <row r="100" spans="1:21" ht="17.25" customHeight="1">
      <c r="A100" s="8" t="s">
        <v>91</v>
      </c>
      <c r="B100" s="20" t="s">
        <v>92</v>
      </c>
      <c r="C100" s="8" t="s">
        <v>4</v>
      </c>
      <c r="D100" s="10">
        <v>45.448999999999998</v>
      </c>
      <c r="E100" s="8"/>
      <c r="F100" s="55"/>
      <c r="G100" s="10">
        <f t="shared" si="49"/>
        <v>0</v>
      </c>
      <c r="H100" s="10">
        <f>D100+июль!H100</f>
        <v>363.59200000000004</v>
      </c>
      <c r="I100" s="8"/>
      <c r="J100" s="54">
        <f>F100+июль!J100</f>
        <v>0</v>
      </c>
      <c r="K100" s="10">
        <f t="shared" si="50"/>
        <v>0</v>
      </c>
      <c r="L100" s="16"/>
      <c r="M100" s="220"/>
      <c r="N100" s="221"/>
      <c r="O100" s="122">
        <f t="shared" si="56"/>
        <v>-363.59200000000004</v>
      </c>
      <c r="P100" s="123">
        <f t="shared" si="57"/>
        <v>-100</v>
      </c>
      <c r="Q100" s="114"/>
      <c r="S100">
        <f t="shared" si="46"/>
        <v>227.245</v>
      </c>
      <c r="T100" s="44">
        <f>E100+апр!I100</f>
        <v>0</v>
      </c>
      <c r="U100" s="30">
        <f>F100+апр!J100</f>
        <v>0</v>
      </c>
    </row>
    <row r="101" spans="1:21" ht="33.75" customHeight="1">
      <c r="A101" s="8" t="s">
        <v>93</v>
      </c>
      <c r="B101" s="20" t="s">
        <v>94</v>
      </c>
      <c r="C101" s="8" t="s">
        <v>4</v>
      </c>
      <c r="D101" s="10">
        <v>62.253999999999998</v>
      </c>
      <c r="E101" s="8"/>
      <c r="F101" s="55"/>
      <c r="G101" s="10">
        <f t="shared" si="49"/>
        <v>0</v>
      </c>
      <c r="H101" s="10">
        <f>D101+июль!H101</f>
        <v>498.03200000000004</v>
      </c>
      <c r="I101" s="8"/>
      <c r="J101" s="54">
        <f>F101+июль!J101</f>
        <v>0</v>
      </c>
      <c r="K101" s="10">
        <f t="shared" si="50"/>
        <v>0</v>
      </c>
      <c r="L101" s="16"/>
      <c r="M101" s="220"/>
      <c r="N101" s="221"/>
      <c r="O101" s="122">
        <f t="shared" si="56"/>
        <v>-498.03200000000004</v>
      </c>
      <c r="P101" s="123">
        <f t="shared" si="57"/>
        <v>-100</v>
      </c>
      <c r="Q101" s="114"/>
      <c r="S101">
        <f t="shared" si="46"/>
        <v>311.27</v>
      </c>
      <c r="T101" s="44">
        <f>E101+апр!I101</f>
        <v>0</v>
      </c>
      <c r="U101" s="30">
        <f>F101+апр!J101</f>
        <v>0</v>
      </c>
    </row>
    <row r="102" spans="1:21" ht="33.75" customHeight="1">
      <c r="A102" s="8" t="s">
        <v>95</v>
      </c>
      <c r="B102" s="20" t="s">
        <v>96</v>
      </c>
      <c r="C102" s="8" t="s">
        <v>4</v>
      </c>
      <c r="D102" s="10"/>
      <c r="E102" s="8"/>
      <c r="F102" s="55"/>
      <c r="G102" s="10">
        <f t="shared" si="49"/>
        <v>0</v>
      </c>
      <c r="H102" s="10">
        <f>D102+июль!H102</f>
        <v>0</v>
      </c>
      <c r="I102" s="8"/>
      <c r="J102" s="54">
        <f>F102+июль!J102</f>
        <v>0</v>
      </c>
      <c r="K102" s="10">
        <f t="shared" si="50"/>
        <v>0</v>
      </c>
      <c r="L102" s="16"/>
      <c r="M102" s="220"/>
      <c r="N102" s="221"/>
      <c r="O102" s="122">
        <f t="shared" si="56"/>
        <v>0</v>
      </c>
      <c r="P102" s="123" t="e">
        <f t="shared" si="57"/>
        <v>#DIV/0!</v>
      </c>
      <c r="Q102" s="114"/>
      <c r="S102">
        <f t="shared" si="46"/>
        <v>0</v>
      </c>
      <c r="T102" s="44">
        <f>E102+апр!I102</f>
        <v>0</v>
      </c>
      <c r="U102" s="30">
        <f>F102+апр!J102</f>
        <v>0</v>
      </c>
    </row>
    <row r="103" spans="1:21" ht="17.25" customHeight="1">
      <c r="A103" s="8" t="s">
        <v>97</v>
      </c>
      <c r="B103" s="20" t="s">
        <v>98</v>
      </c>
      <c r="C103" s="8" t="s">
        <v>4</v>
      </c>
      <c r="D103" s="10">
        <v>1.3089999999999999</v>
      </c>
      <c r="E103" s="8">
        <v>1.333</v>
      </c>
      <c r="F103" s="55"/>
      <c r="G103" s="10">
        <f t="shared" si="49"/>
        <v>-1.333</v>
      </c>
      <c r="H103" s="10">
        <f>D103+июль!H103</f>
        <v>10.472</v>
      </c>
      <c r="I103" s="8">
        <f>E103+июль!I103</f>
        <v>9.3309999999999995</v>
      </c>
      <c r="J103" s="54">
        <f>F103+июль!J103</f>
        <v>0</v>
      </c>
      <c r="K103" s="10">
        <f t="shared" si="50"/>
        <v>-9.3309999999999995</v>
      </c>
      <c r="L103" s="16">
        <f t="shared" si="55"/>
        <v>-100</v>
      </c>
      <c r="M103" s="220"/>
      <c r="N103" s="221"/>
      <c r="O103" s="122">
        <f t="shared" si="56"/>
        <v>-10.472</v>
      </c>
      <c r="P103" s="123">
        <f t="shared" si="57"/>
        <v>-100</v>
      </c>
      <c r="Q103" s="114"/>
      <c r="S103">
        <f t="shared" si="46"/>
        <v>6.5449999999999999</v>
      </c>
      <c r="T103" s="44">
        <f>E103+апр!I103</f>
        <v>6.665</v>
      </c>
      <c r="U103" s="30">
        <f>F103+апр!J103</f>
        <v>0</v>
      </c>
    </row>
    <row r="104" spans="1:21" ht="36" customHeight="1">
      <c r="A104" s="18" t="s">
        <v>105</v>
      </c>
      <c r="B104" s="20" t="s">
        <v>99</v>
      </c>
      <c r="C104" s="8" t="s">
        <v>4</v>
      </c>
      <c r="D104" s="10">
        <f t="shared" ref="D104:F104" si="64">D105+D106+D107+D108</f>
        <v>186.095</v>
      </c>
      <c r="E104" s="10">
        <f t="shared" si="64"/>
        <v>152.833</v>
      </c>
      <c r="F104" s="10">
        <f t="shared" si="64"/>
        <v>14.718</v>
      </c>
      <c r="G104" s="10">
        <f t="shared" si="49"/>
        <v>-138.11500000000001</v>
      </c>
      <c r="H104" s="10">
        <f t="shared" ref="H104:J104" si="65">H105+H106+H107+H108</f>
        <v>1488.7600000000002</v>
      </c>
      <c r="I104" s="8">
        <f>E104+июль!I104</f>
        <v>1222.664</v>
      </c>
      <c r="J104" s="10">
        <f t="shared" si="65"/>
        <v>2206.5199999999995</v>
      </c>
      <c r="K104" s="10">
        <f t="shared" si="50"/>
        <v>983.85599999999954</v>
      </c>
      <c r="L104" s="16">
        <f t="shared" si="55"/>
        <v>80.468223485765463</v>
      </c>
      <c r="M104" s="220"/>
      <c r="N104" s="221"/>
      <c r="O104" s="122">
        <f t="shared" si="56"/>
        <v>717.75999999999931</v>
      </c>
      <c r="P104" s="123">
        <f t="shared" si="57"/>
        <v>48.211934764501947</v>
      </c>
      <c r="Q104" s="114"/>
      <c r="S104">
        <f t="shared" si="46"/>
        <v>930.47500000000002</v>
      </c>
      <c r="T104" s="44">
        <f>E104+апр!I104</f>
        <v>764.16499999999996</v>
      </c>
      <c r="U104" s="30">
        <f>F104+апр!J104</f>
        <v>813.702</v>
      </c>
    </row>
    <row r="105" spans="1:21" ht="17.25" customHeight="1">
      <c r="A105" s="24" t="s">
        <v>243</v>
      </c>
      <c r="B105" s="20" t="s">
        <v>100</v>
      </c>
      <c r="C105" s="8" t="s">
        <v>4</v>
      </c>
      <c r="D105" s="10">
        <v>43.570999999999998</v>
      </c>
      <c r="E105" s="8">
        <v>43.582999999999998</v>
      </c>
      <c r="F105" s="8"/>
      <c r="G105" s="10">
        <f t="shared" si="49"/>
        <v>-43.582999999999998</v>
      </c>
      <c r="H105" s="10">
        <f>D105+июль!H105</f>
        <v>348.56799999999998</v>
      </c>
      <c r="I105" s="8">
        <f>E105+июль!I105</f>
        <v>348.66399999999999</v>
      </c>
      <c r="J105" s="54">
        <f>F105+июль!J105</f>
        <v>887.529</v>
      </c>
      <c r="K105" s="10">
        <f t="shared" si="50"/>
        <v>538.86500000000001</v>
      </c>
      <c r="L105" s="16">
        <f t="shared" si="55"/>
        <v>154.55137324186038</v>
      </c>
      <c r="M105" s="220"/>
      <c r="N105" s="221"/>
      <c r="O105" s="122">
        <f t="shared" si="56"/>
        <v>538.96100000000001</v>
      </c>
      <c r="P105" s="123">
        <f t="shared" si="57"/>
        <v>154.62147988340871</v>
      </c>
      <c r="Q105" s="114"/>
      <c r="S105">
        <f t="shared" si="46"/>
        <v>217.85499999999999</v>
      </c>
      <c r="T105" s="44">
        <f>E105+апр!I105</f>
        <v>217.91499999999999</v>
      </c>
      <c r="U105" s="30">
        <f>F105+апр!J105</f>
        <v>221.631</v>
      </c>
    </row>
    <row r="106" spans="1:21" ht="28.5" customHeight="1">
      <c r="A106" s="8" t="s">
        <v>244</v>
      </c>
      <c r="B106" s="20" t="s">
        <v>101</v>
      </c>
      <c r="C106" s="8" t="s">
        <v>4</v>
      </c>
      <c r="D106" s="10">
        <v>116.209</v>
      </c>
      <c r="E106" s="8">
        <v>82.917000000000002</v>
      </c>
      <c r="F106" s="55">
        <v>14.718</v>
      </c>
      <c r="G106" s="10">
        <f t="shared" si="49"/>
        <v>-68.198999999999998</v>
      </c>
      <c r="H106" s="10">
        <f>D106+июль!H106</f>
        <v>929.67200000000025</v>
      </c>
      <c r="I106" s="8">
        <f>E106+июль!I106</f>
        <v>663.33600000000013</v>
      </c>
      <c r="J106" s="54">
        <f>F106+июль!J106</f>
        <v>797.2399999999999</v>
      </c>
      <c r="K106" s="10">
        <f t="shared" si="50"/>
        <v>133.90399999999977</v>
      </c>
      <c r="L106" s="16">
        <f t="shared" si="55"/>
        <v>20.186451511752679</v>
      </c>
      <c r="M106" s="222" t="s">
        <v>287</v>
      </c>
      <c r="N106" s="223"/>
      <c r="O106" s="122">
        <f t="shared" si="56"/>
        <v>-132.43200000000036</v>
      </c>
      <c r="P106" s="123">
        <f t="shared" si="57"/>
        <v>-14.245024051493466</v>
      </c>
      <c r="Q106" s="115"/>
      <c r="S106">
        <f t="shared" si="46"/>
        <v>581.04500000000007</v>
      </c>
      <c r="T106" s="44">
        <f>E106+апр!I106</f>
        <v>414.58500000000004</v>
      </c>
      <c r="U106" s="30">
        <f>F106+апр!J106</f>
        <v>468.31800000000004</v>
      </c>
    </row>
    <row r="107" spans="1:21" ht="37.5" customHeight="1">
      <c r="A107" s="8" t="s">
        <v>245</v>
      </c>
      <c r="B107" s="20" t="s">
        <v>102</v>
      </c>
      <c r="C107" s="8" t="s">
        <v>4</v>
      </c>
      <c r="D107" s="10">
        <v>26.315000000000001</v>
      </c>
      <c r="E107" s="8">
        <v>26.332999999999998</v>
      </c>
      <c r="F107" s="54"/>
      <c r="G107" s="10">
        <f t="shared" si="49"/>
        <v>-26.332999999999998</v>
      </c>
      <c r="H107" s="10">
        <f>D107+июль!H107</f>
        <v>210.52</v>
      </c>
      <c r="I107" s="8">
        <f>E107+июль!I107</f>
        <v>210.66399999999999</v>
      </c>
      <c r="J107" s="54">
        <f>F107+июль!J107</f>
        <v>521.75099999999998</v>
      </c>
      <c r="K107" s="10">
        <f t="shared" si="50"/>
        <v>311.08699999999999</v>
      </c>
      <c r="L107" s="16">
        <f t="shared" si="55"/>
        <v>147.66974898416436</v>
      </c>
      <c r="M107" s="220"/>
      <c r="N107" s="221"/>
      <c r="O107" s="122">
        <f t="shared" si="56"/>
        <v>311.23099999999999</v>
      </c>
      <c r="P107" s="123">
        <f t="shared" si="57"/>
        <v>147.83916017480522</v>
      </c>
      <c r="Q107" s="114"/>
      <c r="S107">
        <f t="shared" si="46"/>
        <v>131.57500000000002</v>
      </c>
      <c r="T107" s="44">
        <f>E107+апр!I107</f>
        <v>131.66499999999999</v>
      </c>
      <c r="U107" s="30">
        <f>F107+апр!J107</f>
        <v>123.75300000000001</v>
      </c>
    </row>
    <row r="108" spans="1:21" ht="35.25" hidden="1" customHeight="1">
      <c r="A108" s="8" t="s">
        <v>103</v>
      </c>
      <c r="B108" s="20" t="s">
        <v>104</v>
      </c>
      <c r="C108" s="8" t="s">
        <v>4</v>
      </c>
      <c r="D108" s="10">
        <v>0</v>
      </c>
      <c r="E108" s="8"/>
      <c r="F108" s="8"/>
      <c r="G108" s="10">
        <f t="shared" si="49"/>
        <v>0</v>
      </c>
      <c r="H108" s="10">
        <f>D108+апр!H108</f>
        <v>0</v>
      </c>
      <c r="I108" s="8">
        <f>E108+март!I108</f>
        <v>0</v>
      </c>
      <c r="J108" s="10">
        <f>F108+апр!J108</f>
        <v>0</v>
      </c>
      <c r="K108" s="10">
        <f t="shared" si="50"/>
        <v>0</v>
      </c>
      <c r="L108" s="16" t="e">
        <f t="shared" si="55"/>
        <v>#DIV/0!</v>
      </c>
      <c r="M108" s="220"/>
      <c r="N108" s="221"/>
      <c r="O108" s="122">
        <f t="shared" si="56"/>
        <v>0</v>
      </c>
      <c r="P108" s="123" t="e">
        <f t="shared" si="57"/>
        <v>#DIV/0!</v>
      </c>
      <c r="Q108" s="114"/>
      <c r="S108">
        <f t="shared" si="46"/>
        <v>0</v>
      </c>
      <c r="T108" s="44">
        <f>E108+апр!I108</f>
        <v>0</v>
      </c>
      <c r="U108" s="30">
        <f>F108+апр!J108</f>
        <v>0</v>
      </c>
    </row>
    <row r="109" spans="1:21" ht="17.25" customHeight="1">
      <c r="A109" s="18" t="s">
        <v>246</v>
      </c>
      <c r="B109" s="20" t="s">
        <v>106</v>
      </c>
      <c r="C109" s="8" t="s">
        <v>4</v>
      </c>
      <c r="D109" s="10">
        <v>91.483999999999995</v>
      </c>
      <c r="E109" s="8">
        <v>58.167000000000002</v>
      </c>
      <c r="F109" s="55">
        <f>15.207+19.439+0.256+3.741</f>
        <v>38.643000000000001</v>
      </c>
      <c r="G109" s="10">
        <f t="shared" si="49"/>
        <v>-19.524000000000001</v>
      </c>
      <c r="H109" s="10">
        <f>D109+июль!H109</f>
        <v>731.87200000000007</v>
      </c>
      <c r="I109" s="8">
        <f>E109+июль!I109</f>
        <v>465.33600000000013</v>
      </c>
      <c r="J109" s="54">
        <f>F109+июль!J109</f>
        <v>314.08399999999995</v>
      </c>
      <c r="K109" s="10">
        <f t="shared" si="50"/>
        <v>-151.25200000000018</v>
      </c>
      <c r="L109" s="16">
        <f t="shared" si="55"/>
        <v>-32.503825192978866</v>
      </c>
      <c r="M109" s="220"/>
      <c r="N109" s="221"/>
      <c r="O109" s="122">
        <f t="shared" si="56"/>
        <v>-417.78800000000012</v>
      </c>
      <c r="P109" s="123">
        <f t="shared" si="57"/>
        <v>-57.084845437453559</v>
      </c>
      <c r="Q109" s="114"/>
      <c r="S109">
        <f t="shared" si="46"/>
        <v>457.41999999999996</v>
      </c>
      <c r="T109" s="44">
        <f>E109+апр!I109</f>
        <v>290.83500000000004</v>
      </c>
      <c r="U109" s="30">
        <f>F109+апр!J109</f>
        <v>185.48</v>
      </c>
    </row>
    <row r="110" spans="1:21" ht="17.25" customHeight="1">
      <c r="A110" s="17" t="s">
        <v>247</v>
      </c>
      <c r="B110" s="6" t="s">
        <v>107</v>
      </c>
      <c r="C110" s="8" t="s">
        <v>4</v>
      </c>
      <c r="D110" s="10">
        <f>D111+D115+D119+D123+D124+D125+D126+D127+D128+D129+D130+D131+D132+D133+D134+D135</f>
        <v>1562.1809999999998</v>
      </c>
      <c r="E110" s="10">
        <f>E111+E115+E119+E123+E124+E125+E126+E127+E128+E129+E130+E131+E132+E133+E134+E135+E136+E137</f>
        <v>1699.25</v>
      </c>
      <c r="F110" s="10">
        <f>F111+F115+F119+F123+F124+F125+F126+F127+F128+F129+F130+F131+F132+F133+F134+F135+F136+F137+F138+F139+F140+F141+F142</f>
        <v>1796.954</v>
      </c>
      <c r="G110" s="10">
        <f t="shared" si="49"/>
        <v>97.703999999999951</v>
      </c>
      <c r="H110" s="10">
        <f>H111+H115+H119+H123+H124+H125+H126+H127+H128+H129+H130+H131+H132+H133+H134+H135</f>
        <v>12497.447999999997</v>
      </c>
      <c r="I110" s="10">
        <f>I111+I115+I119+I123+I124+I125+I126+I127+I128+I129+I130+I131+I132+I133+I134+I135+I136+I137</f>
        <v>13594</v>
      </c>
      <c r="J110" s="10">
        <f>J111+J115+J119+J123+J124+J125+J126+J127+J128+J129+J130+J131+J132+J133+J134+J135+J136+J137</f>
        <v>13010.3915</v>
      </c>
      <c r="K110" s="10">
        <f t="shared" si="50"/>
        <v>-583.60850000000028</v>
      </c>
      <c r="L110" s="16">
        <f t="shared" si="55"/>
        <v>-4.2931329998528787</v>
      </c>
      <c r="M110" s="226"/>
      <c r="N110" s="221"/>
      <c r="O110" s="122">
        <f t="shared" si="56"/>
        <v>512.94350000000304</v>
      </c>
      <c r="P110" s="123">
        <f t="shared" si="57"/>
        <v>4.1043859514358703</v>
      </c>
      <c r="Q110" s="114"/>
      <c r="S110">
        <f t="shared" si="46"/>
        <v>7810.9049999999988</v>
      </c>
      <c r="T110" s="44">
        <f>E110+апр!I110</f>
        <v>8496.25</v>
      </c>
      <c r="U110" s="30">
        <f>F110+апр!J110</f>
        <v>8453.0235000000011</v>
      </c>
    </row>
    <row r="111" spans="1:21" ht="18" customHeight="1">
      <c r="A111" s="18" t="s">
        <v>248</v>
      </c>
      <c r="B111" s="9" t="s">
        <v>108</v>
      </c>
      <c r="C111" s="8" t="s">
        <v>4</v>
      </c>
      <c r="D111" s="10">
        <v>431.38099999999997</v>
      </c>
      <c r="E111" s="8">
        <v>431.41699999999997</v>
      </c>
      <c r="F111" s="10">
        <f>F112+F113+F114</f>
        <v>235.69</v>
      </c>
      <c r="G111" s="10">
        <f t="shared" si="49"/>
        <v>-195.72699999999998</v>
      </c>
      <c r="H111" s="10">
        <f>D111+июль!H111</f>
        <v>3451.0479999999993</v>
      </c>
      <c r="I111" s="8">
        <f>E111+июль!I111</f>
        <v>3451.3359999999998</v>
      </c>
      <c r="J111" s="10">
        <f>J112+J113+J114</f>
        <v>2761.0699999999997</v>
      </c>
      <c r="K111" s="10">
        <f t="shared" si="50"/>
        <v>-690.26600000000008</v>
      </c>
      <c r="L111" s="16">
        <f t="shared" si="55"/>
        <v>-19.999965230855533</v>
      </c>
      <c r="M111" s="231"/>
      <c r="N111" s="232"/>
      <c r="O111" s="122">
        <f t="shared" si="56"/>
        <v>-689.97799999999961</v>
      </c>
      <c r="P111" s="123">
        <f t="shared" si="57"/>
        <v>-19.993288995111044</v>
      </c>
      <c r="Q111" s="117"/>
      <c r="S111">
        <f t="shared" si="46"/>
        <v>2156.9049999999997</v>
      </c>
      <c r="T111" s="44">
        <f>E111+апр!I111</f>
        <v>2157.085</v>
      </c>
      <c r="U111" s="30">
        <f>F111+апр!J111</f>
        <v>1424.3209999999999</v>
      </c>
    </row>
    <row r="112" spans="1:21" ht="17.25" customHeight="1">
      <c r="A112" s="18"/>
      <c r="B112" s="9" t="s">
        <v>221</v>
      </c>
      <c r="C112" s="8" t="s">
        <v>4</v>
      </c>
      <c r="D112" s="10"/>
      <c r="E112" s="8"/>
      <c r="F112" s="54">
        <v>235.69</v>
      </c>
      <c r="G112" s="10">
        <f t="shared" si="49"/>
        <v>235.69</v>
      </c>
      <c r="H112" s="10">
        <f>D112+июль!H112</f>
        <v>0</v>
      </c>
      <c r="I112" s="8"/>
      <c r="J112" s="54">
        <f>F112+июль!J112</f>
        <v>2507.2489999999998</v>
      </c>
      <c r="K112" s="10">
        <f t="shared" si="50"/>
        <v>2507.2489999999998</v>
      </c>
      <c r="L112" s="16"/>
      <c r="M112" s="220"/>
      <c r="N112" s="221"/>
      <c r="O112" s="122">
        <f t="shared" si="56"/>
        <v>2507.2489999999998</v>
      </c>
      <c r="P112" s="123" t="e">
        <f t="shared" si="57"/>
        <v>#DIV/0!</v>
      </c>
      <c r="Q112" s="114"/>
      <c r="S112">
        <f t="shared" si="46"/>
        <v>0</v>
      </c>
      <c r="T112" s="44">
        <f>E112+апр!I112</f>
        <v>0</v>
      </c>
      <c r="U112" s="30">
        <f>F112+апр!J112</f>
        <v>1202.5</v>
      </c>
    </row>
    <row r="113" spans="1:21" ht="36" customHeight="1">
      <c r="A113" s="18"/>
      <c r="B113" s="9" t="s">
        <v>222</v>
      </c>
      <c r="C113" s="8" t="s">
        <v>4</v>
      </c>
      <c r="D113" s="10"/>
      <c r="E113" s="8"/>
      <c r="F113" s="10"/>
      <c r="G113" s="10">
        <f t="shared" si="49"/>
        <v>0</v>
      </c>
      <c r="H113" s="10">
        <f>D113+июль!H113</f>
        <v>0</v>
      </c>
      <c r="I113" s="8"/>
      <c r="J113" s="54">
        <f>F113+июль!J113</f>
        <v>253.821</v>
      </c>
      <c r="K113" s="10">
        <f t="shared" si="50"/>
        <v>253.821</v>
      </c>
      <c r="L113" s="16"/>
      <c r="M113" s="220"/>
      <c r="N113" s="221"/>
      <c r="O113" s="122">
        <f t="shared" si="56"/>
        <v>253.821</v>
      </c>
      <c r="P113" s="123" t="e">
        <f t="shared" si="57"/>
        <v>#DIV/0!</v>
      </c>
      <c r="Q113" s="114"/>
      <c r="S113">
        <f t="shared" si="46"/>
        <v>0</v>
      </c>
      <c r="T113" s="44">
        <f>E113+апр!I113</f>
        <v>0</v>
      </c>
      <c r="U113" s="30">
        <f>F113+апр!J113</f>
        <v>221.821</v>
      </c>
    </row>
    <row r="114" spans="1:21" ht="17.25" customHeight="1">
      <c r="A114" s="18"/>
      <c r="B114" s="9" t="s">
        <v>223</v>
      </c>
      <c r="C114" s="8" t="s">
        <v>4</v>
      </c>
      <c r="D114" s="10"/>
      <c r="E114" s="8"/>
      <c r="F114" s="8"/>
      <c r="G114" s="10">
        <f t="shared" si="49"/>
        <v>0</v>
      </c>
      <c r="H114" s="10">
        <f>D114+июль!H114</f>
        <v>0</v>
      </c>
      <c r="I114" s="8"/>
      <c r="J114" s="54">
        <f>F114+июль!J114</f>
        <v>0</v>
      </c>
      <c r="K114" s="10">
        <f t="shared" si="50"/>
        <v>0</v>
      </c>
      <c r="L114" s="16"/>
      <c r="M114" s="220"/>
      <c r="N114" s="221"/>
      <c r="O114" s="122">
        <f t="shared" si="56"/>
        <v>0</v>
      </c>
      <c r="P114" s="123" t="e">
        <f t="shared" si="57"/>
        <v>#DIV/0!</v>
      </c>
      <c r="Q114" s="114"/>
      <c r="S114">
        <f t="shared" si="46"/>
        <v>0</v>
      </c>
      <c r="T114" s="44">
        <f>E114+апр!I114</f>
        <v>0</v>
      </c>
      <c r="U114" s="30">
        <f>F114+апр!J114</f>
        <v>0</v>
      </c>
    </row>
    <row r="115" spans="1:21" ht="17.25" customHeight="1">
      <c r="A115" s="18" t="s">
        <v>249</v>
      </c>
      <c r="B115" s="9" t="s">
        <v>109</v>
      </c>
      <c r="C115" s="8" t="s">
        <v>4</v>
      </c>
      <c r="D115" s="10">
        <f t="shared" ref="D115" si="66">D116+D117+D118</f>
        <v>121.34400000000001</v>
      </c>
      <c r="E115" s="10">
        <v>121.333</v>
      </c>
      <c r="F115" s="10"/>
      <c r="G115" s="10">
        <f t="shared" si="49"/>
        <v>-121.333</v>
      </c>
      <c r="H115" s="10">
        <f t="shared" ref="H115" si="67">H116+H117+H118</f>
        <v>970.75199999999995</v>
      </c>
      <c r="I115" s="8">
        <f>E115+июль!I115</f>
        <v>970.66399999999987</v>
      </c>
      <c r="J115" s="10">
        <f t="shared" ref="J115" si="68">J116+J117+J118</f>
        <v>0</v>
      </c>
      <c r="K115" s="10">
        <f t="shared" si="50"/>
        <v>-970.66399999999987</v>
      </c>
      <c r="L115" s="16">
        <f t="shared" si="55"/>
        <v>-100</v>
      </c>
      <c r="M115" s="220"/>
      <c r="N115" s="221"/>
      <c r="O115" s="122">
        <f t="shared" si="56"/>
        <v>-970.75199999999995</v>
      </c>
      <c r="P115" s="123">
        <f t="shared" si="57"/>
        <v>-100</v>
      </c>
      <c r="Q115" s="114"/>
      <c r="S115">
        <f t="shared" si="46"/>
        <v>606.72</v>
      </c>
      <c r="T115" s="44">
        <f>E115+апр!I115</f>
        <v>606.66499999999996</v>
      </c>
      <c r="U115" s="30">
        <f>F115+апр!J115</f>
        <v>0</v>
      </c>
    </row>
    <row r="116" spans="1:21" ht="36" customHeight="1">
      <c r="A116" s="8" t="s">
        <v>250</v>
      </c>
      <c r="B116" s="9" t="s">
        <v>240</v>
      </c>
      <c r="C116" s="8" t="s">
        <v>4</v>
      </c>
      <c r="D116" s="10">
        <v>86.322000000000003</v>
      </c>
      <c r="E116" s="8"/>
      <c r="F116" s="8"/>
      <c r="G116" s="10">
        <f t="shared" si="49"/>
        <v>0</v>
      </c>
      <c r="H116" s="10">
        <f>D116+июль!H116</f>
        <v>690.57600000000002</v>
      </c>
      <c r="I116" s="8"/>
      <c r="J116" s="54">
        <f>F116+июль!J116</f>
        <v>0</v>
      </c>
      <c r="K116" s="10">
        <f t="shared" si="50"/>
        <v>0</v>
      </c>
      <c r="L116" s="16"/>
      <c r="M116" s="220"/>
      <c r="N116" s="221"/>
      <c r="O116" s="122">
        <f t="shared" si="56"/>
        <v>-690.57600000000002</v>
      </c>
      <c r="P116" s="123">
        <f t="shared" si="57"/>
        <v>-100</v>
      </c>
      <c r="Q116" s="114"/>
      <c r="S116">
        <f t="shared" si="46"/>
        <v>431.61</v>
      </c>
      <c r="T116" s="44">
        <f>E116+апр!I116</f>
        <v>0</v>
      </c>
      <c r="U116" s="30">
        <f>F116+апр!J116</f>
        <v>0</v>
      </c>
    </row>
    <row r="117" spans="1:21" ht="42.75" customHeight="1">
      <c r="A117" s="8" t="s">
        <v>251</v>
      </c>
      <c r="B117" s="9" t="s">
        <v>241</v>
      </c>
      <c r="C117" s="8" t="s">
        <v>4</v>
      </c>
      <c r="D117" s="10">
        <v>31.76</v>
      </c>
      <c r="E117" s="8"/>
      <c r="F117" s="8"/>
      <c r="G117" s="10">
        <f t="shared" si="49"/>
        <v>0</v>
      </c>
      <c r="H117" s="10">
        <f>D117+июль!H117</f>
        <v>254.07999999999998</v>
      </c>
      <c r="I117" s="8"/>
      <c r="J117" s="54">
        <f>F117+июль!J117</f>
        <v>0</v>
      </c>
      <c r="K117" s="10">
        <f t="shared" si="50"/>
        <v>0</v>
      </c>
      <c r="L117" s="16"/>
      <c r="M117" s="220"/>
      <c r="N117" s="221"/>
      <c r="O117" s="122">
        <f t="shared" si="56"/>
        <v>-254.07999999999998</v>
      </c>
      <c r="P117" s="123">
        <f t="shared" si="57"/>
        <v>-100</v>
      </c>
      <c r="Q117" s="114"/>
      <c r="S117">
        <f t="shared" si="46"/>
        <v>158.80000000000001</v>
      </c>
      <c r="T117" s="44">
        <f>E117+апр!I117</f>
        <v>0</v>
      </c>
      <c r="U117" s="30">
        <f>F117+апр!J117</f>
        <v>0</v>
      </c>
    </row>
    <row r="118" spans="1:21" ht="17.25" customHeight="1">
      <c r="A118" s="8" t="s">
        <v>252</v>
      </c>
      <c r="B118" s="9" t="s">
        <v>110</v>
      </c>
      <c r="C118" s="8" t="s">
        <v>4</v>
      </c>
      <c r="D118" s="10">
        <v>3.262</v>
      </c>
      <c r="E118" s="8"/>
      <c r="F118" s="8"/>
      <c r="G118" s="10">
        <f t="shared" si="49"/>
        <v>0</v>
      </c>
      <c r="H118" s="10">
        <f>D118+июль!H118</f>
        <v>26.096</v>
      </c>
      <c r="I118" s="8"/>
      <c r="J118" s="54">
        <f>F118+июль!J118</f>
        <v>0</v>
      </c>
      <c r="K118" s="10">
        <f t="shared" si="50"/>
        <v>0</v>
      </c>
      <c r="L118" s="16"/>
      <c r="M118" s="220"/>
      <c r="N118" s="221"/>
      <c r="O118" s="122">
        <f t="shared" si="56"/>
        <v>-26.096</v>
      </c>
      <c r="P118" s="123">
        <f t="shared" si="57"/>
        <v>-100</v>
      </c>
      <c r="Q118" s="114"/>
      <c r="S118">
        <f t="shared" si="46"/>
        <v>16.309999999999999</v>
      </c>
      <c r="T118" s="44">
        <f>E118+апр!I118</f>
        <v>0</v>
      </c>
      <c r="U118" s="30">
        <f>F118+апр!J118</f>
        <v>0</v>
      </c>
    </row>
    <row r="119" spans="1:21" ht="34.5" customHeight="1">
      <c r="A119" s="18" t="s">
        <v>253</v>
      </c>
      <c r="B119" s="9" t="s">
        <v>111</v>
      </c>
      <c r="C119" s="8" t="s">
        <v>4</v>
      </c>
      <c r="D119" s="10">
        <f>D120</f>
        <v>380.84899999999999</v>
      </c>
      <c r="E119" s="10">
        <v>356.5</v>
      </c>
      <c r="F119" s="10">
        <f>F120</f>
        <v>463.45499999999998</v>
      </c>
      <c r="G119" s="10">
        <f t="shared" si="49"/>
        <v>106.95499999999998</v>
      </c>
      <c r="H119" s="10">
        <f>H120</f>
        <v>3046.7920000000004</v>
      </c>
      <c r="I119" s="8">
        <f>E119+июль!I119</f>
        <v>2852</v>
      </c>
      <c r="J119" s="10">
        <f>J120</f>
        <v>2983.8865000000001</v>
      </c>
      <c r="K119" s="10">
        <f t="shared" si="50"/>
        <v>131.88650000000007</v>
      </c>
      <c r="L119" s="16">
        <f t="shared" si="55"/>
        <v>4.6243513323983194</v>
      </c>
      <c r="M119" s="220"/>
      <c r="N119" s="221"/>
      <c r="O119" s="122">
        <f t="shared" si="56"/>
        <v>-62.905500000000302</v>
      </c>
      <c r="P119" s="123">
        <f t="shared" si="57"/>
        <v>-2.0646470123329816</v>
      </c>
      <c r="Q119" s="114"/>
      <c r="S119">
        <f t="shared" si="46"/>
        <v>1904.2449999999999</v>
      </c>
      <c r="T119" s="44">
        <f>E119+апр!I119</f>
        <v>1782.5</v>
      </c>
      <c r="U119" s="30">
        <f>F119+апр!J119</f>
        <v>1790.2964999999999</v>
      </c>
    </row>
    <row r="120" spans="1:21" ht="17.25" customHeight="1">
      <c r="A120" s="8"/>
      <c r="B120" s="25" t="s">
        <v>112</v>
      </c>
      <c r="C120" s="8" t="s">
        <v>113</v>
      </c>
      <c r="D120" s="10">
        <v>380.84899999999999</v>
      </c>
      <c r="E120" s="10">
        <f>E122*E121</f>
        <v>356.5</v>
      </c>
      <c r="F120" s="54">
        <f>F122*F121</f>
        <v>463.45499999999998</v>
      </c>
      <c r="G120" s="10">
        <f t="shared" si="49"/>
        <v>106.95499999999998</v>
      </c>
      <c r="H120" s="10">
        <f>D120+июль!H120</f>
        <v>3046.7920000000004</v>
      </c>
      <c r="I120" s="8">
        <f>E120+июль!I120</f>
        <v>2852</v>
      </c>
      <c r="J120" s="54">
        <f>F120+июль!J120</f>
        <v>2983.8865000000001</v>
      </c>
      <c r="K120" s="10">
        <f t="shared" si="50"/>
        <v>131.88650000000007</v>
      </c>
      <c r="L120" s="16">
        <f t="shared" si="55"/>
        <v>4.6243513323983194</v>
      </c>
      <c r="M120" s="220"/>
      <c r="N120" s="221"/>
      <c r="O120" s="122">
        <f t="shared" si="56"/>
        <v>-62.905500000000302</v>
      </c>
      <c r="P120" s="123">
        <f t="shared" si="57"/>
        <v>-2.0646470123329816</v>
      </c>
      <c r="Q120" s="114"/>
      <c r="S120">
        <f t="shared" si="46"/>
        <v>1904.2449999999999</v>
      </c>
      <c r="T120" s="44">
        <f>E120+апр!I120</f>
        <v>1782.5</v>
      </c>
      <c r="U120" s="30">
        <f>F120+апр!J120</f>
        <v>1790.2964999999999</v>
      </c>
    </row>
    <row r="121" spans="1:21" ht="17.25" customHeight="1">
      <c r="A121" s="8"/>
      <c r="B121" s="12" t="s">
        <v>13</v>
      </c>
      <c r="C121" s="13" t="s">
        <v>114</v>
      </c>
      <c r="D121" s="10">
        <v>761.69899999999996</v>
      </c>
      <c r="E121" s="16">
        <f>E119/E122</f>
        <v>713</v>
      </c>
      <c r="F121" s="10">
        <f>F216</f>
        <v>926.91</v>
      </c>
      <c r="G121" s="10">
        <f t="shared" si="49"/>
        <v>213.90999999999997</v>
      </c>
      <c r="H121" s="10">
        <f>D121+июль!H121</f>
        <v>6093.5919999999987</v>
      </c>
      <c r="I121" s="8">
        <f>E121+июль!I121</f>
        <v>5704</v>
      </c>
      <c r="J121" s="54">
        <f>F121+июль!J121</f>
        <v>5967.7719999999999</v>
      </c>
      <c r="K121" s="10">
        <f t="shared" si="50"/>
        <v>263.77199999999993</v>
      </c>
      <c r="L121" s="16">
        <f t="shared" si="55"/>
        <v>4.624333800841514</v>
      </c>
      <c r="M121" s="220"/>
      <c r="N121" s="221"/>
      <c r="O121" s="122">
        <f t="shared" si="56"/>
        <v>-125.8199999999988</v>
      </c>
      <c r="P121" s="123">
        <f t="shared" si="57"/>
        <v>-2.0647919978889107</v>
      </c>
      <c r="Q121" s="114"/>
      <c r="S121">
        <f t="shared" si="46"/>
        <v>3808.4949999999999</v>
      </c>
      <c r="T121" s="44">
        <f>E121+апр!I121</f>
        <v>3565</v>
      </c>
      <c r="U121" s="30">
        <f>F121+апр!J121</f>
        <v>3580.5920000000001</v>
      </c>
    </row>
    <row r="122" spans="1:21" ht="17.25" customHeight="1">
      <c r="A122" s="8"/>
      <c r="B122" s="12" t="s">
        <v>15</v>
      </c>
      <c r="C122" s="13" t="s">
        <v>16</v>
      </c>
      <c r="D122" s="11">
        <v>0.5</v>
      </c>
      <c r="E122" s="11">
        <v>0.5</v>
      </c>
      <c r="F122" s="11">
        <v>0.5</v>
      </c>
      <c r="G122" s="10">
        <f t="shared" si="49"/>
        <v>0</v>
      </c>
      <c r="H122" s="10">
        <f>D122+июль!H122</f>
        <v>2</v>
      </c>
      <c r="I122" s="11">
        <v>0.5</v>
      </c>
      <c r="J122" s="11">
        <v>0.5</v>
      </c>
      <c r="K122" s="10">
        <f t="shared" si="50"/>
        <v>0</v>
      </c>
      <c r="L122" s="16">
        <f t="shared" si="55"/>
        <v>0</v>
      </c>
      <c r="M122" s="220"/>
      <c r="N122" s="221"/>
      <c r="O122" s="122">
        <f t="shared" si="56"/>
        <v>-1.5</v>
      </c>
      <c r="P122" s="123">
        <f t="shared" si="57"/>
        <v>-75</v>
      </c>
      <c r="Q122" s="114"/>
      <c r="S122">
        <f t="shared" si="46"/>
        <v>2.5</v>
      </c>
      <c r="T122" s="44">
        <f>E122+апр!I122</f>
        <v>1</v>
      </c>
      <c r="U122" s="30">
        <f>F122+апр!J122</f>
        <v>1</v>
      </c>
    </row>
    <row r="123" spans="1:21" ht="17.25" customHeight="1">
      <c r="A123" s="18" t="s">
        <v>254</v>
      </c>
      <c r="B123" s="9" t="s">
        <v>115</v>
      </c>
      <c r="C123" s="8" t="s">
        <v>4</v>
      </c>
      <c r="D123" s="10">
        <v>1.1120000000000001</v>
      </c>
      <c r="E123" s="8">
        <v>1.083</v>
      </c>
      <c r="F123" s="8"/>
      <c r="G123" s="10">
        <f t="shared" si="49"/>
        <v>-1.083</v>
      </c>
      <c r="H123" s="10">
        <f>D123+июль!H123</f>
        <v>8.8960000000000008</v>
      </c>
      <c r="I123" s="8">
        <f>E123+июль!I123</f>
        <v>8.6639999999999997</v>
      </c>
      <c r="J123" s="54">
        <f>F123+июль!J123</f>
        <v>0</v>
      </c>
      <c r="K123" s="10">
        <f t="shared" si="50"/>
        <v>-8.6639999999999997</v>
      </c>
      <c r="L123" s="16">
        <f t="shared" si="55"/>
        <v>-100</v>
      </c>
      <c r="M123" s="220"/>
      <c r="N123" s="221"/>
      <c r="O123" s="122">
        <f t="shared" si="56"/>
        <v>-8.8960000000000008</v>
      </c>
      <c r="P123" s="123">
        <f t="shared" si="57"/>
        <v>-100</v>
      </c>
      <c r="Q123" s="114"/>
      <c r="S123">
        <f t="shared" si="46"/>
        <v>5.5600000000000005</v>
      </c>
      <c r="T123" s="44">
        <f>E123+апр!I123</f>
        <v>5.415</v>
      </c>
      <c r="U123" s="30">
        <f>F123+апр!J123</f>
        <v>0</v>
      </c>
    </row>
    <row r="124" spans="1:21" ht="36" customHeight="1">
      <c r="A124" s="18" t="s">
        <v>255</v>
      </c>
      <c r="B124" s="9" t="s">
        <v>116</v>
      </c>
      <c r="C124" s="8" t="s">
        <v>4</v>
      </c>
      <c r="D124" s="10">
        <v>53.17</v>
      </c>
      <c r="E124" s="8">
        <v>52.167000000000002</v>
      </c>
      <c r="F124" s="54">
        <v>45</v>
      </c>
      <c r="G124" s="10">
        <f t="shared" si="49"/>
        <v>-7.1670000000000016</v>
      </c>
      <c r="H124" s="10">
        <f>D124+июль!H124</f>
        <v>425.36000000000007</v>
      </c>
      <c r="I124" s="8">
        <f>E124+июль!I124</f>
        <v>417.33600000000013</v>
      </c>
      <c r="J124" s="54">
        <f>F124+июль!J124</f>
        <v>360</v>
      </c>
      <c r="K124" s="10">
        <f t="shared" si="50"/>
        <v>-57.336000000000126</v>
      </c>
      <c r="L124" s="16">
        <f t="shared" si="55"/>
        <v>-13.738570360572803</v>
      </c>
      <c r="M124" s="220"/>
      <c r="N124" s="221"/>
      <c r="O124" s="122">
        <f t="shared" si="56"/>
        <v>-65.36000000000007</v>
      </c>
      <c r="P124" s="123">
        <f t="shared" si="57"/>
        <v>-15.365807786345698</v>
      </c>
      <c r="Q124" s="114"/>
      <c r="S124">
        <f t="shared" si="46"/>
        <v>265.85000000000002</v>
      </c>
      <c r="T124" s="44">
        <f>E124+апр!I124</f>
        <v>260.83500000000004</v>
      </c>
      <c r="U124" s="30">
        <f>F124+апр!J124</f>
        <v>225</v>
      </c>
    </row>
    <row r="125" spans="1:21" ht="41.25" customHeight="1">
      <c r="A125" s="18" t="s">
        <v>256</v>
      </c>
      <c r="B125" s="9" t="s">
        <v>117</v>
      </c>
      <c r="C125" s="8" t="s">
        <v>4</v>
      </c>
      <c r="D125" s="10">
        <v>411.35</v>
      </c>
      <c r="E125" s="8">
        <v>411.33300000000003</v>
      </c>
      <c r="F125" s="55">
        <f>308.491+218.118</f>
        <v>526.60899999999992</v>
      </c>
      <c r="G125" s="10">
        <f t="shared" si="49"/>
        <v>115.2759999999999</v>
      </c>
      <c r="H125" s="10">
        <f>D125+июль!H125</f>
        <v>3290.7999999999997</v>
      </c>
      <c r="I125" s="8">
        <f>E125+июль!I125</f>
        <v>3290.6640000000002</v>
      </c>
      <c r="J125" s="54">
        <f>F125+июль!J125</f>
        <v>4078.8220000000001</v>
      </c>
      <c r="K125" s="10">
        <f t="shared" si="50"/>
        <v>788.1579999999999</v>
      </c>
      <c r="L125" s="16">
        <f t="shared" si="55"/>
        <v>23.951336265264391</v>
      </c>
      <c r="M125" s="222" t="s">
        <v>294</v>
      </c>
      <c r="N125" s="223"/>
      <c r="O125" s="122">
        <f t="shared" si="56"/>
        <v>788.02200000000039</v>
      </c>
      <c r="P125" s="123">
        <f t="shared" si="57"/>
        <v>23.94621368664156</v>
      </c>
      <c r="Q125" s="115"/>
      <c r="S125">
        <f t="shared" si="46"/>
        <v>2056.75</v>
      </c>
      <c r="T125" s="44">
        <f>E125+апр!I125</f>
        <v>2056.665</v>
      </c>
      <c r="U125" s="30">
        <f>F125+апр!J125</f>
        <v>2753.9850000000001</v>
      </c>
    </row>
    <row r="126" spans="1:21" ht="55.5" customHeight="1">
      <c r="A126" s="18" t="s">
        <v>257</v>
      </c>
      <c r="B126" s="9" t="s">
        <v>118</v>
      </c>
      <c r="C126" s="8" t="s">
        <v>4</v>
      </c>
      <c r="D126" s="10">
        <v>48.704000000000001</v>
      </c>
      <c r="E126" s="8">
        <v>48.667000000000002</v>
      </c>
      <c r="F126" s="54">
        <v>106.2</v>
      </c>
      <c r="G126" s="10">
        <f t="shared" si="49"/>
        <v>57.533000000000001</v>
      </c>
      <c r="H126" s="10">
        <f>D126+июль!H126</f>
        <v>389.63200000000001</v>
      </c>
      <c r="I126" s="8">
        <f>E126+июль!I126</f>
        <v>389.33600000000001</v>
      </c>
      <c r="J126" s="54">
        <f>F126+июль!J126</f>
        <v>424.74</v>
      </c>
      <c r="K126" s="10">
        <f t="shared" si="50"/>
        <v>35.403999999999996</v>
      </c>
      <c r="L126" s="16">
        <f t="shared" si="55"/>
        <v>9.09343086691187</v>
      </c>
      <c r="M126" s="220"/>
      <c r="N126" s="221"/>
      <c r="O126" s="122">
        <f t="shared" si="56"/>
        <v>35.108000000000004</v>
      </c>
      <c r="P126" s="123">
        <f t="shared" si="57"/>
        <v>9.0105535479632071</v>
      </c>
      <c r="Q126" s="114"/>
      <c r="S126">
        <f t="shared" si="46"/>
        <v>243.52</v>
      </c>
      <c r="T126" s="44">
        <f>E126+апр!I126</f>
        <v>243.33500000000001</v>
      </c>
      <c r="U126" s="30">
        <f>F126+апр!J126</f>
        <v>318.54000000000002</v>
      </c>
    </row>
    <row r="127" spans="1:21" ht="17.25" customHeight="1">
      <c r="A127" s="18" t="s">
        <v>258</v>
      </c>
      <c r="B127" s="9" t="s">
        <v>119</v>
      </c>
      <c r="C127" s="8" t="s">
        <v>4</v>
      </c>
      <c r="D127" s="10">
        <v>38.012999999999998</v>
      </c>
      <c r="E127" s="8">
        <v>38</v>
      </c>
      <c r="F127" s="54"/>
      <c r="G127" s="10">
        <f t="shared" si="49"/>
        <v>-38</v>
      </c>
      <c r="H127" s="10">
        <f>D127+июль!H127</f>
        <v>304.10399999999998</v>
      </c>
      <c r="I127" s="8">
        <f>E127+июль!I127</f>
        <v>304</v>
      </c>
      <c r="J127" s="54">
        <f>F127+июль!J127</f>
        <v>210</v>
      </c>
      <c r="K127" s="10">
        <f t="shared" si="50"/>
        <v>-94</v>
      </c>
      <c r="L127" s="16">
        <f t="shared" si="55"/>
        <v>-30.921052631578949</v>
      </c>
      <c r="M127" s="220"/>
      <c r="N127" s="221"/>
      <c r="O127" s="122">
        <f t="shared" si="56"/>
        <v>-94.103999999999985</v>
      </c>
      <c r="P127" s="123">
        <f t="shared" si="57"/>
        <v>-30.944676821087519</v>
      </c>
      <c r="Q127" s="114"/>
      <c r="S127">
        <f t="shared" si="46"/>
        <v>190.065</v>
      </c>
      <c r="T127" s="44">
        <f>E127+апр!I127</f>
        <v>190</v>
      </c>
      <c r="U127" s="30">
        <f>F127+апр!J127</f>
        <v>105</v>
      </c>
    </row>
    <row r="128" spans="1:21" ht="54" customHeight="1">
      <c r="A128" s="18" t="s">
        <v>259</v>
      </c>
      <c r="B128" s="9" t="s">
        <v>120</v>
      </c>
      <c r="C128" s="8" t="s">
        <v>4</v>
      </c>
      <c r="D128" s="10"/>
      <c r="E128" s="8"/>
      <c r="F128" s="8"/>
      <c r="G128" s="10">
        <f t="shared" si="49"/>
        <v>0</v>
      </c>
      <c r="H128" s="10">
        <f>D128+июль!H128</f>
        <v>0</v>
      </c>
      <c r="I128" s="8">
        <f>E128+июль!I128</f>
        <v>0</v>
      </c>
      <c r="J128" s="54">
        <f>F128+июль!J128</f>
        <v>640.45500000000004</v>
      </c>
      <c r="K128" s="10">
        <f t="shared" si="50"/>
        <v>640.45500000000004</v>
      </c>
      <c r="L128" s="16" t="e">
        <f t="shared" si="55"/>
        <v>#DIV/0!</v>
      </c>
      <c r="M128" s="220"/>
      <c r="N128" s="221"/>
      <c r="O128" s="122">
        <f t="shared" si="56"/>
        <v>640.45500000000004</v>
      </c>
      <c r="P128" s="123" t="e">
        <f t="shared" si="57"/>
        <v>#DIV/0!</v>
      </c>
      <c r="Q128" s="114"/>
      <c r="S128">
        <f t="shared" si="46"/>
        <v>0</v>
      </c>
      <c r="T128" s="44">
        <f>E128+апр!I128</f>
        <v>0</v>
      </c>
      <c r="U128" s="30">
        <f>F128+апр!J128</f>
        <v>640.45500000000004</v>
      </c>
    </row>
    <row r="129" spans="1:21" ht="34.5" hidden="1" customHeight="1">
      <c r="A129" s="18" t="s">
        <v>121</v>
      </c>
      <c r="B129" s="9" t="s">
        <v>218</v>
      </c>
      <c r="C129" s="8" t="s">
        <v>4</v>
      </c>
      <c r="D129" s="10">
        <v>0</v>
      </c>
      <c r="E129" s="8"/>
      <c r="F129" s="8"/>
      <c r="G129" s="10">
        <f t="shared" si="49"/>
        <v>0</v>
      </c>
      <c r="H129" s="10">
        <f>D129+апр!H129</f>
        <v>0</v>
      </c>
      <c r="I129" s="8">
        <f>E129+апр!I129</f>
        <v>0</v>
      </c>
      <c r="J129" s="10">
        <f>F129+апр!J129</f>
        <v>0</v>
      </c>
      <c r="K129" s="10">
        <f t="shared" si="50"/>
        <v>0</v>
      </c>
      <c r="L129" s="16" t="e">
        <f t="shared" si="55"/>
        <v>#DIV/0!</v>
      </c>
      <c r="M129" s="220"/>
      <c r="N129" s="221"/>
      <c r="O129" s="122">
        <f t="shared" si="56"/>
        <v>0</v>
      </c>
      <c r="P129" s="123" t="e">
        <f t="shared" si="57"/>
        <v>#DIV/0!</v>
      </c>
      <c r="Q129" s="114"/>
      <c r="S129">
        <f t="shared" si="46"/>
        <v>0</v>
      </c>
      <c r="T129" s="44">
        <f>E129+апр!I129</f>
        <v>0</v>
      </c>
      <c r="U129" s="30">
        <f>F129+апр!J129</f>
        <v>0</v>
      </c>
    </row>
    <row r="130" spans="1:21" ht="33" customHeight="1">
      <c r="A130" s="18" t="s">
        <v>260</v>
      </c>
      <c r="B130" s="9" t="s">
        <v>263</v>
      </c>
      <c r="C130" s="8" t="s">
        <v>4</v>
      </c>
      <c r="D130" s="10"/>
      <c r="E130" s="8"/>
      <c r="F130" s="8"/>
      <c r="G130" s="10">
        <f t="shared" si="49"/>
        <v>0</v>
      </c>
      <c r="H130" s="10">
        <f>D130+июль!H130</f>
        <v>0</v>
      </c>
      <c r="I130" s="8">
        <f>E130+июль!I130</f>
        <v>0</v>
      </c>
      <c r="J130" s="54">
        <f>F130+июль!J130</f>
        <v>40</v>
      </c>
      <c r="K130" s="10">
        <f t="shared" si="50"/>
        <v>40</v>
      </c>
      <c r="L130" s="16" t="e">
        <f t="shared" si="55"/>
        <v>#DIV/0!</v>
      </c>
      <c r="M130" s="222" t="s">
        <v>288</v>
      </c>
      <c r="N130" s="223"/>
      <c r="O130" s="122">
        <f t="shared" si="56"/>
        <v>40</v>
      </c>
      <c r="P130" s="123" t="e">
        <f t="shared" si="57"/>
        <v>#DIV/0!</v>
      </c>
      <c r="Q130" s="115"/>
      <c r="S130">
        <f t="shared" si="46"/>
        <v>0</v>
      </c>
      <c r="T130" s="44">
        <f>E130+апр!I130</f>
        <v>0</v>
      </c>
      <c r="U130" s="30">
        <f>F130+апр!J130</f>
        <v>0</v>
      </c>
    </row>
    <row r="131" spans="1:21" ht="17.25" customHeight="1">
      <c r="A131" s="18" t="s">
        <v>261</v>
      </c>
      <c r="B131" s="9" t="s">
        <v>122</v>
      </c>
      <c r="C131" s="8" t="s">
        <v>4</v>
      </c>
      <c r="D131" s="10">
        <v>69.783000000000001</v>
      </c>
      <c r="E131" s="8">
        <v>69.75</v>
      </c>
      <c r="F131" s="54"/>
      <c r="G131" s="10">
        <f t="shared" si="49"/>
        <v>-69.75</v>
      </c>
      <c r="H131" s="10">
        <f>D131+июль!H131</f>
        <v>558.26400000000001</v>
      </c>
      <c r="I131" s="8">
        <f>E131+июль!I131</f>
        <v>558</v>
      </c>
      <c r="J131" s="54">
        <f>F131+июль!J131</f>
        <v>417.5</v>
      </c>
      <c r="K131" s="10">
        <f t="shared" si="50"/>
        <v>-140.5</v>
      </c>
      <c r="L131" s="16">
        <f t="shared" si="55"/>
        <v>-25.179211469534053</v>
      </c>
      <c r="M131" s="220"/>
      <c r="N131" s="221"/>
      <c r="O131" s="122">
        <f t="shared" si="56"/>
        <v>-140.76400000000001</v>
      </c>
      <c r="P131" s="123">
        <f t="shared" si="57"/>
        <v>-25.214593812246537</v>
      </c>
      <c r="Q131" s="114"/>
      <c r="S131">
        <f t="shared" si="46"/>
        <v>348.91500000000002</v>
      </c>
      <c r="T131" s="44">
        <f>E131+апр!I131</f>
        <v>348.75</v>
      </c>
      <c r="U131" s="30">
        <f>F131+апр!J131</f>
        <v>208.75</v>
      </c>
    </row>
    <row r="132" spans="1:21" ht="54.75" customHeight="1">
      <c r="A132" s="18" t="s">
        <v>262</v>
      </c>
      <c r="B132" s="9" t="s">
        <v>123</v>
      </c>
      <c r="C132" s="8" t="s">
        <v>4</v>
      </c>
      <c r="D132" s="10"/>
      <c r="E132" s="8"/>
      <c r="F132" s="8"/>
      <c r="G132" s="10">
        <f t="shared" si="49"/>
        <v>0</v>
      </c>
      <c r="H132" s="10">
        <f>D132+июль!H132</f>
        <v>0</v>
      </c>
      <c r="I132" s="8">
        <f>E132+июль!I132</f>
        <v>0</v>
      </c>
      <c r="J132" s="54">
        <f>F132+июль!J132</f>
        <v>0</v>
      </c>
      <c r="K132" s="10">
        <f t="shared" si="50"/>
        <v>0</v>
      </c>
      <c r="L132" s="16"/>
      <c r="M132" s="220"/>
      <c r="N132" s="221"/>
      <c r="O132" s="122">
        <f t="shared" si="56"/>
        <v>0</v>
      </c>
      <c r="P132" s="123" t="e">
        <f t="shared" si="57"/>
        <v>#DIV/0!</v>
      </c>
      <c r="Q132" s="114"/>
      <c r="S132">
        <f t="shared" si="46"/>
        <v>0</v>
      </c>
      <c r="T132" s="44">
        <f>E132+апр!I132</f>
        <v>0</v>
      </c>
      <c r="U132" s="30">
        <f>F132+апр!J132</f>
        <v>0</v>
      </c>
    </row>
    <row r="133" spans="1:21" ht="54" customHeight="1">
      <c r="A133" s="18" t="s">
        <v>264</v>
      </c>
      <c r="B133" s="9" t="s">
        <v>124</v>
      </c>
      <c r="C133" s="8" t="s">
        <v>4</v>
      </c>
      <c r="D133" s="10"/>
      <c r="E133" s="8"/>
      <c r="F133" s="8"/>
      <c r="G133" s="10">
        <f t="shared" si="49"/>
        <v>0</v>
      </c>
      <c r="H133" s="10">
        <f>D133+июль!H133</f>
        <v>0</v>
      </c>
      <c r="I133" s="8">
        <f>E133+июль!I133</f>
        <v>0</v>
      </c>
      <c r="J133" s="54">
        <f>F133+июль!J133</f>
        <v>0</v>
      </c>
      <c r="K133" s="10">
        <f t="shared" si="50"/>
        <v>0</v>
      </c>
      <c r="L133" s="16"/>
      <c r="M133" s="220"/>
      <c r="N133" s="221"/>
      <c r="O133" s="122">
        <f t="shared" si="56"/>
        <v>0</v>
      </c>
      <c r="P133" s="123" t="e">
        <f t="shared" si="57"/>
        <v>#DIV/0!</v>
      </c>
      <c r="Q133" s="114"/>
      <c r="S133">
        <f t="shared" si="46"/>
        <v>0</v>
      </c>
      <c r="T133" s="44">
        <f>E133+апр!I133</f>
        <v>0</v>
      </c>
      <c r="U133" s="30">
        <f>F133+апр!J133</f>
        <v>0</v>
      </c>
    </row>
    <row r="134" spans="1:21" ht="17.25" customHeight="1">
      <c r="A134" s="18" t="s">
        <v>265</v>
      </c>
      <c r="B134" s="26" t="s">
        <v>125</v>
      </c>
      <c r="C134" s="8" t="s">
        <v>4</v>
      </c>
      <c r="D134" s="10">
        <v>6.4749999999999996</v>
      </c>
      <c r="E134" s="8">
        <v>6.5</v>
      </c>
      <c r="F134" s="55"/>
      <c r="G134" s="10">
        <f t="shared" si="49"/>
        <v>-6.5</v>
      </c>
      <c r="H134" s="10">
        <f>D134+июль!H134</f>
        <v>51.800000000000004</v>
      </c>
      <c r="I134" s="8">
        <f>E134+июль!I134</f>
        <v>52</v>
      </c>
      <c r="J134" s="54">
        <f>F134+июль!J134</f>
        <v>39.731999999999999</v>
      </c>
      <c r="K134" s="10">
        <f t="shared" si="50"/>
        <v>-12.268000000000001</v>
      </c>
      <c r="L134" s="16">
        <f t="shared" si="55"/>
        <v>-23.592307692307692</v>
      </c>
      <c r="M134" s="220"/>
      <c r="N134" s="221"/>
      <c r="O134" s="122">
        <f t="shared" si="56"/>
        <v>-12.068000000000005</v>
      </c>
      <c r="P134" s="123">
        <f t="shared" si="57"/>
        <v>-23.297297297297305</v>
      </c>
      <c r="Q134" s="114"/>
      <c r="S134">
        <f t="shared" si="46"/>
        <v>32.375</v>
      </c>
      <c r="T134" s="44">
        <f>E134+апр!I134</f>
        <v>32.5</v>
      </c>
      <c r="U134" s="30">
        <f>F134+апр!J134</f>
        <v>0</v>
      </c>
    </row>
    <row r="135" spans="1:21" ht="17.25" customHeight="1">
      <c r="A135" s="18" t="s">
        <v>266</v>
      </c>
      <c r="B135" s="26" t="s">
        <v>232</v>
      </c>
      <c r="C135" s="8" t="s">
        <v>4</v>
      </c>
      <c r="D135" s="10"/>
      <c r="E135" s="8"/>
      <c r="F135" s="8"/>
      <c r="G135" s="10">
        <f t="shared" si="49"/>
        <v>0</v>
      </c>
      <c r="H135" s="10">
        <f>D135+июль!H135</f>
        <v>0</v>
      </c>
      <c r="I135" s="8">
        <f>E135+июль!I135</f>
        <v>0</v>
      </c>
      <c r="J135" s="54">
        <f>F135+июль!J135</f>
        <v>0</v>
      </c>
      <c r="K135" s="10">
        <f t="shared" si="50"/>
        <v>0</v>
      </c>
      <c r="L135" s="16"/>
      <c r="M135" s="220"/>
      <c r="N135" s="221"/>
      <c r="O135" s="122">
        <f t="shared" si="56"/>
        <v>0</v>
      </c>
      <c r="P135" s="123" t="e">
        <f t="shared" si="57"/>
        <v>#DIV/0!</v>
      </c>
      <c r="Q135" s="114"/>
      <c r="S135">
        <f t="shared" si="46"/>
        <v>0</v>
      </c>
      <c r="T135" s="44">
        <f>E135+апр!I135</f>
        <v>0</v>
      </c>
      <c r="U135" s="30">
        <f>F135+апр!J135</f>
        <v>0</v>
      </c>
    </row>
    <row r="136" spans="1:21" ht="55.5" customHeight="1">
      <c r="A136" s="18"/>
      <c r="B136" s="26" t="s">
        <v>311</v>
      </c>
      <c r="C136" s="8" t="s">
        <v>4</v>
      </c>
      <c r="D136" s="10"/>
      <c r="E136" s="8">
        <v>79.167000000000002</v>
      </c>
      <c r="F136" s="54"/>
      <c r="G136" s="10">
        <f t="shared" si="49"/>
        <v>-79.167000000000002</v>
      </c>
      <c r="H136" s="10">
        <f>D136+июль!H136</f>
        <v>0</v>
      </c>
      <c r="I136" s="8">
        <f>E136+июль!I136</f>
        <v>633.33600000000013</v>
      </c>
      <c r="J136" s="54">
        <f>F136+июль!J136</f>
        <v>554.18600000000004</v>
      </c>
      <c r="K136" s="10">
        <f t="shared" si="50"/>
        <v>-79.150000000000091</v>
      </c>
      <c r="L136" s="16">
        <f t="shared" si="55"/>
        <v>-12.497315800775588</v>
      </c>
      <c r="M136" s="149"/>
      <c r="N136" s="150"/>
      <c r="O136" s="122">
        <f t="shared" si="56"/>
        <v>554.18600000000004</v>
      </c>
      <c r="P136" s="123" t="e">
        <f t="shared" si="57"/>
        <v>#DIV/0!</v>
      </c>
      <c r="Q136" s="114"/>
      <c r="S136">
        <f t="shared" si="46"/>
        <v>0</v>
      </c>
      <c r="T136" s="44">
        <f>E136+апр!I136</f>
        <v>395.83500000000004</v>
      </c>
      <c r="U136" s="30">
        <f>F136+апр!J136</f>
        <v>316.67600000000004</v>
      </c>
    </row>
    <row r="137" spans="1:21" ht="55.5" customHeight="1">
      <c r="A137" s="18"/>
      <c r="B137" s="26" t="s">
        <v>312</v>
      </c>
      <c r="C137" s="8" t="s">
        <v>4</v>
      </c>
      <c r="D137" s="10"/>
      <c r="E137" s="8">
        <v>83.332999999999998</v>
      </c>
      <c r="F137" s="54"/>
      <c r="G137" s="10">
        <f t="shared" si="49"/>
        <v>-83.332999999999998</v>
      </c>
      <c r="H137" s="10">
        <f>D137+июль!H137</f>
        <v>0</v>
      </c>
      <c r="I137" s="8">
        <f>E137+июль!I137</f>
        <v>666.66399999999987</v>
      </c>
      <c r="J137" s="54">
        <f>F137+июль!J137</f>
        <v>500</v>
      </c>
      <c r="K137" s="10">
        <f t="shared" si="50"/>
        <v>-166.66399999999987</v>
      </c>
      <c r="L137" s="16">
        <f t="shared" si="55"/>
        <v>-24.999699998799983</v>
      </c>
      <c r="M137" s="149"/>
      <c r="N137" s="150"/>
      <c r="O137" s="122">
        <f t="shared" si="56"/>
        <v>500</v>
      </c>
      <c r="P137" s="123" t="e">
        <f t="shared" si="57"/>
        <v>#DIV/0!</v>
      </c>
      <c r="Q137" s="114"/>
      <c r="R137" s="30">
        <f>F143-R143</f>
        <v>516.18900000000031</v>
      </c>
      <c r="S137">
        <f t="shared" ref="S137:S205" si="69">D137*5</f>
        <v>0</v>
      </c>
      <c r="T137" s="44">
        <f>E137+апр!I137</f>
        <v>416.66499999999996</v>
      </c>
      <c r="U137" s="30">
        <f>F137+апр!J137</f>
        <v>250</v>
      </c>
    </row>
    <row r="138" spans="1:21" ht="55.5" customHeight="1">
      <c r="A138" s="18"/>
      <c r="B138" s="26" t="s">
        <v>327</v>
      </c>
      <c r="C138" s="8" t="s">
        <v>4</v>
      </c>
      <c r="D138" s="10"/>
      <c r="E138" s="8"/>
      <c r="F138" s="54"/>
      <c r="G138" s="10"/>
      <c r="H138" s="10">
        <f>D138</f>
        <v>0</v>
      </c>
      <c r="I138" s="8"/>
      <c r="J138" s="54">
        <f>F138+июль!J138</f>
        <v>241.268</v>
      </c>
      <c r="K138" s="10"/>
      <c r="L138" s="16"/>
      <c r="M138" s="149"/>
      <c r="N138" s="150"/>
      <c r="O138" s="122">
        <f t="shared" si="56"/>
        <v>241.268</v>
      </c>
      <c r="P138" s="123" t="e">
        <f t="shared" si="57"/>
        <v>#DIV/0!</v>
      </c>
      <c r="Q138" s="114"/>
      <c r="R138" s="30"/>
      <c r="T138" s="44"/>
      <c r="U138" s="30"/>
    </row>
    <row r="139" spans="1:21" ht="55.5" customHeight="1">
      <c r="A139" s="18"/>
      <c r="B139" s="26" t="s">
        <v>328</v>
      </c>
      <c r="C139" s="8" t="s">
        <v>4</v>
      </c>
      <c r="D139" s="10"/>
      <c r="E139" s="8"/>
      <c r="F139" s="54"/>
      <c r="G139" s="10"/>
      <c r="H139" s="10">
        <f>D139</f>
        <v>0</v>
      </c>
      <c r="I139" s="8"/>
      <c r="J139" s="54">
        <f>F139+июль!J139</f>
        <v>27.808</v>
      </c>
      <c r="K139" s="10"/>
      <c r="L139" s="16"/>
      <c r="M139" s="149"/>
      <c r="N139" s="150"/>
      <c r="O139" s="122">
        <f t="shared" si="56"/>
        <v>27.808</v>
      </c>
      <c r="P139" s="123" t="e">
        <f t="shared" si="57"/>
        <v>#DIV/0!</v>
      </c>
      <c r="Q139" s="114"/>
      <c r="R139" s="30"/>
      <c r="T139" s="44"/>
      <c r="U139" s="30"/>
    </row>
    <row r="140" spans="1:21" ht="55.5" customHeight="1">
      <c r="A140" s="18"/>
      <c r="B140" s="26" t="s">
        <v>336</v>
      </c>
      <c r="C140" s="8"/>
      <c r="D140" s="10"/>
      <c r="E140" s="8"/>
      <c r="F140" s="54"/>
      <c r="G140" s="10"/>
      <c r="H140" s="10"/>
      <c r="I140" s="8"/>
      <c r="J140" s="10"/>
      <c r="K140" s="10"/>
      <c r="L140" s="16"/>
      <c r="M140" s="149"/>
      <c r="N140" s="150"/>
      <c r="O140" s="122"/>
      <c r="P140" s="123"/>
      <c r="Q140" s="114"/>
      <c r="R140" s="30"/>
      <c r="T140" s="44"/>
      <c r="U140" s="30"/>
    </row>
    <row r="141" spans="1:21" ht="83.25" customHeight="1">
      <c r="A141" s="18"/>
      <c r="B141" s="26" t="s">
        <v>337</v>
      </c>
      <c r="C141" s="8"/>
      <c r="D141" s="10"/>
      <c r="E141" s="8"/>
      <c r="F141" s="54">
        <v>110</v>
      </c>
      <c r="G141" s="10"/>
      <c r="H141" s="10"/>
      <c r="I141" s="8"/>
      <c r="J141" s="10"/>
      <c r="K141" s="10"/>
      <c r="L141" s="16"/>
      <c r="M141" s="159"/>
      <c r="N141" s="160"/>
      <c r="O141" s="122"/>
      <c r="P141" s="123"/>
      <c r="Q141" s="114"/>
      <c r="R141" s="30"/>
      <c r="T141" s="44"/>
      <c r="U141" s="30"/>
    </row>
    <row r="142" spans="1:21" ht="90.75" customHeight="1">
      <c r="A142" s="18"/>
      <c r="B142" s="26" t="s">
        <v>338</v>
      </c>
      <c r="C142" s="8"/>
      <c r="D142" s="10"/>
      <c r="E142" s="8"/>
      <c r="F142" s="54">
        <v>310</v>
      </c>
      <c r="G142" s="10"/>
      <c r="H142" s="10"/>
      <c r="I142" s="8"/>
      <c r="J142" s="10"/>
      <c r="K142" s="10"/>
      <c r="L142" s="16"/>
      <c r="M142" s="159"/>
      <c r="N142" s="160"/>
      <c r="O142" s="122"/>
      <c r="P142" s="123"/>
      <c r="Q142" s="114"/>
      <c r="R142" s="30"/>
      <c r="T142" s="44"/>
      <c r="U142" s="30"/>
    </row>
    <row r="143" spans="1:21" ht="17.25" customHeight="1">
      <c r="A143" s="157" t="s">
        <v>126</v>
      </c>
      <c r="B143" s="6" t="s">
        <v>127</v>
      </c>
      <c r="C143" s="8" t="s">
        <v>4</v>
      </c>
      <c r="D143" s="7">
        <f t="shared" ref="D143:J143" si="70">D144</f>
        <v>3385.116</v>
      </c>
      <c r="E143" s="7">
        <f t="shared" si="70"/>
        <v>2989.2490000000003</v>
      </c>
      <c r="F143" s="7">
        <f t="shared" si="70"/>
        <v>2940.5720000000001</v>
      </c>
      <c r="G143" s="10">
        <f t="shared" si="49"/>
        <v>-48.677000000000135</v>
      </c>
      <c r="H143" s="7">
        <f t="shared" si="70"/>
        <v>35209.661173229215</v>
      </c>
      <c r="I143" s="7">
        <f t="shared" si="70"/>
        <v>22563.555780617677</v>
      </c>
      <c r="J143" s="7">
        <f t="shared" si="70"/>
        <v>20383.379000000001</v>
      </c>
      <c r="K143" s="10">
        <f t="shared" si="50"/>
        <v>-2180.1767806176758</v>
      </c>
      <c r="L143" s="16">
        <f t="shared" si="55"/>
        <v>-9.6623812390885195</v>
      </c>
      <c r="M143" s="220"/>
      <c r="N143" s="221"/>
      <c r="O143" s="122">
        <f t="shared" si="56"/>
        <v>-14826.282173229214</v>
      </c>
      <c r="P143" s="123">
        <f t="shared" si="57"/>
        <v>-42.108562477454356</v>
      </c>
      <c r="Q143" s="114"/>
      <c r="R143">
        <v>2424.3829999999998</v>
      </c>
      <c r="S143">
        <f t="shared" si="69"/>
        <v>16925.580000000002</v>
      </c>
      <c r="T143" s="44">
        <f>E143+апр!I138</f>
        <v>14946.245000000001</v>
      </c>
      <c r="U143" s="30">
        <f>F143+апр!J138</f>
        <v>12113.768000000002</v>
      </c>
    </row>
    <row r="144" spans="1:21" ht="17.25" customHeight="1">
      <c r="A144" s="157">
        <v>6</v>
      </c>
      <c r="B144" s="6" t="s">
        <v>128</v>
      </c>
      <c r="C144" s="157" t="s">
        <v>4</v>
      </c>
      <c r="D144" s="7">
        <f>D145+D150+D151+D152+D153+D154+D155+D156+D159+D161+D177+D181+D182+D184+D189+D188+D193</f>
        <v>3385.116</v>
      </c>
      <c r="E144" s="7">
        <f t="shared" ref="E144:F144" si="71">E145+E150+E151+E152+E153+E154+E155+E156+E159+E161+E177+E181+E182+E184+E189+E188+E193</f>
        <v>2989.2490000000003</v>
      </c>
      <c r="F144" s="7">
        <f t="shared" si="71"/>
        <v>2940.5720000000001</v>
      </c>
      <c r="G144" s="10">
        <f>F144-E144</f>
        <v>-48.677000000000135</v>
      </c>
      <c r="H144" s="7">
        <f>H145+H150+H151+H152+H153+H154+H155+H156+H159+H161+H177+H181+H182+H184+H189+H188+H193</f>
        <v>35209.661173229215</v>
      </c>
      <c r="I144" s="7">
        <f t="shared" ref="I144:J144" si="72">I145+I150+I151+I152+I153+I154+I155+I156+I159+I161+I177+I181+I182+I184+I189+I188+I193</f>
        <v>22563.555780617677</v>
      </c>
      <c r="J144" s="89">
        <f t="shared" si="72"/>
        <v>20383.379000000001</v>
      </c>
      <c r="K144" s="10">
        <f t="shared" si="50"/>
        <v>-2180.1767806176758</v>
      </c>
      <c r="L144" s="16">
        <f t="shared" si="55"/>
        <v>-9.6623812390885195</v>
      </c>
      <c r="M144" s="220"/>
      <c r="N144" s="221"/>
      <c r="O144" s="122">
        <f t="shared" si="56"/>
        <v>-14826.282173229214</v>
      </c>
      <c r="P144" s="123">
        <f t="shared" si="57"/>
        <v>-42.108562477454356</v>
      </c>
      <c r="Q144" s="114"/>
      <c r="S144">
        <f t="shared" si="69"/>
        <v>16925.580000000002</v>
      </c>
      <c r="T144" s="44">
        <f>E144+апр!I139</f>
        <v>14946.245000000001</v>
      </c>
      <c r="U144" s="30">
        <f>F144+апр!J139</f>
        <v>12113.768000000002</v>
      </c>
    </row>
    <row r="145" spans="1:21" ht="17.25" customHeight="1">
      <c r="A145" s="157" t="s">
        <v>129</v>
      </c>
      <c r="B145" s="6" t="s">
        <v>130</v>
      </c>
      <c r="C145" s="157" t="s">
        <v>4</v>
      </c>
      <c r="D145" s="7">
        <f t="shared" ref="D145:F145" si="73">D146+D147</f>
        <v>97.608999999999995</v>
      </c>
      <c r="E145" s="7">
        <f t="shared" si="73"/>
        <v>97.582999999999998</v>
      </c>
      <c r="F145" s="7">
        <f t="shared" si="73"/>
        <v>71.677999999999997</v>
      </c>
      <c r="G145" s="10">
        <f t="shared" ref="G145:G209" si="74">F145-E145</f>
        <v>-25.905000000000001</v>
      </c>
      <c r="H145" s="7">
        <f t="shared" ref="H145:J145" si="75">H146+H147</f>
        <v>525.13850656254363</v>
      </c>
      <c r="I145" s="7">
        <f t="shared" si="75"/>
        <v>524.80278061767842</v>
      </c>
      <c r="J145" s="7">
        <f t="shared" si="75"/>
        <v>526.31600000000003</v>
      </c>
      <c r="K145" s="10">
        <f t="shared" ref="K145:K209" si="76">J145-I145</f>
        <v>1.5132193823216085</v>
      </c>
      <c r="L145" s="16">
        <f t="shared" si="55"/>
        <v>0.28834058015862468</v>
      </c>
      <c r="M145" s="220"/>
      <c r="N145" s="221"/>
      <c r="O145" s="122">
        <f t="shared" si="56"/>
        <v>1.1774934374564054</v>
      </c>
      <c r="P145" s="123">
        <f t="shared" si="57"/>
        <v>0.22422530870266069</v>
      </c>
      <c r="Q145" s="114"/>
      <c r="S145">
        <f t="shared" si="69"/>
        <v>488.04499999999996</v>
      </c>
      <c r="T145" s="44">
        <f>E145+апр!I140</f>
        <v>487.91499999999996</v>
      </c>
      <c r="U145" s="30">
        <f>F145+апр!J140</f>
        <v>364.67600000000004</v>
      </c>
    </row>
    <row r="146" spans="1:21" ht="37.5">
      <c r="A146" s="8" t="s">
        <v>131</v>
      </c>
      <c r="B146" s="9" t="s">
        <v>132</v>
      </c>
      <c r="C146" s="8" t="s">
        <v>4</v>
      </c>
      <c r="D146" s="10">
        <v>42.552999999999997</v>
      </c>
      <c r="E146" s="10">
        <v>42.5</v>
      </c>
      <c r="F146" s="10">
        <v>42.49</v>
      </c>
      <c r="G146" s="10">
        <f t="shared" si="74"/>
        <v>-9.9999999999980105E-3</v>
      </c>
      <c r="H146" s="10">
        <f>D146+июль!H144</f>
        <v>340.42399999999998</v>
      </c>
      <c r="I146" s="8">
        <f>E146+июль!I144</f>
        <v>340</v>
      </c>
      <c r="J146" s="54">
        <f>F146+июль!J144</f>
        <v>324.46400000000006</v>
      </c>
      <c r="K146" s="10">
        <f t="shared" si="76"/>
        <v>-15.535999999999945</v>
      </c>
      <c r="L146" s="16">
        <f t="shared" si="55"/>
        <v>-4.5694117647058663</v>
      </c>
      <c r="M146" s="220"/>
      <c r="N146" s="221"/>
      <c r="O146" s="122">
        <f t="shared" si="56"/>
        <v>-15.959999999999923</v>
      </c>
      <c r="P146" s="123">
        <f t="shared" si="57"/>
        <v>-4.6882710972199151</v>
      </c>
      <c r="Q146" s="114"/>
      <c r="S146">
        <f t="shared" si="69"/>
        <v>212.76499999999999</v>
      </c>
      <c r="T146" s="44">
        <f>E146+апр!I141</f>
        <v>212.5</v>
      </c>
      <c r="U146" s="30">
        <f>F146+апр!J141</f>
        <v>199.53500000000003</v>
      </c>
    </row>
    <row r="147" spans="1:21" ht="17.25" customHeight="1">
      <c r="A147" s="8" t="s">
        <v>133</v>
      </c>
      <c r="B147" s="9" t="s">
        <v>63</v>
      </c>
      <c r="C147" s="8" t="s">
        <v>4</v>
      </c>
      <c r="D147" s="10">
        <v>55.055999999999997</v>
      </c>
      <c r="E147" s="8">
        <v>55.082999999999998</v>
      </c>
      <c r="F147" s="8">
        <v>29.187999999999999</v>
      </c>
      <c r="G147" s="10">
        <f t="shared" si="74"/>
        <v>-25.895</v>
      </c>
      <c r="H147" s="10">
        <f>D147+июль!H145</f>
        <v>184.71450656254359</v>
      </c>
      <c r="I147" s="8">
        <f>E147+июль!I145</f>
        <v>184.80278061767839</v>
      </c>
      <c r="J147" s="54">
        <f>F147+июль!J145</f>
        <v>201.85199999999998</v>
      </c>
      <c r="K147" s="10">
        <f t="shared" si="76"/>
        <v>17.049219382321581</v>
      </c>
      <c r="L147" s="16">
        <f t="shared" si="55"/>
        <v>9.2256292493743128</v>
      </c>
      <c r="M147" s="220"/>
      <c r="N147" s="221"/>
      <c r="O147" s="122">
        <f t="shared" si="56"/>
        <v>17.137493437456385</v>
      </c>
      <c r="P147" s="123">
        <f t="shared" si="57"/>
        <v>9.2778275818059246</v>
      </c>
      <c r="Q147" s="114"/>
      <c r="S147">
        <f t="shared" si="69"/>
        <v>275.27999999999997</v>
      </c>
      <c r="T147" s="44">
        <f>E147+апр!I142</f>
        <v>275.41499999999996</v>
      </c>
      <c r="U147" s="30">
        <f>F147+апр!J142</f>
        <v>165.14099999999999</v>
      </c>
    </row>
    <row r="148" spans="1:21" s="144" customFormat="1" ht="17.25" customHeight="1">
      <c r="A148" s="55"/>
      <c r="B148" s="136" t="s">
        <v>68</v>
      </c>
      <c r="C148" s="137" t="s">
        <v>66</v>
      </c>
      <c r="D148" s="138">
        <v>2816.6669999999999</v>
      </c>
      <c r="E148" s="139">
        <v>2817</v>
      </c>
      <c r="F148" s="139"/>
      <c r="G148" s="54">
        <f t="shared" si="74"/>
        <v>-2817</v>
      </c>
      <c r="H148" s="54">
        <f>D148+июнь!H145</f>
        <v>15205.123999999998</v>
      </c>
      <c r="I148" s="8">
        <f>E148+июль!I146</f>
        <v>15533.084999999999</v>
      </c>
      <c r="J148" s="54">
        <f>F148+июль!J146</f>
        <v>552</v>
      </c>
      <c r="K148" s="54">
        <f t="shared" si="76"/>
        <v>-14981.084999999999</v>
      </c>
      <c r="L148" s="140"/>
      <c r="M148" s="259"/>
      <c r="N148" s="260"/>
      <c r="O148" s="141">
        <f t="shared" si="56"/>
        <v>-14653.123999999998</v>
      </c>
      <c r="P148" s="142">
        <f t="shared" si="57"/>
        <v>-96.369644864454912</v>
      </c>
      <c r="Q148" s="143"/>
      <c r="S148" s="144">
        <f t="shared" si="69"/>
        <v>14083.334999999999</v>
      </c>
      <c r="T148" s="145">
        <f>E148+апр!I143</f>
        <v>2817</v>
      </c>
      <c r="U148" s="146">
        <f>F148+апр!J143</f>
        <v>552</v>
      </c>
    </row>
    <row r="149" spans="1:21" ht="17.25" customHeight="1">
      <c r="A149" s="8"/>
      <c r="B149" s="12" t="s">
        <v>15</v>
      </c>
      <c r="C149" s="13" t="s">
        <v>16</v>
      </c>
      <c r="D149" s="16">
        <f t="shared" ref="D149:F149" si="77">D147/D148*1000</f>
        <v>19.546506562543602</v>
      </c>
      <c r="E149" s="16">
        <f t="shared" si="77"/>
        <v>19.553780617678381</v>
      </c>
      <c r="F149" s="16" t="e">
        <f t="shared" si="77"/>
        <v>#DIV/0!</v>
      </c>
      <c r="G149" s="10" t="e">
        <f t="shared" si="74"/>
        <v>#DIV/0!</v>
      </c>
      <c r="H149" s="16">
        <f t="shared" ref="H149:I149" si="78">H147/H148*1000</f>
        <v>12.148174954873344</v>
      </c>
      <c r="I149" s="16">
        <f t="shared" si="78"/>
        <v>11.897364922530096</v>
      </c>
      <c r="J149" s="16">
        <f>J147/J148*1000</f>
        <v>365.67391304347825</v>
      </c>
      <c r="K149" s="10">
        <f t="shared" si="76"/>
        <v>353.77654812094818</v>
      </c>
      <c r="L149" s="16"/>
      <c r="M149" s="220"/>
      <c r="N149" s="221"/>
      <c r="O149" s="122">
        <f t="shared" si="56"/>
        <v>353.5257380886049</v>
      </c>
      <c r="P149" s="123">
        <f t="shared" si="57"/>
        <v>2910.1139833912666</v>
      </c>
      <c r="Q149" s="114"/>
      <c r="S149">
        <f t="shared" si="69"/>
        <v>97.732532812718006</v>
      </c>
      <c r="T149" s="44">
        <f>E149+апр!I144</f>
        <v>19.553780617678381</v>
      </c>
      <c r="U149" s="30" t="e">
        <f>F149+апр!J144</f>
        <v>#DIV/0!</v>
      </c>
    </row>
    <row r="150" spans="1:21" ht="32.25" customHeight="1">
      <c r="A150" s="8" t="s">
        <v>134</v>
      </c>
      <c r="B150" s="9" t="s">
        <v>135</v>
      </c>
      <c r="C150" s="8" t="s">
        <v>4</v>
      </c>
      <c r="D150" s="10">
        <v>1914.3579999999999</v>
      </c>
      <c r="E150" s="8">
        <v>1416.4169999999999</v>
      </c>
      <c r="F150" s="54">
        <v>834.78399999999999</v>
      </c>
      <c r="G150" s="10">
        <f t="shared" si="74"/>
        <v>-581.63299999999992</v>
      </c>
      <c r="H150" s="10">
        <f>D150+июль!H148</f>
        <v>15314.864</v>
      </c>
      <c r="I150" s="8">
        <f>E150+июль!I148</f>
        <v>11331.335999999998</v>
      </c>
      <c r="J150" s="54">
        <f>F150+июль!J148</f>
        <v>10664.432000000001</v>
      </c>
      <c r="K150" s="10">
        <f t="shared" si="76"/>
        <v>-666.90399999999681</v>
      </c>
      <c r="L150" s="16">
        <f>K150/I150*100</f>
        <v>-5.8854842888781773</v>
      </c>
      <c r="M150" s="227"/>
      <c r="N150" s="228"/>
      <c r="O150" s="122">
        <f>J150-H150</f>
        <v>-4650.4319999999989</v>
      </c>
      <c r="P150" s="123">
        <f>O150/H150*100</f>
        <v>-30.365480228880905</v>
      </c>
      <c r="Q150" s="116"/>
      <c r="S150">
        <f t="shared" si="69"/>
        <v>9571.7899999999991</v>
      </c>
      <c r="T150" s="44">
        <f>E150+апр!I145</f>
        <v>7082.0849999999991</v>
      </c>
      <c r="U150" s="30">
        <f>F150+апр!J145</f>
        <v>6252.8329999999996</v>
      </c>
    </row>
    <row r="151" spans="1:21" ht="17.25" customHeight="1">
      <c r="A151" s="8" t="s">
        <v>136</v>
      </c>
      <c r="B151" s="9" t="s">
        <v>77</v>
      </c>
      <c r="C151" s="8" t="s">
        <v>4</v>
      </c>
      <c r="D151" s="10">
        <v>105.29</v>
      </c>
      <c r="E151" s="10">
        <v>76.5</v>
      </c>
      <c r="F151" s="55">
        <v>44.753999999999998</v>
      </c>
      <c r="G151" s="10">
        <f t="shared" si="74"/>
        <v>-31.746000000000002</v>
      </c>
      <c r="H151" s="10">
        <f>D151+июль!H149</f>
        <v>315.87</v>
      </c>
      <c r="I151" s="8">
        <f>E151+июль!I149</f>
        <v>612</v>
      </c>
      <c r="J151" s="54">
        <f>F151+июль!J149</f>
        <v>633.08199999999999</v>
      </c>
      <c r="K151" s="10">
        <f t="shared" si="76"/>
        <v>21.081999999999994</v>
      </c>
      <c r="L151" s="16">
        <f t="shared" si="55"/>
        <v>3.4447712418300642</v>
      </c>
      <c r="M151" s="227"/>
      <c r="N151" s="228"/>
      <c r="O151" s="122">
        <f t="shared" ref="O151:O215" si="79">J151-H151</f>
        <v>317.21199999999999</v>
      </c>
      <c r="P151" s="123">
        <f t="shared" ref="P151:P215" si="80">O151/H151*100</f>
        <v>100.42485832779306</v>
      </c>
      <c r="Q151" s="116"/>
      <c r="S151">
        <f t="shared" si="69"/>
        <v>526.45000000000005</v>
      </c>
      <c r="T151" s="44">
        <f>E151+апр!I146</f>
        <v>382.5</v>
      </c>
      <c r="U151" s="30">
        <f>F151+апр!J146</f>
        <v>367.173</v>
      </c>
    </row>
    <row r="152" spans="1:21" ht="17.25" customHeight="1">
      <c r="A152" s="8"/>
      <c r="B152" s="9" t="s">
        <v>307</v>
      </c>
      <c r="C152" s="8" t="s">
        <v>4</v>
      </c>
      <c r="D152" s="10">
        <v>84.231999999999999</v>
      </c>
      <c r="E152" s="10">
        <v>63.75</v>
      </c>
      <c r="F152" s="55">
        <v>26.981000000000002</v>
      </c>
      <c r="G152" s="10">
        <f t="shared" si="74"/>
        <v>-36.768999999999998</v>
      </c>
      <c r="H152" s="10">
        <f>D152+июль!H150</f>
        <v>252.696</v>
      </c>
      <c r="I152" s="8">
        <f>E152+июль!I150</f>
        <v>510</v>
      </c>
      <c r="J152" s="54">
        <f>F152+июль!J150</f>
        <v>294.95199999999994</v>
      </c>
      <c r="K152" s="10">
        <f t="shared" si="76"/>
        <v>-215.04800000000006</v>
      </c>
      <c r="L152" s="16">
        <f t="shared" si="55"/>
        <v>-42.166274509803934</v>
      </c>
      <c r="M152" s="154"/>
      <c r="N152" s="155"/>
      <c r="O152" s="122">
        <f t="shared" si="79"/>
        <v>42.255999999999943</v>
      </c>
      <c r="P152" s="123">
        <f t="shared" si="80"/>
        <v>16.722069205685859</v>
      </c>
      <c r="Q152" s="116"/>
      <c r="S152">
        <f t="shared" si="69"/>
        <v>421.15999999999997</v>
      </c>
      <c r="T152" s="44">
        <f>E152+апр!I147</f>
        <v>318.75</v>
      </c>
      <c r="U152" s="30">
        <f>F152+апр!J147</f>
        <v>178.47499999999997</v>
      </c>
    </row>
    <row r="153" spans="1:21" ht="17.25" customHeight="1">
      <c r="A153" s="8"/>
      <c r="B153" s="9" t="s">
        <v>310</v>
      </c>
      <c r="C153" s="8" t="s">
        <v>4</v>
      </c>
      <c r="D153" s="10"/>
      <c r="E153" s="10">
        <v>21.25</v>
      </c>
      <c r="F153" s="55">
        <v>12.737</v>
      </c>
      <c r="G153" s="10">
        <f t="shared" si="74"/>
        <v>-8.5129999999999999</v>
      </c>
      <c r="H153" s="10">
        <f>D153+июль!H151</f>
        <v>387.9</v>
      </c>
      <c r="I153" s="8">
        <f>E153+июль!I151</f>
        <v>148.75</v>
      </c>
      <c r="J153" s="54">
        <f>F153+июль!J151</f>
        <v>138.143</v>
      </c>
      <c r="K153" s="10">
        <f t="shared" si="76"/>
        <v>-10.606999999999999</v>
      </c>
      <c r="L153" s="16">
        <f t="shared" si="55"/>
        <v>-7.1307563025210072</v>
      </c>
      <c r="M153" s="154"/>
      <c r="N153" s="155"/>
      <c r="O153" s="122">
        <f t="shared" si="79"/>
        <v>-249.75699999999998</v>
      </c>
      <c r="P153" s="123">
        <f t="shared" si="80"/>
        <v>-64.386955400876516</v>
      </c>
      <c r="Q153" s="116"/>
      <c r="S153">
        <f t="shared" si="69"/>
        <v>0</v>
      </c>
      <c r="T153" s="44">
        <f>E153+апр!I148</f>
        <v>106.25</v>
      </c>
      <c r="U153" s="30">
        <f>F153+апр!J148</f>
        <v>82.07</v>
      </c>
    </row>
    <row r="154" spans="1:21" ht="17.25" customHeight="1">
      <c r="A154" s="8"/>
      <c r="B154" s="9" t="s">
        <v>315</v>
      </c>
      <c r="C154" s="8" t="s">
        <v>4</v>
      </c>
      <c r="D154" s="10"/>
      <c r="E154" s="10"/>
      <c r="F154" s="10"/>
      <c r="G154" s="10">
        <f t="shared" si="74"/>
        <v>0</v>
      </c>
      <c r="H154" s="10">
        <f>D154+июль!H152</f>
        <v>1195.7449999999999</v>
      </c>
      <c r="I154" s="8">
        <f>E154+июль!I152</f>
        <v>0</v>
      </c>
      <c r="J154" s="54">
        <f>F154+июль!J152</f>
        <v>211.14000000000004</v>
      </c>
      <c r="K154" s="10"/>
      <c r="L154" s="16"/>
      <c r="M154" s="154"/>
      <c r="N154" s="155"/>
      <c r="O154" s="122">
        <f t="shared" si="79"/>
        <v>-984.60499999999979</v>
      </c>
      <c r="P154" s="123">
        <f t="shared" si="80"/>
        <v>-82.342389054522485</v>
      </c>
      <c r="Q154" s="116"/>
      <c r="S154">
        <f t="shared" si="69"/>
        <v>0</v>
      </c>
      <c r="T154" s="44">
        <f>E154+апр!I149</f>
        <v>0</v>
      </c>
      <c r="U154" s="30">
        <f>F154+апр!J149</f>
        <v>211.14000000000004</v>
      </c>
    </row>
    <row r="155" spans="1:21" ht="17.25" customHeight="1">
      <c r="A155" s="8" t="s">
        <v>137</v>
      </c>
      <c r="B155" s="9" t="s">
        <v>138</v>
      </c>
      <c r="C155" s="8" t="s">
        <v>4</v>
      </c>
      <c r="D155" s="10">
        <v>77.58</v>
      </c>
      <c r="E155" s="8">
        <v>77.582999999999998</v>
      </c>
      <c r="F155" s="55">
        <v>52.895000000000003</v>
      </c>
      <c r="G155" s="10">
        <f t="shared" si="74"/>
        <v>-24.687999999999995</v>
      </c>
      <c r="H155" s="10">
        <f>D155+июль!H153</f>
        <v>276.52999999999997</v>
      </c>
      <c r="I155" s="8">
        <f>E155+июль!I153</f>
        <v>620.66399999999987</v>
      </c>
      <c r="J155" s="54">
        <f>F155+июль!J153</f>
        <v>916.17099999999994</v>
      </c>
      <c r="K155" s="10">
        <f t="shared" si="76"/>
        <v>295.50700000000006</v>
      </c>
      <c r="L155" s="16">
        <f t="shared" si="55"/>
        <v>47.611429050178536</v>
      </c>
      <c r="M155" s="227" t="s">
        <v>301</v>
      </c>
      <c r="N155" s="228"/>
      <c r="O155" s="122">
        <f t="shared" si="79"/>
        <v>639.64099999999996</v>
      </c>
      <c r="P155" s="123">
        <f t="shared" si="80"/>
        <v>231.30980363794166</v>
      </c>
      <c r="Q155" s="116"/>
      <c r="S155">
        <f t="shared" si="69"/>
        <v>387.9</v>
      </c>
      <c r="T155" s="44">
        <f>E155+апр!I150</f>
        <v>387.91499999999996</v>
      </c>
      <c r="U155" s="30">
        <f>F155+апр!J150</f>
        <v>615</v>
      </c>
    </row>
    <row r="156" spans="1:21" ht="17.25" customHeight="1">
      <c r="A156" s="157" t="s">
        <v>139</v>
      </c>
      <c r="B156" s="6" t="s">
        <v>140</v>
      </c>
      <c r="C156" s="157" t="s">
        <v>4</v>
      </c>
      <c r="D156" s="7">
        <f t="shared" ref="D156:F156" si="81">D157+D158</f>
        <v>239.149</v>
      </c>
      <c r="E156" s="157">
        <v>47.832999999999998</v>
      </c>
      <c r="F156" s="7">
        <f t="shared" si="81"/>
        <v>62.483000000000004</v>
      </c>
      <c r="G156" s="10">
        <f t="shared" si="74"/>
        <v>14.650000000000006</v>
      </c>
      <c r="H156" s="7">
        <f t="shared" ref="H156" si="82">H157+H158</f>
        <v>856.00699999999995</v>
      </c>
      <c r="I156" s="8">
        <f>E156+июль!I154</f>
        <v>382.66399999999999</v>
      </c>
      <c r="J156" s="7">
        <f t="shared" ref="J156" si="83">J157+J158</f>
        <v>428.41499999999996</v>
      </c>
      <c r="K156" s="10">
        <f t="shared" si="76"/>
        <v>45.750999999999976</v>
      </c>
      <c r="L156" s="16">
        <f t="shared" si="55"/>
        <v>11.955919553446359</v>
      </c>
      <c r="M156" s="220"/>
      <c r="N156" s="221"/>
      <c r="O156" s="122">
        <f t="shared" si="79"/>
        <v>-427.59199999999998</v>
      </c>
      <c r="P156" s="123">
        <f t="shared" si="80"/>
        <v>-49.951927963205911</v>
      </c>
      <c r="Q156" s="114"/>
      <c r="S156">
        <f t="shared" si="69"/>
        <v>1195.7449999999999</v>
      </c>
      <c r="T156" s="44">
        <f>E156+апр!I151</f>
        <v>239.16499999999999</v>
      </c>
      <c r="U156" s="30">
        <f>F156+апр!J151</f>
        <v>240.41400000000002</v>
      </c>
    </row>
    <row r="157" spans="1:21" ht="17.25" customHeight="1">
      <c r="A157" s="8" t="s">
        <v>141</v>
      </c>
      <c r="B157" s="9" t="s">
        <v>81</v>
      </c>
      <c r="C157" s="8" t="s">
        <v>4</v>
      </c>
      <c r="D157" s="10">
        <v>8.7579999999999991</v>
      </c>
      <c r="E157" s="8"/>
      <c r="F157" s="55">
        <v>50.508000000000003</v>
      </c>
      <c r="G157" s="10">
        <f t="shared" si="74"/>
        <v>50.508000000000003</v>
      </c>
      <c r="H157" s="10">
        <f>D157+июль!H155</f>
        <v>95.553999999999988</v>
      </c>
      <c r="I157" s="8"/>
      <c r="J157" s="54">
        <f>F157+июль!J155</f>
        <v>332.61399999999998</v>
      </c>
      <c r="K157" s="10">
        <f t="shared" si="76"/>
        <v>332.61399999999998</v>
      </c>
      <c r="L157" s="16"/>
      <c r="M157" s="220"/>
      <c r="N157" s="221"/>
      <c r="O157" s="122">
        <f t="shared" si="79"/>
        <v>237.06</v>
      </c>
      <c r="P157" s="123">
        <f t="shared" si="80"/>
        <v>248.09008518743329</v>
      </c>
      <c r="Q157" s="114"/>
      <c r="S157">
        <f t="shared" si="69"/>
        <v>43.789999999999992</v>
      </c>
      <c r="T157" s="44">
        <f>E157+апр!I152</f>
        <v>0</v>
      </c>
      <c r="U157" s="30">
        <f>F157+апр!J152</f>
        <v>180.53800000000001</v>
      </c>
    </row>
    <row r="158" spans="1:21" ht="17.25" customHeight="1">
      <c r="A158" s="8" t="s">
        <v>142</v>
      </c>
      <c r="B158" s="9" t="s">
        <v>143</v>
      </c>
      <c r="C158" s="8"/>
      <c r="D158" s="10">
        <v>230.39099999999999</v>
      </c>
      <c r="E158" s="8"/>
      <c r="F158" s="55">
        <v>11.975</v>
      </c>
      <c r="G158" s="10">
        <f t="shared" si="74"/>
        <v>11.975</v>
      </c>
      <c r="H158" s="10">
        <f>D158+июль!H156</f>
        <v>760.45299999999997</v>
      </c>
      <c r="I158" s="8"/>
      <c r="J158" s="54">
        <f>F158+июль!J156</f>
        <v>95.800999999999988</v>
      </c>
      <c r="K158" s="10">
        <f t="shared" si="76"/>
        <v>95.800999999999988</v>
      </c>
      <c r="L158" s="16"/>
      <c r="M158" s="220"/>
      <c r="N158" s="221"/>
      <c r="O158" s="122">
        <f t="shared" si="79"/>
        <v>-664.65200000000004</v>
      </c>
      <c r="P158" s="123">
        <f t="shared" si="80"/>
        <v>-87.402114266101933</v>
      </c>
      <c r="Q158" s="114"/>
      <c r="S158">
        <f t="shared" si="69"/>
        <v>1151.9549999999999</v>
      </c>
      <c r="T158" s="44">
        <f>E158+апр!I153</f>
        <v>0</v>
      </c>
      <c r="U158" s="30">
        <f>F158+апр!J153</f>
        <v>59.876000000000005</v>
      </c>
    </row>
    <row r="159" spans="1:21" ht="75.75" customHeight="1">
      <c r="A159" s="157" t="s">
        <v>144</v>
      </c>
      <c r="B159" s="6" t="s">
        <v>145</v>
      </c>
      <c r="C159" s="157" t="s">
        <v>4</v>
      </c>
      <c r="D159" s="7">
        <f t="shared" ref="D159:J159" si="84">D160</f>
        <v>13.856</v>
      </c>
      <c r="E159" s="7">
        <f t="shared" si="84"/>
        <v>13.833</v>
      </c>
      <c r="F159" s="7">
        <f t="shared" si="84"/>
        <v>2.5449999999999999</v>
      </c>
      <c r="G159" s="10">
        <f t="shared" si="74"/>
        <v>-11.288</v>
      </c>
      <c r="H159" s="7">
        <f t="shared" si="84"/>
        <v>286.70799999999997</v>
      </c>
      <c r="I159" s="7">
        <f t="shared" si="84"/>
        <v>110.664</v>
      </c>
      <c r="J159" s="7">
        <f t="shared" si="84"/>
        <v>163.33199999999999</v>
      </c>
      <c r="K159" s="10">
        <f t="shared" si="76"/>
        <v>52.667999999999992</v>
      </c>
      <c r="L159" s="16">
        <f t="shared" ref="L159:L208" si="85">K159/I159*100</f>
        <v>47.592713077423539</v>
      </c>
      <c r="M159" s="220"/>
      <c r="N159" s="221"/>
      <c r="O159" s="122">
        <f t="shared" si="79"/>
        <v>-123.37599999999998</v>
      </c>
      <c r="P159" s="123">
        <f t="shared" si="80"/>
        <v>-43.031934930312374</v>
      </c>
      <c r="Q159" s="114"/>
      <c r="S159">
        <f t="shared" si="69"/>
        <v>69.28</v>
      </c>
      <c r="T159" s="44">
        <f>E159+апр!I154</f>
        <v>69.165000000000006</v>
      </c>
      <c r="U159" s="30">
        <f>F159+апр!J154</f>
        <v>138.297</v>
      </c>
    </row>
    <row r="160" spans="1:21" ht="17.25" customHeight="1">
      <c r="A160" s="8" t="s">
        <v>146</v>
      </c>
      <c r="B160" s="9" t="s">
        <v>147</v>
      </c>
      <c r="C160" s="8" t="s">
        <v>4</v>
      </c>
      <c r="D160" s="10">
        <v>13.856</v>
      </c>
      <c r="E160" s="8">
        <v>13.833</v>
      </c>
      <c r="F160" s="55">
        <v>2.5449999999999999</v>
      </c>
      <c r="G160" s="10">
        <f t="shared" si="74"/>
        <v>-11.288</v>
      </c>
      <c r="H160" s="10">
        <f>D160+июль!H158</f>
        <v>286.70799999999997</v>
      </c>
      <c r="I160" s="8">
        <f>E160+июль!I158</f>
        <v>110.664</v>
      </c>
      <c r="J160" s="54">
        <f>F160+июль!J158</f>
        <v>163.33199999999999</v>
      </c>
      <c r="K160" s="10">
        <f t="shared" si="76"/>
        <v>52.667999999999992</v>
      </c>
      <c r="L160" s="16">
        <f t="shared" si="85"/>
        <v>47.592713077423539</v>
      </c>
      <c r="M160" s="220"/>
      <c r="N160" s="221"/>
      <c r="O160" s="122">
        <f t="shared" si="79"/>
        <v>-123.37599999999998</v>
      </c>
      <c r="P160" s="123">
        <f t="shared" si="80"/>
        <v>-43.031934930312374</v>
      </c>
      <c r="Q160" s="114"/>
      <c r="S160">
        <f t="shared" si="69"/>
        <v>69.28</v>
      </c>
      <c r="T160" s="44">
        <f>E160+апр!I155</f>
        <v>69.165000000000006</v>
      </c>
      <c r="U160" s="30">
        <f>F160+апр!J155</f>
        <v>138.297</v>
      </c>
    </row>
    <row r="161" spans="1:21" ht="18" customHeight="1">
      <c r="A161" s="157" t="s">
        <v>148</v>
      </c>
      <c r="B161" s="6" t="s">
        <v>149</v>
      </c>
      <c r="C161" s="157" t="s">
        <v>4</v>
      </c>
      <c r="D161" s="27">
        <f t="shared" ref="D161" si="86">D162+D165+D168+D171+D174</f>
        <v>71.188999999999993</v>
      </c>
      <c r="E161" s="157">
        <v>72.417000000000002</v>
      </c>
      <c r="F161" s="27">
        <f>F162+F165+F168+F171+F174</f>
        <v>13.53</v>
      </c>
      <c r="G161" s="10">
        <f t="shared" si="74"/>
        <v>-58.887</v>
      </c>
      <c r="H161" s="27">
        <f>H162+H165+H168+H171+H174</f>
        <v>2989.4986666666668</v>
      </c>
      <c r="I161" s="8">
        <f>E161+июль!I159</f>
        <v>579.33600000000013</v>
      </c>
      <c r="J161" s="27">
        <f>J162+J165+J168+J171+J174</f>
        <v>594.37899999999991</v>
      </c>
      <c r="K161" s="10">
        <f t="shared" si="76"/>
        <v>15.042999999999779</v>
      </c>
      <c r="L161" s="16">
        <f t="shared" si="85"/>
        <v>2.596593341342464</v>
      </c>
      <c r="M161" s="220"/>
      <c r="N161" s="221"/>
      <c r="O161" s="122">
        <f t="shared" si="79"/>
        <v>-2395.1196666666669</v>
      </c>
      <c r="P161" s="123">
        <f t="shared" si="80"/>
        <v>-80.117770025208245</v>
      </c>
      <c r="Q161" s="114"/>
      <c r="S161">
        <f t="shared" si="69"/>
        <v>355.94499999999994</v>
      </c>
      <c r="T161" s="44">
        <f>E161+апр!I156</f>
        <v>362.08500000000004</v>
      </c>
      <c r="U161" s="30">
        <f>F161+апр!J156</f>
        <v>539.44799999999998</v>
      </c>
    </row>
    <row r="162" spans="1:21" ht="17.25" customHeight="1">
      <c r="A162" s="8" t="s">
        <v>150</v>
      </c>
      <c r="B162" s="9" t="s">
        <v>151</v>
      </c>
      <c r="C162" s="8" t="s">
        <v>4</v>
      </c>
      <c r="D162" s="10">
        <v>49.027999999999999</v>
      </c>
      <c r="E162" s="8"/>
      <c r="F162" s="8"/>
      <c r="G162" s="10">
        <f t="shared" si="74"/>
        <v>0</v>
      </c>
      <c r="H162" s="10">
        <f>D162+июль!H160</f>
        <v>392.22400000000005</v>
      </c>
      <c r="I162" s="8"/>
      <c r="J162" s="54">
        <f>F162+июль!J160</f>
        <v>483.976</v>
      </c>
      <c r="K162" s="10">
        <f t="shared" si="76"/>
        <v>483.976</v>
      </c>
      <c r="L162" s="16"/>
      <c r="M162" s="220"/>
      <c r="N162" s="221"/>
      <c r="O162" s="122">
        <f t="shared" si="79"/>
        <v>91.751999999999953</v>
      </c>
      <c r="P162" s="123">
        <f t="shared" si="80"/>
        <v>23.39275516031654</v>
      </c>
      <c r="Q162" s="114"/>
      <c r="S162">
        <f t="shared" si="69"/>
        <v>245.14</v>
      </c>
      <c r="T162" s="44">
        <f>E162+апр!I157</f>
        <v>0</v>
      </c>
      <c r="U162" s="30">
        <f>F162+апр!J157</f>
        <v>483.976</v>
      </c>
    </row>
    <row r="163" spans="1:21" ht="17.25" customHeight="1">
      <c r="A163" s="8"/>
      <c r="B163" s="28" t="s">
        <v>13</v>
      </c>
      <c r="C163" s="8" t="s">
        <v>152</v>
      </c>
      <c r="D163" s="10">
        <v>13.144</v>
      </c>
      <c r="E163" s="8"/>
      <c r="F163" s="8"/>
      <c r="G163" s="10">
        <f t="shared" si="74"/>
        <v>0</v>
      </c>
      <c r="H163" s="10">
        <f>D163+июль!H161</f>
        <v>44.046999999999997</v>
      </c>
      <c r="I163" s="8"/>
      <c r="J163" s="54">
        <f>F163+июль!J161</f>
        <v>81.87</v>
      </c>
      <c r="K163" s="10">
        <f t="shared" si="76"/>
        <v>81.87</v>
      </c>
      <c r="L163" s="16"/>
      <c r="M163" s="227" t="s">
        <v>302</v>
      </c>
      <c r="N163" s="228"/>
      <c r="O163" s="122">
        <f t="shared" si="79"/>
        <v>37.823000000000008</v>
      </c>
      <c r="P163" s="123">
        <f t="shared" si="80"/>
        <v>85.869639248984058</v>
      </c>
      <c r="Q163" s="116"/>
      <c r="S163">
        <f t="shared" si="69"/>
        <v>65.72</v>
      </c>
      <c r="T163" s="44">
        <f>E163+апр!I158</f>
        <v>0</v>
      </c>
      <c r="U163" s="30">
        <f>F163+апр!J158</f>
        <v>81.87</v>
      </c>
    </row>
    <row r="164" spans="1:21" ht="17.25" customHeight="1">
      <c r="A164" s="8"/>
      <c r="B164" s="28" t="s">
        <v>15</v>
      </c>
      <c r="C164" s="8" t="s">
        <v>16</v>
      </c>
      <c r="D164" s="16">
        <f>D162/D163*1000</f>
        <v>3730.0669506999393</v>
      </c>
      <c r="E164" s="16"/>
      <c r="F164" s="16" t="e">
        <f>F162/F163*1000</f>
        <v>#DIV/0!</v>
      </c>
      <c r="G164" s="10" t="e">
        <f t="shared" si="74"/>
        <v>#DIV/0!</v>
      </c>
      <c r="H164" s="16">
        <f>H162/H163*1000</f>
        <v>8904.6700115785425</v>
      </c>
      <c r="I164" s="8"/>
      <c r="J164" s="16">
        <f>J162/J163*1000</f>
        <v>5911.5182606571389</v>
      </c>
      <c r="K164" s="10">
        <f t="shared" si="76"/>
        <v>5911.5182606571389</v>
      </c>
      <c r="L164" s="16"/>
      <c r="M164" s="220"/>
      <c r="N164" s="221"/>
      <c r="O164" s="122">
        <f t="shared" si="79"/>
        <v>-2993.1517509214036</v>
      </c>
      <c r="P164" s="123">
        <f t="shared" si="80"/>
        <v>-33.613280975369953</v>
      </c>
      <c r="Q164" s="114"/>
      <c r="S164">
        <f t="shared" si="69"/>
        <v>18650.334753499697</v>
      </c>
      <c r="T164" s="44">
        <f>E164+апр!I159</f>
        <v>0</v>
      </c>
      <c r="U164" s="30" t="e">
        <f>F164+апр!J159</f>
        <v>#DIV/0!</v>
      </c>
    </row>
    <row r="165" spans="1:21" ht="17.25" customHeight="1">
      <c r="A165" s="8" t="s">
        <v>153</v>
      </c>
      <c r="B165" s="9" t="s">
        <v>154</v>
      </c>
      <c r="C165" s="8" t="s">
        <v>4</v>
      </c>
      <c r="D165" s="10">
        <v>0.92300000000000004</v>
      </c>
      <c r="E165" s="8"/>
      <c r="F165" s="8"/>
      <c r="G165" s="10">
        <f t="shared" si="74"/>
        <v>0</v>
      </c>
      <c r="H165" s="10">
        <f>D165+июль!H163</f>
        <v>1233.4356666666667</v>
      </c>
      <c r="I165" s="8"/>
      <c r="J165" s="54">
        <f>F165+июль!J163</f>
        <v>0</v>
      </c>
      <c r="K165" s="10">
        <f t="shared" si="76"/>
        <v>0</v>
      </c>
      <c r="L165" s="16"/>
      <c r="M165" s="220"/>
      <c r="N165" s="221"/>
      <c r="O165" s="122">
        <f t="shared" si="79"/>
        <v>-1233.4356666666667</v>
      </c>
      <c r="P165" s="123">
        <f t="shared" si="80"/>
        <v>-100</v>
      </c>
      <c r="Q165" s="114"/>
      <c r="S165">
        <f t="shared" si="69"/>
        <v>4.6150000000000002</v>
      </c>
      <c r="T165" s="44">
        <f>E165+апр!I160</f>
        <v>0</v>
      </c>
      <c r="U165" s="30">
        <f>F165+апр!J160</f>
        <v>0</v>
      </c>
    </row>
    <row r="166" spans="1:21" ht="17.25" customHeight="1">
      <c r="A166" s="8"/>
      <c r="B166" s="28" t="s">
        <v>13</v>
      </c>
      <c r="C166" s="8" t="s">
        <v>155</v>
      </c>
      <c r="D166" s="10">
        <v>0.75</v>
      </c>
      <c r="E166" s="8"/>
      <c r="F166" s="8"/>
      <c r="G166" s="10">
        <f t="shared" si="74"/>
        <v>0</v>
      </c>
      <c r="H166" s="10">
        <f>D166+июль!H164</f>
        <v>13.15</v>
      </c>
      <c r="I166" s="8"/>
      <c r="J166" s="54">
        <f>F166+июль!J164</f>
        <v>0</v>
      </c>
      <c r="K166" s="10">
        <f t="shared" si="76"/>
        <v>0</v>
      </c>
      <c r="L166" s="16"/>
      <c r="M166" s="220"/>
      <c r="N166" s="221"/>
      <c r="O166" s="122">
        <f t="shared" si="79"/>
        <v>-13.15</v>
      </c>
      <c r="P166" s="123">
        <f t="shared" si="80"/>
        <v>-100</v>
      </c>
      <c r="Q166" s="114"/>
      <c r="S166">
        <f t="shared" si="69"/>
        <v>3.75</v>
      </c>
      <c r="T166" s="44">
        <f>E166+апр!I161</f>
        <v>0</v>
      </c>
      <c r="U166" s="30">
        <f>F166+апр!J161</f>
        <v>0</v>
      </c>
    </row>
    <row r="167" spans="1:21" ht="17.25" customHeight="1">
      <c r="A167" s="8"/>
      <c r="B167" s="28" t="s">
        <v>15</v>
      </c>
      <c r="C167" s="8" t="s">
        <v>16</v>
      </c>
      <c r="D167" s="16">
        <f>D165/D166*1000</f>
        <v>1230.6666666666667</v>
      </c>
      <c r="E167" s="8"/>
      <c r="F167" s="8"/>
      <c r="G167" s="10">
        <f t="shared" si="74"/>
        <v>0</v>
      </c>
      <c r="H167" s="16">
        <f>H165/H166*1000</f>
        <v>93797.389100126748</v>
      </c>
      <c r="I167" s="8"/>
      <c r="J167" s="8"/>
      <c r="K167" s="10">
        <f t="shared" si="76"/>
        <v>0</v>
      </c>
      <c r="L167" s="16"/>
      <c r="M167" s="220"/>
      <c r="N167" s="221"/>
      <c r="O167" s="122">
        <f t="shared" si="79"/>
        <v>-93797.389100126748</v>
      </c>
      <c r="P167" s="123">
        <f t="shared" si="80"/>
        <v>-100</v>
      </c>
      <c r="Q167" s="114"/>
      <c r="S167">
        <f t="shared" si="69"/>
        <v>6153.3333333333339</v>
      </c>
      <c r="T167" s="44">
        <f>E167+апр!I162</f>
        <v>0</v>
      </c>
      <c r="U167" s="30">
        <f>F167+апр!J162</f>
        <v>0</v>
      </c>
    </row>
    <row r="168" spans="1:21" ht="17.25" customHeight="1">
      <c r="A168" s="8" t="s">
        <v>156</v>
      </c>
      <c r="B168" s="9" t="s">
        <v>157</v>
      </c>
      <c r="C168" s="8" t="s">
        <v>4</v>
      </c>
      <c r="D168" s="10">
        <v>2.1800000000000002</v>
      </c>
      <c r="E168" s="8"/>
      <c r="F168" s="55">
        <v>1.575</v>
      </c>
      <c r="G168" s="10">
        <f t="shared" si="74"/>
        <v>1.575</v>
      </c>
      <c r="H168" s="10">
        <f>D168+июль!H166</f>
        <v>115.54000000000002</v>
      </c>
      <c r="I168" s="8"/>
      <c r="J168" s="54">
        <f>F168+июль!J166</f>
        <v>21.201999999999998</v>
      </c>
      <c r="K168" s="10">
        <f t="shared" si="76"/>
        <v>21.201999999999998</v>
      </c>
      <c r="L168" s="16"/>
      <c r="M168" s="220"/>
      <c r="N168" s="221"/>
      <c r="O168" s="122">
        <f t="shared" si="79"/>
        <v>-94.338000000000022</v>
      </c>
      <c r="P168" s="123">
        <f t="shared" si="80"/>
        <v>-81.649645144538695</v>
      </c>
      <c r="Q168" s="114"/>
      <c r="S168">
        <f t="shared" si="69"/>
        <v>10.9</v>
      </c>
      <c r="T168" s="44">
        <f>E168+апр!I163</f>
        <v>0</v>
      </c>
      <c r="U168" s="30">
        <f>F168+апр!J163</f>
        <v>14.377999999999998</v>
      </c>
    </row>
    <row r="169" spans="1:21" ht="17.25" customHeight="1">
      <c r="A169" s="8"/>
      <c r="B169" s="28" t="s">
        <v>13</v>
      </c>
      <c r="C169" s="8" t="s">
        <v>155</v>
      </c>
      <c r="D169" s="14">
        <v>20</v>
      </c>
      <c r="E169" s="8"/>
      <c r="F169" s="8"/>
      <c r="G169" s="10">
        <f t="shared" si="74"/>
        <v>0</v>
      </c>
      <c r="H169" s="10">
        <f>D169+июль!H167</f>
        <v>155.29</v>
      </c>
      <c r="I169" s="8"/>
      <c r="J169" s="54">
        <f>F169+июль!J167</f>
        <v>99</v>
      </c>
      <c r="K169" s="10">
        <f t="shared" si="76"/>
        <v>99</v>
      </c>
      <c r="L169" s="16"/>
      <c r="M169" s="220"/>
      <c r="N169" s="221"/>
      <c r="O169" s="122">
        <f t="shared" si="79"/>
        <v>-56.289999999999992</v>
      </c>
      <c r="P169" s="123">
        <f t="shared" si="80"/>
        <v>-36.248309614270077</v>
      </c>
      <c r="Q169" s="114"/>
      <c r="S169">
        <f t="shared" si="69"/>
        <v>100</v>
      </c>
      <c r="T169" s="44">
        <f>E169+апр!I164</f>
        <v>0</v>
      </c>
      <c r="U169" s="30">
        <f>F169+апр!J164</f>
        <v>99</v>
      </c>
    </row>
    <row r="170" spans="1:21" ht="17.25" customHeight="1">
      <c r="A170" s="8"/>
      <c r="B170" s="28" t="s">
        <v>15</v>
      </c>
      <c r="C170" s="8" t="s">
        <v>16</v>
      </c>
      <c r="D170" s="16">
        <f>D168/D169*1000</f>
        <v>109.00000000000001</v>
      </c>
      <c r="E170" s="16"/>
      <c r="F170" s="16" t="e">
        <f t="shared" ref="F170" si="87">F168/F169*1000</f>
        <v>#DIV/0!</v>
      </c>
      <c r="G170" s="10" t="e">
        <f t="shared" si="74"/>
        <v>#DIV/0!</v>
      </c>
      <c r="H170" s="16">
        <f>H168/H169*1000</f>
        <v>744.02730375426643</v>
      </c>
      <c r="I170" s="8"/>
      <c r="J170" s="16">
        <f t="shared" ref="J170" si="88">J168/J169*1000</f>
        <v>214.16161616161614</v>
      </c>
      <c r="K170" s="10">
        <f t="shared" si="76"/>
        <v>214.16161616161614</v>
      </c>
      <c r="L170" s="16"/>
      <c r="M170" s="220"/>
      <c r="N170" s="221"/>
      <c r="O170" s="122">
        <f t="shared" si="79"/>
        <v>-529.86568759265026</v>
      </c>
      <c r="P170" s="123">
        <f t="shared" si="80"/>
        <v>-71.215892873691047</v>
      </c>
      <c r="Q170" s="114"/>
      <c r="S170">
        <f t="shared" si="69"/>
        <v>545.00000000000011</v>
      </c>
      <c r="T170" s="44">
        <f>E170+апр!I165</f>
        <v>0</v>
      </c>
      <c r="U170" s="30" t="e">
        <f>F170+апр!J165</f>
        <v>#DIV/0!</v>
      </c>
    </row>
    <row r="171" spans="1:21" ht="17.25" customHeight="1">
      <c r="A171" s="8" t="s">
        <v>158</v>
      </c>
      <c r="B171" s="9" t="s">
        <v>159</v>
      </c>
      <c r="C171" s="8" t="s">
        <v>4</v>
      </c>
      <c r="D171" s="10">
        <v>19.058</v>
      </c>
      <c r="E171" s="8"/>
      <c r="F171" s="54">
        <v>11.1</v>
      </c>
      <c r="G171" s="10">
        <f t="shared" si="74"/>
        <v>11.1</v>
      </c>
      <c r="H171" s="10">
        <f>D171+июль!H169</f>
        <v>1248.299</v>
      </c>
      <c r="I171" s="8"/>
      <c r="J171" s="54">
        <f>F171+июль!J169</f>
        <v>77.699999999999989</v>
      </c>
      <c r="K171" s="10">
        <f t="shared" si="76"/>
        <v>77.699999999999989</v>
      </c>
      <c r="L171" s="16"/>
      <c r="M171" s="220"/>
      <c r="N171" s="221"/>
      <c r="O171" s="122">
        <f t="shared" si="79"/>
        <v>-1170.5989999999999</v>
      </c>
      <c r="P171" s="123">
        <f t="shared" si="80"/>
        <v>-93.775529740871377</v>
      </c>
      <c r="Q171" s="114"/>
      <c r="S171">
        <f t="shared" si="69"/>
        <v>95.289999999999992</v>
      </c>
      <c r="T171" s="44">
        <f>E171+апр!I166</f>
        <v>0</v>
      </c>
      <c r="U171" s="30">
        <f>F171+апр!J166</f>
        <v>33.299999999999997</v>
      </c>
    </row>
    <row r="172" spans="1:21" ht="17.25" customHeight="1">
      <c r="A172" s="8"/>
      <c r="B172" s="28" t="s">
        <v>13</v>
      </c>
      <c r="C172" s="8" t="s">
        <v>155</v>
      </c>
      <c r="D172" s="14">
        <v>16</v>
      </c>
      <c r="E172" s="8"/>
      <c r="F172" s="8"/>
      <c r="G172" s="10">
        <f t="shared" si="74"/>
        <v>0</v>
      </c>
      <c r="H172" s="10">
        <f>D172+июль!H170</f>
        <v>48</v>
      </c>
      <c r="I172" s="8"/>
      <c r="J172" s="54">
        <f>F172+июль!J170</f>
        <v>6</v>
      </c>
      <c r="K172" s="10">
        <f t="shared" si="76"/>
        <v>6</v>
      </c>
      <c r="L172" s="16"/>
      <c r="M172" s="220"/>
      <c r="N172" s="221"/>
      <c r="O172" s="122">
        <f t="shared" si="79"/>
        <v>-42</v>
      </c>
      <c r="P172" s="123">
        <f t="shared" si="80"/>
        <v>-87.5</v>
      </c>
      <c r="Q172" s="114"/>
      <c r="S172">
        <f t="shared" si="69"/>
        <v>80</v>
      </c>
      <c r="T172" s="44">
        <f>E172+апр!I167</f>
        <v>0</v>
      </c>
      <c r="U172" s="30">
        <f>F172+апр!J167</f>
        <v>6</v>
      </c>
    </row>
    <row r="173" spans="1:21" ht="17.25" customHeight="1">
      <c r="A173" s="8"/>
      <c r="B173" s="28" t="s">
        <v>15</v>
      </c>
      <c r="C173" s="8" t="s">
        <v>16</v>
      </c>
      <c r="D173" s="16">
        <f>D171/D172*1000</f>
        <v>1191.125</v>
      </c>
      <c r="E173" s="8"/>
      <c r="F173" s="16" t="e">
        <f>F171/F172*1000</f>
        <v>#DIV/0!</v>
      </c>
      <c r="G173" s="10" t="e">
        <f t="shared" si="74"/>
        <v>#DIV/0!</v>
      </c>
      <c r="H173" s="16">
        <f>H171/H172*1000</f>
        <v>26006.229166666668</v>
      </c>
      <c r="I173" s="8"/>
      <c r="J173" s="16">
        <f>J171/J172*1000</f>
        <v>12949.999999999998</v>
      </c>
      <c r="K173" s="10">
        <f t="shared" si="76"/>
        <v>12949.999999999998</v>
      </c>
      <c r="L173" s="16"/>
      <c r="M173" s="220"/>
      <c r="N173" s="221"/>
      <c r="O173" s="122">
        <f t="shared" si="79"/>
        <v>-13056.22916666667</v>
      </c>
      <c r="P173" s="123">
        <f t="shared" si="80"/>
        <v>-50.204237926971032</v>
      </c>
      <c r="Q173" s="114"/>
      <c r="S173">
        <f t="shared" si="69"/>
        <v>5955.625</v>
      </c>
      <c r="T173" s="44">
        <f>E173+апр!I168</f>
        <v>0</v>
      </c>
      <c r="U173" s="30" t="e">
        <f>F173+апр!J168</f>
        <v>#DIV/0!</v>
      </c>
    </row>
    <row r="174" spans="1:21" ht="17.25" customHeight="1">
      <c r="A174" s="8" t="s">
        <v>158</v>
      </c>
      <c r="B174" s="9" t="s">
        <v>224</v>
      </c>
      <c r="C174" s="8" t="s">
        <v>4</v>
      </c>
      <c r="D174" s="10">
        <v>0</v>
      </c>
      <c r="E174" s="8"/>
      <c r="F174" s="55">
        <v>0.85499999999999998</v>
      </c>
      <c r="G174" s="10">
        <f t="shared" si="74"/>
        <v>0.85499999999999998</v>
      </c>
      <c r="H174" s="10">
        <f>D174+июль!H172</f>
        <v>0</v>
      </c>
      <c r="I174" s="8"/>
      <c r="J174" s="54">
        <f>F174+июль!J172</f>
        <v>11.500999999999999</v>
      </c>
      <c r="K174" s="10">
        <f t="shared" si="76"/>
        <v>11.500999999999999</v>
      </c>
      <c r="L174" s="16"/>
      <c r="M174" s="220"/>
      <c r="N174" s="221"/>
      <c r="O174" s="122">
        <f t="shared" si="79"/>
        <v>11.500999999999999</v>
      </c>
      <c r="P174" s="123" t="e">
        <f t="shared" si="80"/>
        <v>#DIV/0!</v>
      </c>
      <c r="Q174" s="114"/>
      <c r="S174">
        <f t="shared" si="69"/>
        <v>0</v>
      </c>
      <c r="T174" s="44">
        <f>E174+апр!I169</f>
        <v>0</v>
      </c>
      <c r="U174" s="30">
        <f>F174+апр!J169</f>
        <v>7.7940000000000005</v>
      </c>
    </row>
    <row r="175" spans="1:21" ht="17.25" customHeight="1">
      <c r="A175" s="8"/>
      <c r="B175" s="28" t="s">
        <v>13</v>
      </c>
      <c r="C175" s="8" t="s">
        <v>155</v>
      </c>
      <c r="D175" s="14">
        <v>0</v>
      </c>
      <c r="E175" s="8"/>
      <c r="F175" s="8"/>
      <c r="G175" s="10">
        <f t="shared" si="74"/>
        <v>0</v>
      </c>
      <c r="H175" s="10">
        <f>D175+июль!H173</f>
        <v>0</v>
      </c>
      <c r="I175" s="8"/>
      <c r="J175" s="54">
        <f>F175+июль!J173</f>
        <v>99</v>
      </c>
      <c r="K175" s="10">
        <f t="shared" si="76"/>
        <v>99</v>
      </c>
      <c r="L175" s="16"/>
      <c r="M175" s="220"/>
      <c r="N175" s="221"/>
      <c r="O175" s="122">
        <f t="shared" si="79"/>
        <v>99</v>
      </c>
      <c r="P175" s="123" t="e">
        <f t="shared" si="80"/>
        <v>#DIV/0!</v>
      </c>
      <c r="Q175" s="114"/>
      <c r="S175">
        <f t="shared" si="69"/>
        <v>0</v>
      </c>
      <c r="T175" s="44">
        <f>E175+апр!I170</f>
        <v>0</v>
      </c>
      <c r="U175" s="30">
        <f>F175+апр!J170</f>
        <v>99</v>
      </c>
    </row>
    <row r="176" spans="1:21" ht="17.25" customHeight="1">
      <c r="A176" s="8"/>
      <c r="B176" s="28" t="s">
        <v>15</v>
      </c>
      <c r="C176" s="8" t="s">
        <v>16</v>
      </c>
      <c r="D176" s="16" t="e">
        <f>D174/D175*1000</f>
        <v>#DIV/0!</v>
      </c>
      <c r="E176" s="8"/>
      <c r="F176" s="16" t="e">
        <f>F174/F175*1000</f>
        <v>#DIV/0!</v>
      </c>
      <c r="G176" s="10" t="e">
        <f t="shared" si="74"/>
        <v>#DIV/0!</v>
      </c>
      <c r="H176" s="16" t="e">
        <f>H174/H175*1000</f>
        <v>#DIV/0!</v>
      </c>
      <c r="I176" s="8"/>
      <c r="J176" s="16">
        <f>J174/J175*1000</f>
        <v>116.17171717171716</v>
      </c>
      <c r="K176" s="10">
        <f t="shared" si="76"/>
        <v>116.17171717171716</v>
      </c>
      <c r="L176" s="16"/>
      <c r="M176" s="220"/>
      <c r="N176" s="221"/>
      <c r="O176" s="122" t="e">
        <f t="shared" si="79"/>
        <v>#DIV/0!</v>
      </c>
      <c r="P176" s="123" t="e">
        <f t="shared" si="80"/>
        <v>#DIV/0!</v>
      </c>
      <c r="Q176" s="114"/>
      <c r="S176" t="e">
        <f t="shared" si="69"/>
        <v>#DIV/0!</v>
      </c>
      <c r="T176" s="44">
        <f>E176+апр!I171</f>
        <v>0</v>
      </c>
      <c r="U176" s="30" t="e">
        <f>F176+апр!J171</f>
        <v>#DIV/0!</v>
      </c>
    </row>
    <row r="177" spans="1:21" ht="17.25" customHeight="1">
      <c r="A177" s="16" t="s">
        <v>160</v>
      </c>
      <c r="B177" s="9" t="s">
        <v>108</v>
      </c>
      <c r="C177" s="8" t="s">
        <v>4</v>
      </c>
      <c r="D177" s="10">
        <v>62.704999999999998</v>
      </c>
      <c r="E177" s="8">
        <v>62.667000000000002</v>
      </c>
      <c r="F177" s="10">
        <f>F178+F179+F180</f>
        <v>38.479999999999997</v>
      </c>
      <c r="G177" s="10">
        <f t="shared" si="74"/>
        <v>-24.187000000000005</v>
      </c>
      <c r="H177" s="10">
        <f>D177+июль!H175</f>
        <v>501.63999999999993</v>
      </c>
      <c r="I177" s="8">
        <f>E177+июль!I175</f>
        <v>501.33600000000013</v>
      </c>
      <c r="J177" s="8">
        <f>J178+J179+J180</f>
        <v>556.29100000000005</v>
      </c>
      <c r="K177" s="10">
        <f t="shared" si="76"/>
        <v>54.954999999999927</v>
      </c>
      <c r="L177" s="16">
        <f t="shared" si="85"/>
        <v>10.961710310051526</v>
      </c>
      <c r="M177" s="220"/>
      <c r="N177" s="221"/>
      <c r="O177" s="122">
        <f t="shared" si="79"/>
        <v>54.651000000000124</v>
      </c>
      <c r="P177" s="123">
        <f t="shared" si="80"/>
        <v>10.894466151024664</v>
      </c>
      <c r="Q177" s="114"/>
      <c r="S177">
        <f t="shared" si="69"/>
        <v>313.52499999999998</v>
      </c>
      <c r="T177" s="44">
        <f>E177+апр!I172</f>
        <v>313.33500000000004</v>
      </c>
      <c r="U177" s="30">
        <f>F177+апр!J172</f>
        <v>299.03100000000006</v>
      </c>
    </row>
    <row r="178" spans="1:21" ht="17.25" customHeight="1">
      <c r="A178" s="16"/>
      <c r="B178" s="9" t="s">
        <v>221</v>
      </c>
      <c r="C178" s="8" t="s">
        <v>4</v>
      </c>
      <c r="D178" s="10"/>
      <c r="E178" s="8"/>
      <c r="F178" s="54">
        <v>38.479999999999997</v>
      </c>
      <c r="G178" s="10">
        <f t="shared" si="74"/>
        <v>38.479999999999997</v>
      </c>
      <c r="H178" s="10">
        <f>D178+июль!H176</f>
        <v>0</v>
      </c>
      <c r="I178" s="8"/>
      <c r="J178" s="54">
        <f>F178+июль!J176</f>
        <v>442.47</v>
      </c>
      <c r="K178" s="10">
        <f t="shared" si="76"/>
        <v>442.47</v>
      </c>
      <c r="L178" s="16"/>
      <c r="M178" s="220"/>
      <c r="N178" s="221"/>
      <c r="O178" s="122">
        <f t="shared" si="79"/>
        <v>442.47</v>
      </c>
      <c r="P178" s="123" t="e">
        <f t="shared" si="80"/>
        <v>#DIV/0!</v>
      </c>
      <c r="Q178" s="114"/>
      <c r="S178">
        <f t="shared" si="69"/>
        <v>0</v>
      </c>
      <c r="T178" s="44">
        <f>E178+апр!I173</f>
        <v>0</v>
      </c>
      <c r="U178" s="30">
        <f>F178+апр!J173</f>
        <v>197.21</v>
      </c>
    </row>
    <row r="179" spans="1:21" ht="37.5" customHeight="1">
      <c r="A179" s="16"/>
      <c r="B179" s="9" t="s">
        <v>222</v>
      </c>
      <c r="C179" s="8" t="s">
        <v>4</v>
      </c>
      <c r="D179" s="10"/>
      <c r="E179" s="8"/>
      <c r="F179" s="10"/>
      <c r="G179" s="10">
        <f t="shared" si="74"/>
        <v>0</v>
      </c>
      <c r="H179" s="10">
        <f>D179+июль!H177</f>
        <v>324.53000000000003</v>
      </c>
      <c r="I179" s="8"/>
      <c r="J179" s="54">
        <f>F179+июль!J177</f>
        <v>113.821</v>
      </c>
      <c r="K179" s="10">
        <f t="shared" si="76"/>
        <v>113.821</v>
      </c>
      <c r="L179" s="16"/>
      <c r="M179" s="220"/>
      <c r="N179" s="221"/>
      <c r="O179" s="122">
        <f t="shared" si="79"/>
        <v>-210.70900000000003</v>
      </c>
      <c r="P179" s="123">
        <f t="shared" si="80"/>
        <v>-64.927433519243209</v>
      </c>
      <c r="Q179" s="114"/>
      <c r="S179">
        <f t="shared" si="69"/>
        <v>0</v>
      </c>
      <c r="T179" s="44">
        <f>E179+апр!I174</f>
        <v>0</v>
      </c>
      <c r="U179" s="30">
        <f>F179+апр!J174</f>
        <v>101.821</v>
      </c>
    </row>
    <row r="180" spans="1:21" ht="18.75" customHeight="1">
      <c r="A180" s="16"/>
      <c r="B180" s="9" t="s">
        <v>223</v>
      </c>
      <c r="C180" s="8" t="s">
        <v>4</v>
      </c>
      <c r="D180" s="10"/>
      <c r="E180" s="8"/>
      <c r="F180" s="8"/>
      <c r="G180" s="10">
        <f t="shared" si="74"/>
        <v>0</v>
      </c>
      <c r="H180" s="10">
        <f>D180+июль!H178</f>
        <v>11.165000000000001</v>
      </c>
      <c r="I180" s="8"/>
      <c r="J180" s="54">
        <f>F180+июль!J178</f>
        <v>0</v>
      </c>
      <c r="K180" s="10">
        <f t="shared" si="76"/>
        <v>0</v>
      </c>
      <c r="L180" s="16"/>
      <c r="M180" s="220"/>
      <c r="N180" s="221"/>
      <c r="O180" s="122">
        <f t="shared" si="79"/>
        <v>-11.165000000000001</v>
      </c>
      <c r="P180" s="123">
        <f t="shared" si="80"/>
        <v>-100</v>
      </c>
      <c r="Q180" s="114"/>
      <c r="S180">
        <f t="shared" si="69"/>
        <v>0</v>
      </c>
      <c r="T180" s="44">
        <f>E180+апр!I175</f>
        <v>0</v>
      </c>
      <c r="U180" s="30">
        <f>F180+апр!J175</f>
        <v>0</v>
      </c>
    </row>
    <row r="181" spans="1:21" ht="18.75">
      <c r="A181" s="16" t="s">
        <v>161</v>
      </c>
      <c r="B181" s="9" t="s">
        <v>162</v>
      </c>
      <c r="C181" s="8" t="s">
        <v>4</v>
      </c>
      <c r="D181" s="10">
        <v>64.906000000000006</v>
      </c>
      <c r="E181" s="8">
        <v>64.917000000000002</v>
      </c>
      <c r="F181" s="8">
        <f>8.554+17.855+5.414+13.733+13.125</f>
        <v>58.680999999999997</v>
      </c>
      <c r="G181" s="10">
        <f t="shared" si="74"/>
        <v>-6.2360000000000042</v>
      </c>
      <c r="H181" s="10">
        <f>D181+июль!H179</f>
        <v>205.88300000000004</v>
      </c>
      <c r="I181" s="8">
        <f>E181+июль!I179</f>
        <v>519.33600000000013</v>
      </c>
      <c r="J181" s="54">
        <f>F181+июль!J179</f>
        <v>580.26900000000001</v>
      </c>
      <c r="K181" s="10">
        <f t="shared" si="76"/>
        <v>60.932999999999879</v>
      </c>
      <c r="L181" s="16">
        <f t="shared" si="85"/>
        <v>11.732866583483499</v>
      </c>
      <c r="M181" s="220"/>
      <c r="N181" s="221"/>
      <c r="O181" s="122">
        <f t="shared" si="79"/>
        <v>374.38599999999997</v>
      </c>
      <c r="P181" s="123">
        <f t="shared" si="80"/>
        <v>181.8440570615349</v>
      </c>
      <c r="Q181" s="114"/>
      <c r="S181">
        <f t="shared" si="69"/>
        <v>324.53000000000003</v>
      </c>
      <c r="T181" s="44">
        <f>E181+апр!I176</f>
        <v>324.58500000000004</v>
      </c>
      <c r="U181" s="30">
        <f>F181+апр!J176</f>
        <v>364.19799999999998</v>
      </c>
    </row>
    <row r="182" spans="1:21" ht="35.25" customHeight="1">
      <c r="A182" s="16" t="s">
        <v>163</v>
      </c>
      <c r="B182" s="9" t="s">
        <v>165</v>
      </c>
      <c r="C182" s="8" t="s">
        <v>4</v>
      </c>
      <c r="D182" s="10">
        <f>D183</f>
        <v>2.2330000000000001</v>
      </c>
      <c r="E182" s="8"/>
      <c r="F182" s="8"/>
      <c r="G182" s="10">
        <f t="shared" si="74"/>
        <v>0</v>
      </c>
      <c r="H182" s="10">
        <f>H183</f>
        <v>313.16399999999999</v>
      </c>
      <c r="I182" s="8"/>
      <c r="J182" s="8"/>
      <c r="K182" s="10">
        <f t="shared" si="76"/>
        <v>0</v>
      </c>
      <c r="L182" s="16"/>
      <c r="M182" s="220"/>
      <c r="N182" s="221"/>
      <c r="O182" s="122">
        <f t="shared" si="79"/>
        <v>-313.16399999999999</v>
      </c>
      <c r="P182" s="123">
        <f t="shared" si="80"/>
        <v>-100</v>
      </c>
      <c r="Q182" s="114"/>
      <c r="S182">
        <f t="shared" si="69"/>
        <v>11.165000000000001</v>
      </c>
      <c r="T182" s="44">
        <f>E182+апр!I177</f>
        <v>0</v>
      </c>
      <c r="U182" s="30">
        <f>F182+апр!J177</f>
        <v>0</v>
      </c>
    </row>
    <row r="183" spans="1:21" ht="18.75" customHeight="1">
      <c r="A183" s="16"/>
      <c r="B183" s="9" t="s">
        <v>100</v>
      </c>
      <c r="C183" s="8" t="s">
        <v>4</v>
      </c>
      <c r="D183" s="10">
        <v>2.2330000000000001</v>
      </c>
      <c r="E183" s="8"/>
      <c r="F183" s="8"/>
      <c r="G183" s="10">
        <f t="shared" si="74"/>
        <v>0</v>
      </c>
      <c r="H183" s="10">
        <f>D183+июль!H181</f>
        <v>313.16399999999999</v>
      </c>
      <c r="I183" s="8"/>
      <c r="J183" s="54">
        <f>F183+июль!J181</f>
        <v>0</v>
      </c>
      <c r="K183" s="10">
        <f t="shared" si="76"/>
        <v>0</v>
      </c>
      <c r="L183" s="16"/>
      <c r="M183" s="149"/>
      <c r="N183" s="150"/>
      <c r="O183" s="122">
        <f t="shared" si="79"/>
        <v>-313.16399999999999</v>
      </c>
      <c r="P183" s="123">
        <f t="shared" si="80"/>
        <v>-100</v>
      </c>
      <c r="Q183" s="114"/>
      <c r="S183">
        <f t="shared" si="69"/>
        <v>11.165000000000001</v>
      </c>
      <c r="T183" s="44">
        <f>E183+апр!I178</f>
        <v>0</v>
      </c>
      <c r="U183" s="30">
        <f>F183+апр!J178</f>
        <v>0</v>
      </c>
    </row>
    <row r="184" spans="1:21" ht="17.25" customHeight="1">
      <c r="A184" s="16" t="s">
        <v>164</v>
      </c>
      <c r="B184" s="6" t="s">
        <v>169</v>
      </c>
      <c r="C184" s="157" t="s">
        <v>4</v>
      </c>
      <c r="D184" s="7">
        <f t="shared" ref="D184:F184" si="89">D185+D186+D187</f>
        <v>318.99799999999999</v>
      </c>
      <c r="E184" s="7">
        <f t="shared" si="89"/>
        <v>637.41600000000005</v>
      </c>
      <c r="F184" s="7">
        <f t="shared" si="89"/>
        <v>1548.7660000000001</v>
      </c>
      <c r="G184" s="10">
        <f t="shared" si="74"/>
        <v>911.35</v>
      </c>
      <c r="H184" s="7">
        <f t="shared" ref="H184:J184" si="90">H185+H186+H187</f>
        <v>2134.2689999999998</v>
      </c>
      <c r="I184" s="7">
        <f t="shared" si="90"/>
        <v>4523.2449999999999</v>
      </c>
      <c r="J184" s="7">
        <f t="shared" si="90"/>
        <v>3275.0240000000003</v>
      </c>
      <c r="K184" s="10">
        <f t="shared" si="76"/>
        <v>-1248.2209999999995</v>
      </c>
      <c r="L184" s="16">
        <f t="shared" si="85"/>
        <v>-27.595697336757119</v>
      </c>
      <c r="M184" s="220"/>
      <c r="N184" s="221"/>
      <c r="O184" s="122">
        <f t="shared" si="79"/>
        <v>1140.7550000000006</v>
      </c>
      <c r="P184" s="123">
        <f t="shared" si="80"/>
        <v>53.449448031152613</v>
      </c>
      <c r="Q184" s="114"/>
      <c r="S184">
        <f t="shared" si="69"/>
        <v>1594.99</v>
      </c>
      <c r="T184" s="44">
        <f>E184+апр!I179</f>
        <v>3187.0800000000004</v>
      </c>
      <c r="U184" s="30">
        <f>F184+апр!J179</f>
        <v>1548.7660000000001</v>
      </c>
    </row>
    <row r="185" spans="1:21" ht="17.25" customHeight="1">
      <c r="A185" s="8" t="s">
        <v>166</v>
      </c>
      <c r="B185" s="9" t="s">
        <v>170</v>
      </c>
      <c r="C185" s="8" t="s">
        <v>4</v>
      </c>
      <c r="D185" s="10">
        <v>61.292999999999999</v>
      </c>
      <c r="E185" s="8">
        <v>61.332999999999998</v>
      </c>
      <c r="F185" s="8"/>
      <c r="G185" s="10">
        <f t="shared" si="74"/>
        <v>-61.332999999999998</v>
      </c>
      <c r="H185" s="10">
        <f>D185+июль!H183</f>
        <v>630.01900000000001</v>
      </c>
      <c r="I185" s="8">
        <f>E185+июль!I183</f>
        <v>490.66399999999987</v>
      </c>
      <c r="J185" s="54">
        <f>F185+июль!J183</f>
        <v>0</v>
      </c>
      <c r="K185" s="10">
        <f t="shared" si="76"/>
        <v>-490.66399999999987</v>
      </c>
      <c r="L185" s="16">
        <f t="shared" si="85"/>
        <v>-100</v>
      </c>
      <c r="M185" s="220"/>
      <c r="N185" s="221"/>
      <c r="O185" s="122">
        <f t="shared" si="79"/>
        <v>-630.01900000000001</v>
      </c>
      <c r="P185" s="123">
        <f t="shared" si="80"/>
        <v>-100</v>
      </c>
      <c r="Q185" s="114"/>
      <c r="S185">
        <f t="shared" si="69"/>
        <v>306.46499999999997</v>
      </c>
      <c r="T185" s="44">
        <f>E185+апр!I180</f>
        <v>306.66499999999996</v>
      </c>
      <c r="U185" s="30">
        <f>F185+апр!J180</f>
        <v>0</v>
      </c>
    </row>
    <row r="186" spans="1:21" ht="17.25" customHeight="1">
      <c r="A186" s="8" t="s">
        <v>167</v>
      </c>
      <c r="B186" s="9" t="s">
        <v>171</v>
      </c>
      <c r="C186" s="8" t="s">
        <v>4</v>
      </c>
      <c r="D186" s="10">
        <v>168.477</v>
      </c>
      <c r="E186" s="8">
        <v>486.83300000000003</v>
      </c>
      <c r="F186" s="8">
        <v>1277.2550000000001</v>
      </c>
      <c r="G186" s="10">
        <f t="shared" si="74"/>
        <v>790.42200000000003</v>
      </c>
      <c r="H186" s="10">
        <f>D186+июль!H184</f>
        <v>983.976</v>
      </c>
      <c r="I186" s="8">
        <f>E186+июль!I184</f>
        <v>3407.8310000000001</v>
      </c>
      <c r="J186" s="54">
        <f>F186+июль!J184</f>
        <v>2732.0020000000004</v>
      </c>
      <c r="K186" s="10">
        <f t="shared" si="76"/>
        <v>-675.82899999999972</v>
      </c>
      <c r="L186" s="16">
        <f t="shared" si="85"/>
        <v>-19.83164658106578</v>
      </c>
      <c r="M186" s="227" t="s">
        <v>300</v>
      </c>
      <c r="N186" s="228"/>
      <c r="O186" s="122">
        <f t="shared" si="79"/>
        <v>1748.0260000000003</v>
      </c>
      <c r="P186" s="123">
        <f t="shared" si="80"/>
        <v>177.64925160776281</v>
      </c>
      <c r="Q186" s="116"/>
      <c r="S186">
        <f t="shared" si="69"/>
        <v>842.38499999999999</v>
      </c>
      <c r="T186" s="44">
        <f>E186+апр!I181</f>
        <v>2434.165</v>
      </c>
      <c r="U186" s="30">
        <f>F186+апр!J181</f>
        <v>1277.2550000000001</v>
      </c>
    </row>
    <row r="187" spans="1:21" ht="17.25" customHeight="1">
      <c r="A187" s="8" t="s">
        <v>267</v>
      </c>
      <c r="B187" s="9" t="s">
        <v>172</v>
      </c>
      <c r="C187" s="8" t="s">
        <v>4</v>
      </c>
      <c r="D187" s="10">
        <v>89.227999999999994</v>
      </c>
      <c r="E187" s="10">
        <v>89.25</v>
      </c>
      <c r="F187" s="8">
        <v>271.51100000000002</v>
      </c>
      <c r="G187" s="10">
        <f t="shared" si="74"/>
        <v>182.26100000000002</v>
      </c>
      <c r="H187" s="10">
        <f>D187+июль!H185</f>
        <v>520.274</v>
      </c>
      <c r="I187" s="8">
        <f>E187+июль!I185</f>
        <v>624.75</v>
      </c>
      <c r="J187" s="54">
        <f>F187+июль!J185</f>
        <v>543.02200000000005</v>
      </c>
      <c r="K187" s="10">
        <f t="shared" si="76"/>
        <v>-81.727999999999952</v>
      </c>
      <c r="L187" s="16">
        <f t="shared" si="85"/>
        <v>-13.08171268507402</v>
      </c>
      <c r="M187" s="227" t="s">
        <v>300</v>
      </c>
      <c r="N187" s="228"/>
      <c r="O187" s="122">
        <f t="shared" si="79"/>
        <v>22.748000000000047</v>
      </c>
      <c r="P187" s="123">
        <f t="shared" si="80"/>
        <v>4.3723115127798131</v>
      </c>
      <c r="Q187" s="116"/>
      <c r="S187">
        <f t="shared" si="69"/>
        <v>446.14</v>
      </c>
      <c r="T187" s="44">
        <f>E187+апр!I182</f>
        <v>446.25</v>
      </c>
      <c r="U187" s="30">
        <f>F187+апр!J182</f>
        <v>271.51100000000002</v>
      </c>
    </row>
    <row r="188" spans="1:21" ht="53.25" customHeight="1">
      <c r="A188" s="8" t="s">
        <v>168</v>
      </c>
      <c r="B188" s="9" t="s">
        <v>174</v>
      </c>
      <c r="C188" s="8" t="s">
        <v>4</v>
      </c>
      <c r="D188" s="10">
        <v>95.709000000000003</v>
      </c>
      <c r="E188" s="8">
        <v>93.167000000000002</v>
      </c>
      <c r="F188" s="8">
        <v>109.913</v>
      </c>
      <c r="G188" s="10">
        <f t="shared" si="74"/>
        <v>16.745999999999995</v>
      </c>
      <c r="H188" s="10">
        <f>D188+июль!H186</f>
        <v>383.39699999999999</v>
      </c>
      <c r="I188" s="8">
        <f>E188+июль!I186</f>
        <v>652.1690000000001</v>
      </c>
      <c r="J188" s="54">
        <f>F188+июль!J186</f>
        <v>707.65899999999999</v>
      </c>
      <c r="K188" s="10">
        <f t="shared" si="76"/>
        <v>55.489999999999895</v>
      </c>
      <c r="L188" s="16">
        <f t="shared" si="85"/>
        <v>8.5085307642650729</v>
      </c>
      <c r="M188" s="222" t="s">
        <v>303</v>
      </c>
      <c r="N188" s="223"/>
      <c r="O188" s="122">
        <f t="shared" si="79"/>
        <v>324.262</v>
      </c>
      <c r="P188" s="123">
        <f t="shared" si="80"/>
        <v>84.57603997944689</v>
      </c>
      <c r="Q188" s="115"/>
      <c r="S188">
        <f t="shared" si="69"/>
        <v>478.54500000000002</v>
      </c>
      <c r="T188" s="44">
        <f>E188+апр!I183</f>
        <v>465.83500000000004</v>
      </c>
      <c r="U188" s="30">
        <f>F188+апр!J183</f>
        <v>424.58700000000005</v>
      </c>
    </row>
    <row r="189" spans="1:21" ht="33" customHeight="1">
      <c r="A189" s="157" t="s">
        <v>173</v>
      </c>
      <c r="B189" s="6" t="s">
        <v>176</v>
      </c>
      <c r="C189" s="157" t="s">
        <v>4</v>
      </c>
      <c r="D189" s="7">
        <f t="shared" ref="D189:F189" si="91">D190+D191+D192</f>
        <v>50.518000000000001</v>
      </c>
      <c r="E189" s="7">
        <v>50.5</v>
      </c>
      <c r="F189" s="7">
        <f t="shared" si="91"/>
        <v>0</v>
      </c>
      <c r="G189" s="10">
        <f t="shared" si="74"/>
        <v>-50.5</v>
      </c>
      <c r="H189" s="7">
        <f t="shared" ref="H189:J189" si="92">H190+H191+H192</f>
        <v>420.37399999999997</v>
      </c>
      <c r="I189" s="7">
        <f t="shared" si="92"/>
        <v>0</v>
      </c>
      <c r="J189" s="7">
        <f t="shared" si="92"/>
        <v>0</v>
      </c>
      <c r="K189" s="10">
        <f t="shared" si="76"/>
        <v>0</v>
      </c>
      <c r="L189" s="16" t="e">
        <f t="shared" si="85"/>
        <v>#DIV/0!</v>
      </c>
      <c r="M189" s="229" t="s">
        <v>293</v>
      </c>
      <c r="N189" s="230"/>
      <c r="O189" s="122">
        <f t="shared" si="79"/>
        <v>-420.37399999999997</v>
      </c>
      <c r="P189" s="123">
        <f t="shared" si="80"/>
        <v>-100</v>
      </c>
      <c r="Q189" s="156"/>
      <c r="R189" s="7">
        <f>R190+R191+R192</f>
        <v>343.50800000000004</v>
      </c>
      <c r="S189">
        <f t="shared" si="69"/>
        <v>252.59</v>
      </c>
      <c r="T189" s="44">
        <f>E189+апр!I184</f>
        <v>252.5</v>
      </c>
      <c r="U189" s="30">
        <f>F189+апр!J184</f>
        <v>0</v>
      </c>
    </row>
    <row r="190" spans="1:21" ht="17.25" customHeight="1">
      <c r="A190" s="8" t="s">
        <v>268</v>
      </c>
      <c r="B190" s="9" t="s">
        <v>177</v>
      </c>
      <c r="C190" s="8" t="s">
        <v>4</v>
      </c>
      <c r="D190" s="10">
        <v>19.254000000000001</v>
      </c>
      <c r="E190" s="8"/>
      <c r="F190" s="10"/>
      <c r="G190" s="10">
        <f t="shared" si="74"/>
        <v>0</v>
      </c>
      <c r="H190" s="10">
        <f>D190+июль!H188</f>
        <v>170.26199999999997</v>
      </c>
      <c r="I190" s="8">
        <f>E190+июль!I188</f>
        <v>0</v>
      </c>
      <c r="J190" s="54">
        <f>F190+июль!J188</f>
        <v>0</v>
      </c>
      <c r="K190" s="10">
        <f t="shared" si="76"/>
        <v>0</v>
      </c>
      <c r="L190" s="16"/>
      <c r="M190" s="220"/>
      <c r="N190" s="221"/>
      <c r="O190" s="122">
        <f t="shared" si="79"/>
        <v>-170.26199999999997</v>
      </c>
      <c r="P190" s="123">
        <f t="shared" si="80"/>
        <v>-100</v>
      </c>
      <c r="Q190" s="150"/>
      <c r="R190" s="10">
        <v>130.12</v>
      </c>
      <c r="S190">
        <f t="shared" si="69"/>
        <v>96.27000000000001</v>
      </c>
      <c r="T190" s="44">
        <f>E190+апр!I185</f>
        <v>0</v>
      </c>
      <c r="U190" s="30">
        <f>F190+апр!J185</f>
        <v>0</v>
      </c>
    </row>
    <row r="191" spans="1:21" ht="17.25" customHeight="1">
      <c r="A191" s="8" t="s">
        <v>269</v>
      </c>
      <c r="B191" s="9" t="s">
        <v>178</v>
      </c>
      <c r="C191" s="8" t="s">
        <v>4</v>
      </c>
      <c r="D191" s="10">
        <v>8.7639999999999993</v>
      </c>
      <c r="E191" s="8"/>
      <c r="F191" s="8"/>
      <c r="G191" s="10">
        <f t="shared" si="74"/>
        <v>0</v>
      </c>
      <c r="H191" s="10">
        <f>D191+июль!H189</f>
        <v>70.111999999999981</v>
      </c>
      <c r="I191" s="8">
        <f>E191+июль!I189</f>
        <v>0</v>
      </c>
      <c r="J191" s="54">
        <f>F191+июль!J189</f>
        <v>0</v>
      </c>
      <c r="K191" s="10">
        <f t="shared" si="76"/>
        <v>0</v>
      </c>
      <c r="L191" s="16"/>
      <c r="M191" s="220"/>
      <c r="N191" s="221"/>
      <c r="O191" s="122">
        <f t="shared" si="79"/>
        <v>-70.111999999999981</v>
      </c>
      <c r="P191" s="123">
        <f t="shared" si="80"/>
        <v>-100</v>
      </c>
      <c r="Q191" s="150"/>
      <c r="R191" s="8">
        <v>15.369</v>
      </c>
      <c r="S191">
        <f t="shared" si="69"/>
        <v>43.819999999999993</v>
      </c>
      <c r="T191" s="44">
        <f>E191+апр!I186</f>
        <v>0</v>
      </c>
      <c r="U191" s="30">
        <f>F191+апр!J186</f>
        <v>0</v>
      </c>
    </row>
    <row r="192" spans="1:21" ht="17.25" customHeight="1">
      <c r="A192" s="8" t="s">
        <v>270</v>
      </c>
      <c r="B192" s="9" t="s">
        <v>179</v>
      </c>
      <c r="C192" s="8" t="s">
        <v>4</v>
      </c>
      <c r="D192" s="10">
        <v>22.5</v>
      </c>
      <c r="E192" s="8"/>
      <c r="F192" s="8"/>
      <c r="G192" s="10">
        <f t="shared" si="74"/>
        <v>0</v>
      </c>
      <c r="H192" s="10">
        <f>D192+июль!H190</f>
        <v>180</v>
      </c>
      <c r="I192" s="8">
        <f>E192+июль!I190</f>
        <v>0</v>
      </c>
      <c r="J192" s="54">
        <f>F192+июль!J190</f>
        <v>0</v>
      </c>
      <c r="K192" s="10">
        <f t="shared" si="76"/>
        <v>0</v>
      </c>
      <c r="L192" s="16"/>
      <c r="M192" s="220"/>
      <c r="N192" s="221"/>
      <c r="O192" s="122">
        <f t="shared" si="79"/>
        <v>-180</v>
      </c>
      <c r="P192" s="123">
        <f t="shared" si="80"/>
        <v>-100</v>
      </c>
      <c r="Q192" s="150"/>
      <c r="R192" s="8">
        <v>198.01900000000001</v>
      </c>
      <c r="S192">
        <f t="shared" si="69"/>
        <v>112.5</v>
      </c>
      <c r="T192" s="44">
        <f>E192+апр!I187</f>
        <v>0</v>
      </c>
      <c r="U192" s="30">
        <f>F192+апр!J187</f>
        <v>0</v>
      </c>
    </row>
    <row r="193" spans="1:21" ht="17.25" customHeight="1">
      <c r="A193" s="157" t="s">
        <v>175</v>
      </c>
      <c r="B193" s="6" t="s">
        <v>180</v>
      </c>
      <c r="C193" s="157" t="s">
        <v>4</v>
      </c>
      <c r="D193" s="7">
        <f>D194+D195+D196+D197+D202+D203+D204+D205+D209</f>
        <v>186.78400000000005</v>
      </c>
      <c r="E193" s="7">
        <f>E194+E195+E196+E197+E202+E203+E204+E205+E209</f>
        <v>193.416</v>
      </c>
      <c r="F193" s="7">
        <f>F194+F195+F196+F197+F202+F203+F204+F205+F209</f>
        <v>62.344999999999999</v>
      </c>
      <c r="G193" s="10">
        <f t="shared" si="74"/>
        <v>-131.071</v>
      </c>
      <c r="H193" s="7">
        <f>H194+H195+H196+H197+H202+H203+H204+H205+H209</f>
        <v>8849.9770000000008</v>
      </c>
      <c r="I193" s="7">
        <f>I194+I195+I196+I197+I202+I203+I204+I205+I209</f>
        <v>1547.2529999999999</v>
      </c>
      <c r="J193" s="7">
        <f>J194+J195+J196+J197+J202+J203+J204+J205+J209</f>
        <v>693.774</v>
      </c>
      <c r="K193" s="10">
        <f t="shared" si="76"/>
        <v>-853.47899999999993</v>
      </c>
      <c r="L193" s="16">
        <f t="shared" si="85"/>
        <v>-55.160920676838245</v>
      </c>
      <c r="M193" s="226"/>
      <c r="N193" s="221"/>
      <c r="O193" s="122">
        <f t="shared" si="79"/>
        <v>-8156.2030000000004</v>
      </c>
      <c r="P193" s="123">
        <f t="shared" si="80"/>
        <v>-92.160725389455806</v>
      </c>
      <c r="Q193" s="114"/>
      <c r="S193">
        <f t="shared" si="69"/>
        <v>933.9200000000003</v>
      </c>
      <c r="T193" s="44">
        <f>E193+апр!I188</f>
        <v>967.07999999999993</v>
      </c>
      <c r="U193" s="30">
        <f>F193+апр!J188</f>
        <v>487.65999999999997</v>
      </c>
    </row>
    <row r="194" spans="1:21" ht="17.25" customHeight="1">
      <c r="A194" s="18" t="s">
        <v>271</v>
      </c>
      <c r="B194" s="9" t="s">
        <v>181</v>
      </c>
      <c r="C194" s="8" t="s">
        <v>4</v>
      </c>
      <c r="D194" s="10">
        <v>0</v>
      </c>
      <c r="E194" s="8"/>
      <c r="F194" s="8"/>
      <c r="G194" s="10">
        <f t="shared" si="74"/>
        <v>0</v>
      </c>
      <c r="H194" s="10">
        <f>D194+июль!H192</f>
        <v>7.4550000000000001</v>
      </c>
      <c r="I194" s="8">
        <f>E194+июль!I192</f>
        <v>0</v>
      </c>
      <c r="J194" s="54">
        <f>F194+июль!J192</f>
        <v>0</v>
      </c>
      <c r="K194" s="10">
        <f t="shared" si="76"/>
        <v>0</v>
      </c>
      <c r="L194" s="16"/>
      <c r="M194" s="220"/>
      <c r="N194" s="221"/>
      <c r="O194" s="122">
        <f t="shared" si="79"/>
        <v>-7.4550000000000001</v>
      </c>
      <c r="P194" s="123">
        <f t="shared" si="80"/>
        <v>-100</v>
      </c>
      <c r="Q194" s="114"/>
      <c r="S194">
        <f t="shared" si="69"/>
        <v>0</v>
      </c>
      <c r="T194" s="44">
        <f>E194+апр!I189</f>
        <v>0</v>
      </c>
      <c r="U194" s="30">
        <f>F194+апр!J189</f>
        <v>0</v>
      </c>
    </row>
    <row r="195" spans="1:21" ht="17.25" customHeight="1">
      <c r="A195" s="18" t="s">
        <v>272</v>
      </c>
      <c r="B195" s="9" t="s">
        <v>182</v>
      </c>
      <c r="C195" s="8" t="s">
        <v>4</v>
      </c>
      <c r="D195" s="10">
        <v>15.651</v>
      </c>
      <c r="E195" s="10">
        <v>22.25</v>
      </c>
      <c r="F195" s="55"/>
      <c r="G195" s="10">
        <f t="shared" si="74"/>
        <v>-22.25</v>
      </c>
      <c r="H195" s="10">
        <f>D195+июль!H193</f>
        <v>125.20799999999998</v>
      </c>
      <c r="I195" s="8">
        <f>E195+июль!I193</f>
        <v>178</v>
      </c>
      <c r="J195" s="54">
        <f>F195+июль!J193</f>
        <v>207.84500000000003</v>
      </c>
      <c r="K195" s="10">
        <f t="shared" si="76"/>
        <v>29.845000000000027</v>
      </c>
      <c r="L195" s="16">
        <f t="shared" si="85"/>
        <v>16.766853932584286</v>
      </c>
      <c r="M195" s="220"/>
      <c r="N195" s="221"/>
      <c r="O195" s="122">
        <f t="shared" si="79"/>
        <v>82.637000000000043</v>
      </c>
      <c r="P195" s="123">
        <f t="shared" si="80"/>
        <v>65.999776372116841</v>
      </c>
      <c r="Q195" s="114"/>
      <c r="S195">
        <f t="shared" si="69"/>
        <v>78.254999999999995</v>
      </c>
      <c r="T195" s="44">
        <f>E195+апр!I190</f>
        <v>111.25</v>
      </c>
      <c r="U195" s="30">
        <f>F195+апр!J190</f>
        <v>131.35500000000002</v>
      </c>
    </row>
    <row r="196" spans="1:21" ht="33.75" customHeight="1">
      <c r="A196" s="18" t="s">
        <v>273</v>
      </c>
      <c r="B196" s="9" t="s">
        <v>237</v>
      </c>
      <c r="C196" s="8" t="s">
        <v>4</v>
      </c>
      <c r="D196" s="10">
        <v>1.4910000000000001</v>
      </c>
      <c r="E196" s="10">
        <v>1.5</v>
      </c>
      <c r="F196" s="54"/>
      <c r="G196" s="10">
        <f t="shared" si="74"/>
        <v>-1.5</v>
      </c>
      <c r="H196" s="10">
        <f>D196+июль!H194</f>
        <v>11.927999999999999</v>
      </c>
      <c r="I196" s="8">
        <f>E196+июль!I194</f>
        <v>12</v>
      </c>
      <c r="J196" s="54">
        <f>F196+июль!J194</f>
        <v>13.09</v>
      </c>
      <c r="K196" s="10">
        <f t="shared" si="76"/>
        <v>1.0899999999999999</v>
      </c>
      <c r="L196" s="16">
        <f t="shared" si="85"/>
        <v>9.0833333333333321</v>
      </c>
      <c r="M196" s="220"/>
      <c r="N196" s="221"/>
      <c r="O196" s="122">
        <f t="shared" si="79"/>
        <v>1.1620000000000008</v>
      </c>
      <c r="P196" s="123">
        <f t="shared" si="80"/>
        <v>9.741784037558693</v>
      </c>
      <c r="Q196" s="114"/>
      <c r="S196">
        <f t="shared" si="69"/>
        <v>7.4550000000000001</v>
      </c>
      <c r="T196" s="44">
        <f>E196+апр!I191</f>
        <v>7.5</v>
      </c>
      <c r="U196" s="30">
        <f>F196+апр!J191</f>
        <v>9.09</v>
      </c>
    </row>
    <row r="197" spans="1:21" ht="36.75" customHeight="1">
      <c r="A197" s="18" t="s">
        <v>274</v>
      </c>
      <c r="B197" s="9" t="s">
        <v>183</v>
      </c>
      <c r="C197" s="8" t="s">
        <v>4</v>
      </c>
      <c r="D197" s="10">
        <f t="shared" ref="D197:F197" si="93">D198+D199+D200+D201</f>
        <v>149.55900000000003</v>
      </c>
      <c r="E197" s="10">
        <f t="shared" si="93"/>
        <v>149.583</v>
      </c>
      <c r="F197" s="10">
        <f t="shared" si="93"/>
        <v>61.183999999999997</v>
      </c>
      <c r="G197" s="10">
        <f t="shared" si="74"/>
        <v>-88.399000000000001</v>
      </c>
      <c r="H197" s="10">
        <f t="shared" ref="H197:J197" si="94">H198+H199+H200+H201</f>
        <v>1196.4720000000002</v>
      </c>
      <c r="I197" s="10">
        <f t="shared" si="94"/>
        <v>1196.664</v>
      </c>
      <c r="J197" s="10">
        <f t="shared" si="94"/>
        <v>458.23199999999997</v>
      </c>
      <c r="K197" s="10">
        <f t="shared" si="76"/>
        <v>-738.43200000000002</v>
      </c>
      <c r="L197" s="16">
        <f t="shared" si="85"/>
        <v>-61.707546980606089</v>
      </c>
      <c r="M197" s="220"/>
      <c r="N197" s="221"/>
      <c r="O197" s="122">
        <f t="shared" si="79"/>
        <v>-738.24000000000024</v>
      </c>
      <c r="P197" s="123">
        <f t="shared" si="80"/>
        <v>-61.701402122239394</v>
      </c>
      <c r="Q197" s="114"/>
      <c r="S197">
        <f t="shared" si="69"/>
        <v>747.79500000000007</v>
      </c>
      <c r="T197" s="44">
        <f>E197+апр!I192</f>
        <v>747.91499999999996</v>
      </c>
      <c r="U197" s="30">
        <f>F197+апр!J192</f>
        <v>335.46500000000003</v>
      </c>
    </row>
    <row r="198" spans="1:21" ht="74.25" customHeight="1">
      <c r="A198" s="8" t="s">
        <v>275</v>
      </c>
      <c r="B198" s="9" t="s">
        <v>184</v>
      </c>
      <c r="C198" s="8" t="s">
        <v>4</v>
      </c>
      <c r="D198" s="10">
        <v>33.363999999999997</v>
      </c>
      <c r="E198" s="8">
        <v>33.332999999999998</v>
      </c>
      <c r="F198" s="55">
        <v>7.8730000000000002</v>
      </c>
      <c r="G198" s="10">
        <f t="shared" si="74"/>
        <v>-25.459999999999997</v>
      </c>
      <c r="H198" s="10">
        <f>D198+июль!H196</f>
        <v>266.91199999999998</v>
      </c>
      <c r="I198" s="8">
        <f>E198+июль!I196</f>
        <v>266.66399999999999</v>
      </c>
      <c r="J198" s="54">
        <f>F198+июль!J196</f>
        <v>232.59199999999998</v>
      </c>
      <c r="K198" s="10">
        <f t="shared" si="76"/>
        <v>-34.072000000000003</v>
      </c>
      <c r="L198" s="16">
        <f t="shared" si="85"/>
        <v>-12.777127771277714</v>
      </c>
      <c r="M198" s="220"/>
      <c r="N198" s="221"/>
      <c r="O198" s="122">
        <f t="shared" si="79"/>
        <v>-34.319999999999993</v>
      </c>
      <c r="P198" s="123">
        <f t="shared" si="80"/>
        <v>-12.858170483155495</v>
      </c>
      <c r="Q198" s="114"/>
      <c r="S198">
        <f t="shared" si="69"/>
        <v>166.82</v>
      </c>
      <c r="T198" s="44">
        <f>E198+апр!I193</f>
        <v>166.66499999999999</v>
      </c>
      <c r="U198" s="30">
        <f>F198+апр!J193</f>
        <v>197.34799999999998</v>
      </c>
    </row>
    <row r="199" spans="1:21" ht="93" customHeight="1">
      <c r="A199" s="8" t="s">
        <v>276</v>
      </c>
      <c r="B199" s="9" t="s">
        <v>238</v>
      </c>
      <c r="C199" s="8" t="s">
        <v>4</v>
      </c>
      <c r="D199" s="10">
        <v>89.792000000000002</v>
      </c>
      <c r="E199" s="8">
        <v>89.832999999999998</v>
      </c>
      <c r="F199" s="55">
        <v>35.924999999999997</v>
      </c>
      <c r="G199" s="10">
        <f t="shared" si="74"/>
        <v>-53.908000000000001</v>
      </c>
      <c r="H199" s="10">
        <f>D199+июль!H197</f>
        <v>718.33600000000013</v>
      </c>
      <c r="I199" s="8">
        <f>E199+июль!I197</f>
        <v>718.66399999999987</v>
      </c>
      <c r="J199" s="54">
        <f>F199+июль!J197</f>
        <v>72.930000000000007</v>
      </c>
      <c r="K199" s="10">
        <f t="shared" si="76"/>
        <v>-645.73399999999992</v>
      </c>
      <c r="L199" s="16">
        <f t="shared" si="85"/>
        <v>-89.852003161421763</v>
      </c>
      <c r="M199" s="220"/>
      <c r="N199" s="221"/>
      <c r="O199" s="122">
        <f t="shared" si="79"/>
        <v>-645.40600000000018</v>
      </c>
      <c r="P199" s="123">
        <f t="shared" si="80"/>
        <v>-89.847369476122608</v>
      </c>
      <c r="Q199" s="114"/>
      <c r="S199">
        <f t="shared" si="69"/>
        <v>448.96000000000004</v>
      </c>
      <c r="T199" s="44">
        <f>E199+апр!I194</f>
        <v>449.16499999999996</v>
      </c>
      <c r="U199" s="30">
        <f>F199+апр!J194</f>
        <v>35.924999999999997</v>
      </c>
    </row>
    <row r="200" spans="1:21" ht="90.75" customHeight="1">
      <c r="A200" s="8" t="s">
        <v>277</v>
      </c>
      <c r="B200" s="9" t="s">
        <v>185</v>
      </c>
      <c r="C200" s="8" t="s">
        <v>4</v>
      </c>
      <c r="D200" s="10">
        <v>7.9660000000000002</v>
      </c>
      <c r="E200" s="8">
        <v>8</v>
      </c>
      <c r="F200" s="55"/>
      <c r="G200" s="10">
        <f t="shared" si="74"/>
        <v>-8</v>
      </c>
      <c r="H200" s="10">
        <f>D200+июль!H198</f>
        <v>63.728000000000002</v>
      </c>
      <c r="I200" s="8">
        <f>E200+июль!I198</f>
        <v>64</v>
      </c>
      <c r="J200" s="54">
        <f>F200+июль!J198</f>
        <v>31.007000000000001</v>
      </c>
      <c r="K200" s="10">
        <f t="shared" si="76"/>
        <v>-32.992999999999995</v>
      </c>
      <c r="L200" s="16">
        <f t="shared" si="85"/>
        <v>-51.551562499999989</v>
      </c>
      <c r="M200" s="220"/>
      <c r="N200" s="221"/>
      <c r="O200" s="122">
        <f t="shared" si="79"/>
        <v>-32.721000000000004</v>
      </c>
      <c r="P200" s="123">
        <f t="shared" si="80"/>
        <v>-51.344777805674127</v>
      </c>
      <c r="Q200" s="114"/>
      <c r="S200">
        <f t="shared" si="69"/>
        <v>39.83</v>
      </c>
      <c r="T200" s="44">
        <f>E200+апр!I195</f>
        <v>40</v>
      </c>
      <c r="U200" s="30">
        <f>F200+апр!J195</f>
        <v>15.260999999999999</v>
      </c>
    </row>
    <row r="201" spans="1:21" ht="37.5" customHeight="1">
      <c r="A201" s="8" t="s">
        <v>278</v>
      </c>
      <c r="B201" s="9" t="s">
        <v>186</v>
      </c>
      <c r="C201" s="8" t="s">
        <v>4</v>
      </c>
      <c r="D201" s="10">
        <v>18.437000000000001</v>
      </c>
      <c r="E201" s="8">
        <v>18.417000000000002</v>
      </c>
      <c r="F201" s="55">
        <v>17.385999999999999</v>
      </c>
      <c r="G201" s="10">
        <f t="shared" si="74"/>
        <v>-1.0310000000000024</v>
      </c>
      <c r="H201" s="10">
        <f>D201+июль!H199</f>
        <v>147.49600000000001</v>
      </c>
      <c r="I201" s="8">
        <f>E201+июль!I199</f>
        <v>147.33600000000001</v>
      </c>
      <c r="J201" s="54">
        <f>F201+июль!J199</f>
        <v>121.70299999999999</v>
      </c>
      <c r="K201" s="10">
        <f t="shared" si="76"/>
        <v>-25.633000000000024</v>
      </c>
      <c r="L201" s="16">
        <f t="shared" si="85"/>
        <v>-17.397648911331938</v>
      </c>
      <c r="M201" s="220"/>
      <c r="N201" s="221"/>
      <c r="O201" s="122">
        <f t="shared" si="79"/>
        <v>-25.793000000000021</v>
      </c>
      <c r="P201" s="123">
        <f t="shared" si="80"/>
        <v>-17.487253891630971</v>
      </c>
      <c r="Q201" s="114"/>
      <c r="S201">
        <f t="shared" si="69"/>
        <v>92.185000000000002</v>
      </c>
      <c r="T201" s="44">
        <f>E201+апр!I196</f>
        <v>92.085000000000008</v>
      </c>
      <c r="U201" s="30">
        <f>F201+апр!J196</f>
        <v>86.930999999999997</v>
      </c>
    </row>
    <row r="202" spans="1:21" ht="17.25" customHeight="1">
      <c r="A202" s="18" t="s">
        <v>279</v>
      </c>
      <c r="B202" s="26" t="s">
        <v>187</v>
      </c>
      <c r="C202" s="8" t="s">
        <v>4</v>
      </c>
      <c r="D202" s="10">
        <v>15.818</v>
      </c>
      <c r="E202" s="8">
        <v>15.833</v>
      </c>
      <c r="F202" s="8"/>
      <c r="G202" s="10">
        <f t="shared" si="74"/>
        <v>-15.833</v>
      </c>
      <c r="H202" s="10">
        <f>D202+июль!H200</f>
        <v>126.544</v>
      </c>
      <c r="I202" s="8">
        <f>E202+июль!I200</f>
        <v>126.589</v>
      </c>
      <c r="J202" s="54">
        <f>F202+июль!J200</f>
        <v>0</v>
      </c>
      <c r="K202" s="10">
        <f t="shared" si="76"/>
        <v>-126.589</v>
      </c>
      <c r="L202" s="16">
        <f t="shared" si="85"/>
        <v>-100</v>
      </c>
      <c r="M202" s="220"/>
      <c r="N202" s="221"/>
      <c r="O202" s="122">
        <f t="shared" si="79"/>
        <v>-126.544</v>
      </c>
      <c r="P202" s="123">
        <f t="shared" si="80"/>
        <v>-100</v>
      </c>
      <c r="Q202" s="114"/>
      <c r="S202">
        <f t="shared" si="69"/>
        <v>79.09</v>
      </c>
      <c r="T202" s="44">
        <f>E202+апр!I197</f>
        <v>79.165000000000006</v>
      </c>
      <c r="U202" s="30">
        <f>F202+апр!J197</f>
        <v>0</v>
      </c>
    </row>
    <row r="203" spans="1:21" ht="17.25" customHeight="1">
      <c r="A203" s="18"/>
      <c r="B203" s="26" t="s">
        <v>125</v>
      </c>
      <c r="C203" s="8" t="s">
        <v>4</v>
      </c>
      <c r="D203" s="10">
        <v>0.34200000000000003</v>
      </c>
      <c r="E203" s="8">
        <v>0.33300000000000002</v>
      </c>
      <c r="F203" s="8"/>
      <c r="G203" s="10">
        <f t="shared" si="74"/>
        <v>-0.33300000000000002</v>
      </c>
      <c r="H203" s="10">
        <f>D203+июль!H201</f>
        <v>20.640999999999998</v>
      </c>
      <c r="I203" s="8">
        <f>E203+июль!I201</f>
        <v>2.6640000000000001</v>
      </c>
      <c r="J203" s="54">
        <f>F203+июль!J201</f>
        <v>0</v>
      </c>
      <c r="K203" s="10">
        <f t="shared" si="76"/>
        <v>-2.6640000000000001</v>
      </c>
      <c r="L203" s="16">
        <f t="shared" si="85"/>
        <v>-100</v>
      </c>
      <c r="M203" s="220"/>
      <c r="N203" s="221"/>
      <c r="O203" s="122">
        <f t="shared" si="79"/>
        <v>-20.640999999999998</v>
      </c>
      <c r="P203" s="123">
        <f t="shared" si="80"/>
        <v>-100</v>
      </c>
      <c r="Q203" s="114"/>
      <c r="S203">
        <f t="shared" si="69"/>
        <v>1.7100000000000002</v>
      </c>
      <c r="T203" s="44">
        <f>E203+апр!I198</f>
        <v>1.665</v>
      </c>
      <c r="U203" s="30">
        <f>F203+апр!J198</f>
        <v>0</v>
      </c>
    </row>
    <row r="204" spans="1:21" ht="17.25" customHeight="1">
      <c r="A204" s="18" t="s">
        <v>280</v>
      </c>
      <c r="B204" s="26" t="s">
        <v>188</v>
      </c>
      <c r="C204" s="8" t="s">
        <v>4</v>
      </c>
      <c r="D204" s="10">
        <v>0</v>
      </c>
      <c r="E204" s="8"/>
      <c r="F204" s="8"/>
      <c r="G204" s="10">
        <f t="shared" si="74"/>
        <v>0</v>
      </c>
      <c r="H204" s="10">
        <f>D204+июль!H202</f>
        <v>0</v>
      </c>
      <c r="I204" s="8">
        <f>E204+июль!I202</f>
        <v>0</v>
      </c>
      <c r="J204" s="54">
        <f>F204+июль!J202</f>
        <v>0</v>
      </c>
      <c r="K204" s="10">
        <f t="shared" si="76"/>
        <v>0</v>
      </c>
      <c r="L204" s="16"/>
      <c r="M204" s="220"/>
      <c r="N204" s="221"/>
      <c r="O204" s="122">
        <f t="shared" si="79"/>
        <v>0</v>
      </c>
      <c r="P204" s="123" t="e">
        <f t="shared" si="80"/>
        <v>#DIV/0!</v>
      </c>
      <c r="Q204" s="114"/>
      <c r="S204">
        <f t="shared" si="69"/>
        <v>0</v>
      </c>
      <c r="T204" s="44">
        <f>E204+апр!I199</f>
        <v>0</v>
      </c>
      <c r="U204" s="30">
        <f>F204+апр!J199</f>
        <v>0</v>
      </c>
    </row>
    <row r="205" spans="1:21" ht="27" customHeight="1">
      <c r="A205" s="18" t="s">
        <v>281</v>
      </c>
      <c r="B205" s="26" t="s">
        <v>189</v>
      </c>
      <c r="C205" s="8" t="s">
        <v>4</v>
      </c>
      <c r="D205" s="10">
        <v>3.923</v>
      </c>
      <c r="E205" s="8">
        <v>3.9169999999999998</v>
      </c>
      <c r="F205" s="10">
        <v>1.161</v>
      </c>
      <c r="G205" s="10">
        <f t="shared" si="74"/>
        <v>-2.7559999999999998</v>
      </c>
      <c r="H205" s="10">
        <f>D205+июль!H203</f>
        <v>11.769</v>
      </c>
      <c r="I205" s="8">
        <f>E205+июль!I203</f>
        <v>31.336000000000006</v>
      </c>
      <c r="J205" s="54">
        <f>F205+июль!J203</f>
        <v>14.606999999999999</v>
      </c>
      <c r="K205" s="10">
        <f t="shared" si="76"/>
        <v>-16.729000000000006</v>
      </c>
      <c r="L205" s="16">
        <f t="shared" si="85"/>
        <v>-53.385882052591285</v>
      </c>
      <c r="M205" s="222" t="s">
        <v>289</v>
      </c>
      <c r="N205" s="223"/>
      <c r="O205" s="122">
        <f t="shared" si="79"/>
        <v>2.8379999999999992</v>
      </c>
      <c r="P205" s="123">
        <f t="shared" si="80"/>
        <v>24.114198317614065</v>
      </c>
      <c r="Q205" s="115"/>
      <c r="S205">
        <f t="shared" si="69"/>
        <v>19.615000000000002</v>
      </c>
      <c r="T205" s="44">
        <f>E205+апр!I200</f>
        <v>19.585000000000001</v>
      </c>
      <c r="U205" s="30">
        <f>F205+апр!J200</f>
        <v>11.75</v>
      </c>
    </row>
    <row r="206" spans="1:21" ht="17.25" customHeight="1">
      <c r="A206" s="18" t="s">
        <v>282</v>
      </c>
      <c r="B206" s="26" t="s">
        <v>225</v>
      </c>
      <c r="C206" s="8" t="s">
        <v>4</v>
      </c>
      <c r="D206" s="10">
        <v>0</v>
      </c>
      <c r="E206" s="8"/>
      <c r="F206" s="8"/>
      <c r="G206" s="10">
        <f t="shared" si="74"/>
        <v>0</v>
      </c>
      <c r="H206" s="10">
        <f>D206+июль!H204</f>
        <v>0</v>
      </c>
      <c r="I206" s="8">
        <f>E206+июль!I204</f>
        <v>0</v>
      </c>
      <c r="J206" s="54">
        <f>F206+июль!J204</f>
        <v>298.71600000000001</v>
      </c>
      <c r="K206" s="10">
        <f t="shared" si="76"/>
        <v>298.71600000000001</v>
      </c>
      <c r="L206" s="16" t="e">
        <f>K206/I206*100</f>
        <v>#DIV/0!</v>
      </c>
      <c r="M206" s="222" t="s">
        <v>290</v>
      </c>
      <c r="N206" s="223"/>
      <c r="O206" s="122">
        <f t="shared" si="79"/>
        <v>298.71600000000001</v>
      </c>
      <c r="P206" s="123" t="e">
        <f t="shared" si="80"/>
        <v>#DIV/0!</v>
      </c>
      <c r="Q206" s="115"/>
      <c r="S206">
        <f t="shared" ref="S206:S224" si="95">D206*5</f>
        <v>0</v>
      </c>
      <c r="T206" s="44">
        <f>E206+апр!I201</f>
        <v>0</v>
      </c>
      <c r="U206" s="30">
        <f>F206+апр!J201</f>
        <v>0</v>
      </c>
    </row>
    <row r="207" spans="1:21" ht="17.25" customHeight="1">
      <c r="A207" s="18" t="s">
        <v>283</v>
      </c>
      <c r="B207" s="26" t="s">
        <v>228</v>
      </c>
      <c r="C207" s="8" t="s">
        <v>4</v>
      </c>
      <c r="D207" s="10">
        <v>0</v>
      </c>
      <c r="E207" s="8"/>
      <c r="F207" s="8"/>
      <c r="G207" s="10">
        <f t="shared" si="74"/>
        <v>0</v>
      </c>
      <c r="H207" s="10">
        <f>D207+июль!H205</f>
        <v>0</v>
      </c>
      <c r="I207" s="8">
        <f>E207+июль!I205</f>
        <v>0</v>
      </c>
      <c r="J207" s="54">
        <f>F207+июль!J205</f>
        <v>0</v>
      </c>
      <c r="K207" s="10">
        <f t="shared" si="76"/>
        <v>0</v>
      </c>
      <c r="L207" s="16" t="e">
        <f t="shared" si="85"/>
        <v>#DIV/0!</v>
      </c>
      <c r="M207" s="222" t="s">
        <v>290</v>
      </c>
      <c r="N207" s="223"/>
      <c r="O207" s="122">
        <f t="shared" si="79"/>
        <v>0</v>
      </c>
      <c r="P207" s="123" t="e">
        <f t="shared" si="80"/>
        <v>#DIV/0!</v>
      </c>
      <c r="Q207" s="115"/>
      <c r="S207">
        <f t="shared" si="95"/>
        <v>0</v>
      </c>
      <c r="T207" s="44">
        <f>E207+апр!I202</f>
        <v>0</v>
      </c>
      <c r="U207" s="30">
        <f>F207+апр!J202</f>
        <v>0</v>
      </c>
    </row>
    <row r="208" spans="1:21" ht="34.5" customHeight="1">
      <c r="A208" s="18" t="s">
        <v>284</v>
      </c>
      <c r="B208" s="26" t="s">
        <v>231</v>
      </c>
      <c r="C208" s="8" t="s">
        <v>4</v>
      </c>
      <c r="D208" s="10">
        <v>0</v>
      </c>
      <c r="E208" s="8"/>
      <c r="F208" s="8"/>
      <c r="G208" s="10">
        <f t="shared" si="74"/>
        <v>0</v>
      </c>
      <c r="H208" s="10">
        <f>D208+июль!H206</f>
        <v>0</v>
      </c>
      <c r="I208" s="8">
        <f>E208+июль!I206</f>
        <v>0</v>
      </c>
      <c r="J208" s="54">
        <f>F208+июль!J206</f>
        <v>0</v>
      </c>
      <c r="K208" s="10">
        <f t="shared" si="76"/>
        <v>0</v>
      </c>
      <c r="L208" s="16" t="e">
        <f t="shared" si="85"/>
        <v>#DIV/0!</v>
      </c>
      <c r="M208" s="222" t="s">
        <v>290</v>
      </c>
      <c r="N208" s="223"/>
      <c r="O208" s="122">
        <f t="shared" si="79"/>
        <v>0</v>
      </c>
      <c r="P208" s="123" t="e">
        <f t="shared" si="80"/>
        <v>#DIV/0!</v>
      </c>
      <c r="Q208" s="115"/>
      <c r="S208">
        <f t="shared" si="95"/>
        <v>0</v>
      </c>
      <c r="T208" s="44">
        <f>E208+апр!I203</f>
        <v>0</v>
      </c>
      <c r="U208" s="30">
        <f>F208+апр!J203</f>
        <v>0</v>
      </c>
    </row>
    <row r="209" spans="1:22" ht="17.25" customHeight="1">
      <c r="A209" s="18" t="s">
        <v>282</v>
      </c>
      <c r="B209" s="26" t="s">
        <v>230</v>
      </c>
      <c r="C209" s="8" t="s">
        <v>4</v>
      </c>
      <c r="D209" s="10">
        <v>0</v>
      </c>
      <c r="E209" s="8"/>
      <c r="F209" s="8"/>
      <c r="G209" s="10">
        <f t="shared" si="74"/>
        <v>0</v>
      </c>
      <c r="H209" s="10">
        <f>D209+июль!H207</f>
        <v>7349.96</v>
      </c>
      <c r="I209" s="8">
        <f>E209+июль!I207</f>
        <v>0</v>
      </c>
      <c r="J209" s="54">
        <f>F209+июль!J207</f>
        <v>0</v>
      </c>
      <c r="K209" s="10">
        <f t="shared" si="76"/>
        <v>0</v>
      </c>
      <c r="L209" s="16"/>
      <c r="M209" s="220"/>
      <c r="N209" s="221"/>
      <c r="O209" s="122">
        <f t="shared" si="79"/>
        <v>-7349.96</v>
      </c>
      <c r="P209" s="123">
        <f t="shared" si="80"/>
        <v>-100</v>
      </c>
      <c r="Q209" s="114"/>
      <c r="S209">
        <f t="shared" si="95"/>
        <v>0</v>
      </c>
      <c r="T209" s="44">
        <f>E209+апр!I204</f>
        <v>0</v>
      </c>
      <c r="U209" s="30">
        <f>F209+апр!J204</f>
        <v>0</v>
      </c>
    </row>
    <row r="210" spans="1:22" ht="17.25" customHeight="1">
      <c r="A210" s="18"/>
      <c r="B210" s="26"/>
      <c r="C210" s="8"/>
      <c r="D210" s="10"/>
      <c r="E210" s="8"/>
      <c r="F210" s="8"/>
      <c r="G210" s="10"/>
      <c r="H210" s="10"/>
      <c r="I210" s="8"/>
      <c r="J210" s="10"/>
      <c r="K210" s="10"/>
      <c r="L210" s="16"/>
      <c r="M210" s="149"/>
      <c r="N210" s="150"/>
      <c r="O210" s="122"/>
      <c r="P210" s="123"/>
      <c r="Q210" s="114"/>
      <c r="T210" s="44"/>
      <c r="U210" s="30"/>
    </row>
    <row r="211" spans="1:22" ht="21" customHeight="1">
      <c r="A211" s="157" t="s">
        <v>190</v>
      </c>
      <c r="B211" s="6" t="s">
        <v>191</v>
      </c>
      <c r="C211" s="157" t="s">
        <v>4</v>
      </c>
      <c r="D211" s="7">
        <f>D8+D143</f>
        <v>76555.231</v>
      </c>
      <c r="E211" s="21">
        <f>E8+E143</f>
        <v>71086.831999999995</v>
      </c>
      <c r="F211" s="7">
        <f>F8+F143</f>
        <v>76546.948999999993</v>
      </c>
      <c r="G211" s="10">
        <f t="shared" ref="G211:G219" si="96">F211-E211</f>
        <v>5460.1169999999984</v>
      </c>
      <c r="H211" s="7">
        <f>H8+H143</f>
        <v>620570.58117322926</v>
      </c>
      <c r="I211" s="7">
        <f>I8+I143</f>
        <v>567342.88678061764</v>
      </c>
      <c r="J211" s="7">
        <f>J8+J143</f>
        <v>601909.24249999982</v>
      </c>
      <c r="K211" s="10">
        <f t="shared" ref="K211:K219" si="97">J211-I211</f>
        <v>34566.355719382176</v>
      </c>
      <c r="L211" s="16">
        <f t="shared" ref="L211:L219" si="98">K211/I211*100</f>
        <v>6.092674557978274</v>
      </c>
      <c r="M211" s="220"/>
      <c r="N211" s="221"/>
      <c r="O211" s="122">
        <f>J211-H211</f>
        <v>-18661.338673229446</v>
      </c>
      <c r="P211" s="123">
        <f t="shared" si="80"/>
        <v>-3.0071258998370443</v>
      </c>
      <c r="Q211" s="114"/>
      <c r="R211" s="30"/>
      <c r="S211">
        <f t="shared" si="95"/>
        <v>382776.15500000003</v>
      </c>
      <c r="T211" s="44">
        <f>E211+апр!I205</f>
        <v>355434.16</v>
      </c>
      <c r="U211" s="30">
        <f>F211+апр!J205</f>
        <v>359531.59749999992</v>
      </c>
    </row>
    <row r="212" spans="1:22" ht="17.25" customHeight="1">
      <c r="A212" s="157" t="s">
        <v>192</v>
      </c>
      <c r="B212" s="6" t="s">
        <v>193</v>
      </c>
      <c r="C212" s="157" t="s">
        <v>4</v>
      </c>
      <c r="D212" s="7">
        <v>1469.992</v>
      </c>
      <c r="E212" s="157">
        <v>1470.0830000000001</v>
      </c>
      <c r="F212" s="21">
        <f>F215-F211</f>
        <v>24935.138679999989</v>
      </c>
      <c r="G212" s="16">
        <f t="shared" si="96"/>
        <v>23465.05567999999</v>
      </c>
      <c r="H212" s="10">
        <f>D212+июль!H210</f>
        <v>11759.936</v>
      </c>
      <c r="I212" s="8">
        <f>E212+июль!I210</f>
        <v>11760.664000000002</v>
      </c>
      <c r="J212" s="54">
        <f>F212+июль!J210</f>
        <v>73907.120059999943</v>
      </c>
      <c r="K212" s="10">
        <f t="shared" si="97"/>
        <v>62146.456059999939</v>
      </c>
      <c r="L212" s="16">
        <f t="shared" si="98"/>
        <v>528.42642269177929</v>
      </c>
      <c r="M212" s="220"/>
      <c r="N212" s="221"/>
      <c r="O212" s="122">
        <f t="shared" si="79"/>
        <v>62147.184059999941</v>
      </c>
      <c r="P212" s="123">
        <f t="shared" si="80"/>
        <v>528.46532549156677</v>
      </c>
      <c r="Q212" s="114"/>
      <c r="S212">
        <f>D212*5</f>
        <v>7349.96</v>
      </c>
      <c r="T212" s="44">
        <f>E212+апр!I206</f>
        <v>7350.4150000000009</v>
      </c>
      <c r="U212" s="30">
        <f>F212+апр!J206</f>
        <v>32597.858219999966</v>
      </c>
    </row>
    <row r="213" spans="1:22" ht="17.25" customHeight="1">
      <c r="A213" s="157" t="s">
        <v>194</v>
      </c>
      <c r="B213" s="6" t="s">
        <v>195</v>
      </c>
      <c r="C213" s="157" t="s">
        <v>4</v>
      </c>
      <c r="D213" s="7">
        <f>D211+D212</f>
        <v>78025.222999999998</v>
      </c>
      <c r="E213" s="21">
        <f>E211+E212</f>
        <v>72556.914999999994</v>
      </c>
      <c r="F213" s="7">
        <f>F211+F212</f>
        <v>101482.08767999998</v>
      </c>
      <c r="G213" s="16">
        <f t="shared" si="96"/>
        <v>28925.172679999989</v>
      </c>
      <c r="H213" s="7">
        <f>H211+H212</f>
        <v>632330.51717322925</v>
      </c>
      <c r="I213" s="7">
        <f>I211+I212</f>
        <v>579103.55078061763</v>
      </c>
      <c r="J213" s="7">
        <f>J211+J212</f>
        <v>675816.3625599998</v>
      </c>
      <c r="K213" s="10">
        <f t="shared" si="97"/>
        <v>96712.811779382173</v>
      </c>
      <c r="L213" s="16">
        <f t="shared" si="98"/>
        <v>16.7004349479494</v>
      </c>
      <c r="M213" s="220"/>
      <c r="N213" s="221"/>
      <c r="O213" s="122">
        <f t="shared" si="79"/>
        <v>43485.845386770554</v>
      </c>
      <c r="P213" s="123">
        <f t="shared" si="80"/>
        <v>6.8770752329287701</v>
      </c>
      <c r="Q213" s="114"/>
      <c r="S213">
        <f t="shared" si="95"/>
        <v>390126.11499999999</v>
      </c>
      <c r="T213" s="44">
        <f>E213+апр!I207</f>
        <v>362784.57499999995</v>
      </c>
      <c r="U213" s="30">
        <f>F213+апр!J207</f>
        <v>392129.45571999985</v>
      </c>
    </row>
    <row r="214" spans="1:22" ht="17.25" customHeight="1">
      <c r="A214" s="224" t="s">
        <v>196</v>
      </c>
      <c r="B214" s="225" t="s">
        <v>197</v>
      </c>
      <c r="C214" s="157" t="s">
        <v>114</v>
      </c>
      <c r="D214" s="7">
        <v>559.39200000000005</v>
      </c>
      <c r="E214" s="157">
        <v>523.61</v>
      </c>
      <c r="F214" s="157">
        <v>735.80399999999997</v>
      </c>
      <c r="G214" s="10">
        <f t="shared" si="96"/>
        <v>212.19399999999996</v>
      </c>
      <c r="H214" s="10">
        <f>D214+июль!H212</f>
        <v>4475.1359999999995</v>
      </c>
      <c r="I214" s="8">
        <f>E214+июль!I212</f>
        <v>4188.88</v>
      </c>
      <c r="J214" s="54">
        <f>F214+июль!J212</f>
        <v>4905.1180000000004</v>
      </c>
      <c r="K214" s="10">
        <f t="shared" si="97"/>
        <v>716.23800000000028</v>
      </c>
      <c r="L214" s="16">
        <f t="shared" si="98"/>
        <v>17.098556177307543</v>
      </c>
      <c r="M214" s="220"/>
      <c r="N214" s="221"/>
      <c r="O214" s="122">
        <f t="shared" si="79"/>
        <v>429.98200000000088</v>
      </c>
      <c r="P214" s="123">
        <f t="shared" si="80"/>
        <v>9.6082443081059647</v>
      </c>
      <c r="Q214" s="114"/>
      <c r="S214">
        <f t="shared" si="95"/>
        <v>2796.96</v>
      </c>
      <c r="T214" s="44">
        <f>E214+апр!I208</f>
        <v>2618.0500000000002</v>
      </c>
      <c r="U214" s="30">
        <f>F214+апр!J208</f>
        <v>2843.1660000000002</v>
      </c>
    </row>
    <row r="215" spans="1:22" ht="17.25" customHeight="1">
      <c r="A215" s="224"/>
      <c r="B215" s="225"/>
      <c r="C215" s="157" t="s">
        <v>4</v>
      </c>
      <c r="D215" s="7">
        <f>D213</f>
        <v>78025.222999999998</v>
      </c>
      <c r="E215" s="21">
        <f>E213</f>
        <v>72556.914999999994</v>
      </c>
      <c r="F215" s="157">
        <f>F219*F214</f>
        <v>101482.08767999998</v>
      </c>
      <c r="G215" s="16">
        <f t="shared" si="96"/>
        <v>28925.172679999989</v>
      </c>
      <c r="H215" s="10">
        <f>D215+июль!H213</f>
        <v>624201.78399999999</v>
      </c>
      <c r="I215" s="7">
        <f>I213</f>
        <v>579103.55078061763</v>
      </c>
      <c r="J215" s="157">
        <f>J219*J214</f>
        <v>675816.3625599998</v>
      </c>
      <c r="K215" s="10">
        <f t="shared" si="97"/>
        <v>96712.811779382173</v>
      </c>
      <c r="L215" s="16">
        <f t="shared" si="98"/>
        <v>16.7004349479494</v>
      </c>
      <c r="M215" s="220"/>
      <c r="N215" s="221"/>
      <c r="O215" s="122">
        <f t="shared" si="79"/>
        <v>51614.57855999982</v>
      </c>
      <c r="P215" s="123">
        <f t="shared" si="80"/>
        <v>8.2688931501034961</v>
      </c>
      <c r="Q215" s="114"/>
      <c r="S215">
        <f t="shared" si="95"/>
        <v>390126.11499999999</v>
      </c>
      <c r="T215" s="44">
        <f>E215+апр!I209</f>
        <v>362784.57499999995</v>
      </c>
      <c r="U215" s="30">
        <f>F215+апр!J209</f>
        <v>392129.45571999985</v>
      </c>
    </row>
    <row r="216" spans="1:22" ht="17.25" customHeight="1">
      <c r="A216" s="157" t="s">
        <v>198</v>
      </c>
      <c r="B216" s="158" t="s">
        <v>199</v>
      </c>
      <c r="C216" s="157" t="s">
        <v>114</v>
      </c>
      <c r="D216" s="7">
        <v>761.69899999999996</v>
      </c>
      <c r="E216" s="21">
        <v>713</v>
      </c>
      <c r="F216" s="7">
        <v>926.91</v>
      </c>
      <c r="G216" s="10">
        <f t="shared" si="96"/>
        <v>213.90999999999997</v>
      </c>
      <c r="H216" s="10">
        <f>D216+июль!H214</f>
        <v>6093.5919999999987</v>
      </c>
      <c r="I216" s="8">
        <f>E216+июль!I214</f>
        <v>5704</v>
      </c>
      <c r="J216" s="54">
        <f>F216+июль!J214</f>
        <v>5967.7719999999999</v>
      </c>
      <c r="K216" s="10">
        <f t="shared" si="97"/>
        <v>263.77199999999993</v>
      </c>
      <c r="L216" s="16">
        <f t="shared" si="98"/>
        <v>4.624333800841514</v>
      </c>
      <c r="M216" s="220"/>
      <c r="N216" s="221"/>
      <c r="O216" s="122">
        <f t="shared" ref="O216:O219" si="99">J216-H216</f>
        <v>-125.8199999999988</v>
      </c>
      <c r="P216" s="123">
        <f t="shared" ref="P216:P219" si="100">O216/H216*100</f>
        <v>-2.0647919978889107</v>
      </c>
      <c r="Q216" s="114"/>
      <c r="S216">
        <f t="shared" si="95"/>
        <v>3808.4949999999999</v>
      </c>
      <c r="T216" s="44">
        <f>E216+апр!I210</f>
        <v>3565</v>
      </c>
      <c r="U216" s="30">
        <f>F216+апр!J210</f>
        <v>3580.5920000000001</v>
      </c>
    </row>
    <row r="217" spans="1:22" ht="17.25" customHeight="1">
      <c r="A217" s="224" t="s">
        <v>200</v>
      </c>
      <c r="B217" s="225" t="s">
        <v>201</v>
      </c>
      <c r="C217" s="157" t="s">
        <v>202</v>
      </c>
      <c r="D217" s="21">
        <f>D218/D216*100</f>
        <v>26.559966600980168</v>
      </c>
      <c r="E217" s="21">
        <f>E218/E216*100</f>
        <v>26.562412342215985</v>
      </c>
      <c r="F217" s="21">
        <f>F218/F216*100</f>
        <v>20.617535683076028</v>
      </c>
      <c r="G217" s="10">
        <f t="shared" si="96"/>
        <v>-5.9448766591399576</v>
      </c>
      <c r="H217" s="21">
        <f>H218/H216*100</f>
        <v>26.559966600980172</v>
      </c>
      <c r="I217" s="21">
        <f>I218/I216*100</f>
        <v>26.562412342215985</v>
      </c>
      <c r="J217" s="21">
        <f>J218/J216*100</f>
        <v>17.806544888108988</v>
      </c>
      <c r="K217" s="10">
        <f t="shared" si="97"/>
        <v>-8.7558674541069976</v>
      </c>
      <c r="L217" s="16">
        <f t="shared" si="98"/>
        <v>-32.963374490618776</v>
      </c>
      <c r="M217" s="220"/>
      <c r="N217" s="221"/>
      <c r="O217" s="122">
        <f t="shared" si="99"/>
        <v>-8.7534217128711838</v>
      </c>
      <c r="P217" s="123">
        <f t="shared" si="100"/>
        <v>-32.95720150697835</v>
      </c>
      <c r="Q217" s="114"/>
      <c r="S217">
        <f t="shared" si="95"/>
        <v>132.79983300490085</v>
      </c>
      <c r="T217" s="44">
        <f>E217+апр!I211</f>
        <v>53.124824684431971</v>
      </c>
      <c r="U217" s="30">
        <f>F217+апр!J211</f>
        <v>41.204780123065447</v>
      </c>
    </row>
    <row r="218" spans="1:22" ht="17.25" customHeight="1">
      <c r="A218" s="224"/>
      <c r="B218" s="225"/>
      <c r="C218" s="157" t="s">
        <v>114</v>
      </c>
      <c r="D218" s="7">
        <f>D216-D214</f>
        <v>202.3069999999999</v>
      </c>
      <c r="E218" s="7">
        <f>E216-E214</f>
        <v>189.39</v>
      </c>
      <c r="F218" s="7">
        <f>F216-F214</f>
        <v>191.10599999999999</v>
      </c>
      <c r="G218" s="10">
        <f t="shared" si="96"/>
        <v>1.7160000000000082</v>
      </c>
      <c r="H218" s="7">
        <f>H216-H214</f>
        <v>1618.4559999999992</v>
      </c>
      <c r="I218" s="7">
        <f>I216-I214</f>
        <v>1515.12</v>
      </c>
      <c r="J218" s="7">
        <f>J216-J214</f>
        <v>1062.6539999999995</v>
      </c>
      <c r="K218" s="10">
        <f t="shared" si="97"/>
        <v>-452.46600000000035</v>
      </c>
      <c r="L218" s="16">
        <f t="shared" si="98"/>
        <v>-29.863377158244919</v>
      </c>
      <c r="M218" s="220"/>
      <c r="N218" s="221"/>
      <c r="O218" s="122">
        <f t="shared" si="99"/>
        <v>-555.80199999999968</v>
      </c>
      <c r="P218" s="123">
        <f t="shared" si="100"/>
        <v>-34.34149584542304</v>
      </c>
      <c r="Q218" s="114"/>
      <c r="S218">
        <f t="shared" si="95"/>
        <v>1011.5349999999995</v>
      </c>
      <c r="T218" s="44">
        <f>E218+апр!I212</f>
        <v>946.94999999999993</v>
      </c>
      <c r="U218" s="30">
        <f>F218+апр!J212</f>
        <v>737.42600000000016</v>
      </c>
    </row>
    <row r="219" spans="1:22" s="1" customFormat="1" ht="21" customHeight="1">
      <c r="A219" s="157" t="s">
        <v>203</v>
      </c>
      <c r="B219" s="6" t="s">
        <v>204</v>
      </c>
      <c r="C219" s="157" t="s">
        <v>205</v>
      </c>
      <c r="D219" s="21">
        <f>D213/D214</f>
        <v>139.48219316686686</v>
      </c>
      <c r="E219" s="21">
        <f>E215/E214</f>
        <v>138.57052959263572</v>
      </c>
      <c r="F219" s="157">
        <v>137.91999999999999</v>
      </c>
      <c r="G219" s="10">
        <f t="shared" si="96"/>
        <v>-0.65052959263573484</v>
      </c>
      <c r="H219" s="21">
        <f>H213/H214</f>
        <v>141.29861465064511</v>
      </c>
      <c r="I219" s="21">
        <f>I213/I214</f>
        <v>138.24782538067876</v>
      </c>
      <c r="J219" s="21">
        <f>J213/J214</f>
        <v>137.7777991395925</v>
      </c>
      <c r="K219" s="10">
        <f t="shared" si="97"/>
        <v>-0.47002624108625923</v>
      </c>
      <c r="L219" s="16">
        <f t="shared" si="98"/>
        <v>-0.33998816241195584</v>
      </c>
      <c r="M219" s="220"/>
      <c r="N219" s="221"/>
      <c r="O219" s="122">
        <f t="shared" si="99"/>
        <v>-3.5208155110526036</v>
      </c>
      <c r="P219" s="123">
        <f t="shared" si="100"/>
        <v>-2.4917551525594726</v>
      </c>
      <c r="Q219" s="114"/>
      <c r="R219"/>
      <c r="S219">
        <f t="shared" si="95"/>
        <v>697.41096583433432</v>
      </c>
      <c r="T219" s="44">
        <f>E219+апр!I213</f>
        <v>277.14105918527144</v>
      </c>
      <c r="U219" s="30">
        <f>F219+апр!J213</f>
        <v>275.84000047452685</v>
      </c>
      <c r="V219"/>
    </row>
    <row r="220" spans="1:22" ht="17.25" customHeight="1">
      <c r="A220" s="8"/>
      <c r="B220" s="9" t="s">
        <v>206</v>
      </c>
      <c r="C220" s="8"/>
      <c r="D220" s="21"/>
      <c r="E220" s="8"/>
      <c r="F220" s="8"/>
      <c r="G220" s="8"/>
      <c r="H220" s="21"/>
      <c r="I220" s="8"/>
      <c r="J220" s="8"/>
      <c r="K220" s="8"/>
      <c r="L220" s="16"/>
      <c r="M220" s="220"/>
      <c r="N220" s="221"/>
      <c r="O220" s="114"/>
      <c r="P220" s="114"/>
      <c r="Q220" s="114"/>
      <c r="S220">
        <f t="shared" si="95"/>
        <v>0</v>
      </c>
      <c r="T220" s="44">
        <f>E220+апр!I214</f>
        <v>0</v>
      </c>
      <c r="U220" s="30">
        <f>F220+апр!J214</f>
        <v>0</v>
      </c>
    </row>
    <row r="221" spans="1:22" ht="35.25" customHeight="1">
      <c r="A221" s="8">
        <v>7</v>
      </c>
      <c r="B221" s="9" t="s">
        <v>207</v>
      </c>
      <c r="C221" s="8" t="s">
        <v>208</v>
      </c>
      <c r="D221" s="14">
        <f>D222+D223</f>
        <v>253</v>
      </c>
      <c r="E221" s="14">
        <f t="shared" ref="E221:G221" si="101">E222+E223</f>
        <v>0</v>
      </c>
      <c r="F221" s="14">
        <f t="shared" si="101"/>
        <v>0</v>
      </c>
      <c r="G221" s="14">
        <f t="shared" si="101"/>
        <v>0</v>
      </c>
      <c r="H221" s="14">
        <f>H222+H223</f>
        <v>253</v>
      </c>
      <c r="I221" s="14">
        <f t="shared" ref="I221:K221" si="102">I222+I223</f>
        <v>0</v>
      </c>
      <c r="J221" s="14">
        <f t="shared" si="102"/>
        <v>172</v>
      </c>
      <c r="K221" s="14">
        <f t="shared" si="102"/>
        <v>0</v>
      </c>
      <c r="L221" s="16"/>
      <c r="M221" s="220"/>
      <c r="N221" s="221"/>
      <c r="O221" s="114"/>
      <c r="P221" s="114"/>
      <c r="Q221" s="114"/>
      <c r="S221">
        <f t="shared" si="95"/>
        <v>1265</v>
      </c>
      <c r="T221" s="44">
        <f>E221+апр!I215</f>
        <v>0</v>
      </c>
      <c r="U221" s="30">
        <f>F221+апр!J215</f>
        <v>172</v>
      </c>
    </row>
    <row r="222" spans="1:22" ht="17.25" customHeight="1">
      <c r="A222" s="18" t="s">
        <v>209</v>
      </c>
      <c r="B222" s="9" t="s">
        <v>210</v>
      </c>
      <c r="C222" s="8" t="s">
        <v>208</v>
      </c>
      <c r="D222" s="14">
        <v>236</v>
      </c>
      <c r="E222" s="8"/>
      <c r="F222" s="8"/>
      <c r="G222" s="8"/>
      <c r="H222" s="14">
        <v>236</v>
      </c>
      <c r="I222" s="8"/>
      <c r="J222" s="8">
        <v>164</v>
      </c>
      <c r="K222" s="8"/>
      <c r="L222" s="16"/>
      <c r="M222" s="220"/>
      <c r="N222" s="221"/>
      <c r="O222" s="114"/>
      <c r="P222" s="114"/>
      <c r="Q222" s="114"/>
      <c r="S222">
        <f t="shared" si="95"/>
        <v>1180</v>
      </c>
      <c r="T222" s="44">
        <f>E222+апр!I216</f>
        <v>0</v>
      </c>
      <c r="U222" s="30">
        <f>F222+апр!J216</f>
        <v>164</v>
      </c>
    </row>
    <row r="223" spans="1:22" ht="17.25" customHeight="1">
      <c r="A223" s="18" t="s">
        <v>211</v>
      </c>
      <c r="B223" s="9" t="s">
        <v>212</v>
      </c>
      <c r="C223" s="8" t="s">
        <v>208</v>
      </c>
      <c r="D223" s="14">
        <v>17</v>
      </c>
      <c r="E223" s="8"/>
      <c r="F223" s="8"/>
      <c r="G223" s="8"/>
      <c r="H223" s="14">
        <v>17</v>
      </c>
      <c r="I223" s="8"/>
      <c r="J223" s="8">
        <v>8</v>
      </c>
      <c r="K223" s="8"/>
      <c r="L223" s="16"/>
      <c r="M223" s="220"/>
      <c r="N223" s="221"/>
      <c r="O223" s="114"/>
      <c r="P223" s="114"/>
      <c r="Q223" s="114"/>
      <c r="S223">
        <f t="shared" si="95"/>
        <v>85</v>
      </c>
      <c r="T223" s="44">
        <f>E223+апр!I217</f>
        <v>0</v>
      </c>
      <c r="U223" s="30">
        <f>F223+апр!J217</f>
        <v>8</v>
      </c>
    </row>
    <row r="224" spans="1:22" ht="36" customHeight="1">
      <c r="A224" s="18" t="s">
        <v>213</v>
      </c>
      <c r="B224" s="9" t="s">
        <v>214</v>
      </c>
      <c r="C224" s="8" t="s">
        <v>16</v>
      </c>
      <c r="D224" s="14">
        <f>(D88+D150)/D221*1000</f>
        <v>86746.573122529648</v>
      </c>
      <c r="E224" s="8"/>
      <c r="F224" s="8"/>
      <c r="G224" s="8"/>
      <c r="H224" s="14">
        <f>(H88+H150)/H221*1000/8</f>
        <v>86746.573122529633</v>
      </c>
      <c r="I224" s="8"/>
      <c r="J224" s="14">
        <f>(J88+J150)/J221*1000/6</f>
        <v>149519.61143410852</v>
      </c>
      <c r="K224" s="8"/>
      <c r="L224" s="16"/>
      <c r="M224" s="220"/>
      <c r="N224" s="221"/>
      <c r="O224" s="114"/>
      <c r="P224" s="114"/>
      <c r="Q224" s="114"/>
      <c r="S224">
        <f t="shared" si="95"/>
        <v>433732.86561264825</v>
      </c>
      <c r="T224" s="44">
        <f>E224+апр!I218</f>
        <v>0</v>
      </c>
      <c r="U224" s="30">
        <f>F224+апр!J218</f>
        <v>113361.80523255812</v>
      </c>
    </row>
    <row r="225" spans="1:21" ht="17.25" customHeight="1">
      <c r="A225" s="18" t="s">
        <v>215</v>
      </c>
      <c r="B225" s="9" t="s">
        <v>210</v>
      </c>
      <c r="C225" s="8" t="s">
        <v>16</v>
      </c>
      <c r="D225" s="14">
        <f>D88/D222*1000</f>
        <v>84883.580508474581</v>
      </c>
      <c r="E225" s="8"/>
      <c r="F225" s="8"/>
      <c r="G225" s="8"/>
      <c r="H225" s="14">
        <f>H88/H222*1000/7</f>
        <v>97009.80629539951</v>
      </c>
      <c r="I225" s="8"/>
      <c r="J225" s="14">
        <f>J88/J222*1000/6</f>
        <v>145975.41361788617</v>
      </c>
      <c r="K225" s="8"/>
      <c r="L225" s="16"/>
      <c r="M225" s="220"/>
      <c r="N225" s="221"/>
      <c r="O225" s="114"/>
      <c r="P225" s="114"/>
      <c r="Q225" s="114"/>
      <c r="T225" s="44">
        <f>E225+апр!I219</f>
        <v>0</v>
      </c>
      <c r="U225" s="30">
        <f>F225+апр!J219</f>
        <v>110632.42835365853</v>
      </c>
    </row>
    <row r="226" spans="1:21" ht="17.25" customHeight="1">
      <c r="A226" s="18" t="s">
        <v>216</v>
      </c>
      <c r="B226" s="9" t="s">
        <v>212</v>
      </c>
      <c r="C226" s="8" t="s">
        <v>16</v>
      </c>
      <c r="D226" s="14">
        <f>D150/D223*1000</f>
        <v>112609.29411764705</v>
      </c>
      <c r="E226" s="8"/>
      <c r="F226" s="8"/>
      <c r="G226" s="8"/>
      <c r="H226" s="10"/>
      <c r="I226" s="8"/>
      <c r="J226" s="14">
        <f>J150/J223*1000/6</f>
        <v>222175.66666666666</v>
      </c>
      <c r="K226" s="8"/>
      <c r="L226" s="16"/>
      <c r="M226" s="220"/>
      <c r="N226" s="221"/>
      <c r="O226" s="114"/>
      <c r="P226" s="114"/>
      <c r="Q226" s="114"/>
      <c r="T226" s="44">
        <f>E226+апр!I220</f>
        <v>0</v>
      </c>
      <c r="U226" s="30">
        <f>F226+апр!J220</f>
        <v>169314.03125</v>
      </c>
    </row>
    <row r="227" spans="1:21" ht="18.75">
      <c r="A227" s="29"/>
      <c r="B227" s="29"/>
      <c r="C227" s="29"/>
      <c r="D227" s="29"/>
      <c r="E227" s="29"/>
      <c r="F227" s="29"/>
      <c r="G227" s="29"/>
      <c r="H227" s="29">
        <f>H226*I223*12/1000</f>
        <v>0</v>
      </c>
      <c r="I227" s="29">
        <f>H224*I222*12/1000</f>
        <v>0</v>
      </c>
      <c r="J227" s="29"/>
      <c r="K227" s="29"/>
      <c r="L227" s="29"/>
      <c r="M227" s="29"/>
      <c r="N227" s="29">
        <f>H227+I227</f>
        <v>0</v>
      </c>
      <c r="O227" s="29"/>
      <c r="P227" s="29"/>
      <c r="Q227" s="29"/>
    </row>
    <row r="228" spans="1:21" ht="18.75">
      <c r="A228" s="29"/>
      <c r="B228" s="29"/>
      <c r="C228" s="29"/>
      <c r="D228" s="29"/>
      <c r="E228" s="29"/>
      <c r="F228" s="29"/>
      <c r="G228" s="29"/>
      <c r="H228" s="29">
        <v>607.40800000000002</v>
      </c>
      <c r="I228" s="29">
        <v>9999.5409999999993</v>
      </c>
      <c r="J228" s="29"/>
      <c r="K228" s="29"/>
      <c r="L228" s="29"/>
      <c r="M228" s="29"/>
      <c r="N228" s="29"/>
      <c r="O228" s="29"/>
      <c r="P228" s="29"/>
      <c r="Q228" s="29"/>
    </row>
    <row r="229" spans="1:21" ht="18.75">
      <c r="A229" s="29"/>
      <c r="B229" s="29"/>
      <c r="C229" s="29"/>
      <c r="D229" s="29"/>
      <c r="E229" s="29"/>
      <c r="F229" s="29"/>
      <c r="G229" s="29"/>
      <c r="H229" s="29">
        <v>953.40200000000004</v>
      </c>
      <c r="I229" s="29">
        <v>10043.467000000001</v>
      </c>
      <c r="J229" s="29"/>
      <c r="K229" s="29"/>
      <c r="L229" s="29"/>
      <c r="M229" s="29"/>
      <c r="N229" s="29"/>
      <c r="O229" s="29"/>
      <c r="P229" s="29"/>
      <c r="Q229" s="29"/>
    </row>
    <row r="230" spans="1:21" ht="18.75">
      <c r="A230" s="29"/>
      <c r="B230" s="29"/>
      <c r="C230" s="29"/>
      <c r="D230" s="29"/>
      <c r="E230" s="29"/>
      <c r="F230" s="29"/>
      <c r="G230" s="29"/>
      <c r="H230" s="29"/>
      <c r="I230" s="29">
        <f>888.772+371.175+148.47</f>
        <v>1408.4170000000001</v>
      </c>
      <c r="J230" s="29"/>
      <c r="K230" s="29"/>
      <c r="L230" s="29"/>
      <c r="M230" s="29"/>
      <c r="N230" s="29"/>
      <c r="O230" s="29"/>
      <c r="P230" s="29"/>
      <c r="Q230" s="29"/>
    </row>
    <row r="231" spans="1:21" ht="18.75">
      <c r="A231" s="29"/>
      <c r="B231" s="29"/>
      <c r="C231" s="29"/>
      <c r="D231" s="29"/>
      <c r="E231" s="29"/>
      <c r="F231" s="29"/>
      <c r="G231" s="29"/>
      <c r="H231" s="29">
        <f>SUM(H227:H229)</f>
        <v>1560.81</v>
      </c>
      <c r="I231" s="29">
        <f>SUM(I227:I230)</f>
        <v>21451.425000000003</v>
      </c>
      <c r="J231" s="29"/>
      <c r="K231" s="29"/>
      <c r="L231" s="29"/>
      <c r="M231" s="29"/>
      <c r="N231" s="29">
        <f>SUM(H231:M231)</f>
        <v>23012.235000000004</v>
      </c>
      <c r="O231" s="29"/>
      <c r="P231" s="29"/>
      <c r="Q231" s="29"/>
    </row>
    <row r="232" spans="1:21" ht="72.75" customHeight="1">
      <c r="A232" s="29"/>
      <c r="B232" s="29" t="s">
        <v>295</v>
      </c>
      <c r="C232" s="29"/>
      <c r="D232" s="29"/>
      <c r="E232" s="29"/>
      <c r="F232" s="29"/>
      <c r="G232" s="29"/>
      <c r="H232" s="29"/>
      <c r="I232" s="29" t="s">
        <v>296</v>
      </c>
      <c r="J232" s="29"/>
      <c r="K232" s="29"/>
      <c r="L232" s="29"/>
      <c r="M232" s="29"/>
      <c r="N232" s="29"/>
      <c r="O232" s="29"/>
      <c r="P232" s="29"/>
      <c r="Q232" s="29"/>
    </row>
    <row r="233" spans="1:21" ht="9" customHeight="1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</row>
    <row r="234" spans="1:21" ht="52.5" hidden="1" customHeight="1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</row>
    <row r="235" spans="1:21" ht="15.75" hidden="1" customHeight="1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</row>
    <row r="236" spans="1:21" ht="27" hidden="1" customHeight="1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</row>
    <row r="237" spans="1:21" ht="30" customHeight="1">
      <c r="A237" s="29"/>
      <c r="B237" s="29" t="s">
        <v>233</v>
      </c>
      <c r="C237" s="29"/>
      <c r="D237" s="29"/>
      <c r="E237" s="29"/>
      <c r="F237" s="29"/>
      <c r="G237" s="29"/>
      <c r="H237" s="29"/>
      <c r="I237" s="29" t="s">
        <v>234</v>
      </c>
      <c r="J237" s="29"/>
      <c r="K237" s="29"/>
      <c r="L237" s="29"/>
      <c r="M237" s="29"/>
      <c r="N237" s="29"/>
      <c r="O237" s="29"/>
      <c r="P237" s="29"/>
      <c r="Q237" s="29"/>
    </row>
    <row r="238" spans="1:21" ht="28.5" customHeight="1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</row>
    <row r="239" spans="1:21" ht="4.5" hidden="1" customHeight="1">
      <c r="B239" s="3" t="s">
        <v>233</v>
      </c>
      <c r="C239" s="3"/>
      <c r="D239" s="3"/>
      <c r="E239" s="3"/>
      <c r="F239" s="3"/>
      <c r="G239" s="3"/>
      <c r="H239" t="s">
        <v>234</v>
      </c>
    </row>
    <row r="240" spans="1:21" ht="16.5" customHeight="1">
      <c r="B240" s="4"/>
      <c r="C240" s="2"/>
      <c r="D240" s="2"/>
      <c r="E240" s="2"/>
      <c r="F240" s="2"/>
      <c r="G240" s="2"/>
    </row>
    <row r="241" spans="1:7" ht="15.75">
      <c r="A241" s="2"/>
      <c r="B241" s="2"/>
      <c r="C241" s="2"/>
      <c r="D241" s="2"/>
      <c r="E241" s="2"/>
      <c r="F241" s="2"/>
      <c r="G241" s="2"/>
    </row>
    <row r="242" spans="1:7" ht="15.75">
      <c r="A242" s="2"/>
      <c r="B242" s="2"/>
      <c r="C242" s="2"/>
      <c r="D242" s="2"/>
      <c r="E242" s="2"/>
      <c r="F242" s="2"/>
      <c r="G242" s="2"/>
    </row>
    <row r="243" spans="1:7" ht="15.75">
      <c r="A243" s="2"/>
      <c r="B243" s="2"/>
      <c r="C243" s="2"/>
      <c r="D243" s="2"/>
      <c r="E243" s="2"/>
      <c r="F243" s="2"/>
      <c r="G243" s="2"/>
    </row>
    <row r="244" spans="1:7" ht="15.75">
      <c r="A244" s="4" t="s">
        <v>235</v>
      </c>
      <c r="B244" s="2"/>
      <c r="C244" s="2"/>
      <c r="D244" s="2"/>
      <c r="E244" s="2"/>
      <c r="F244" s="2"/>
      <c r="G244" s="2"/>
    </row>
    <row r="245" spans="1:7" ht="15.75">
      <c r="A245" s="2"/>
      <c r="B245" s="2"/>
      <c r="C245" s="2"/>
      <c r="D245" s="2"/>
      <c r="E245" s="2"/>
      <c r="F245" s="2"/>
      <c r="G245" s="2"/>
    </row>
  </sheetData>
  <mergeCells count="224">
    <mergeCell ref="M226:N226"/>
    <mergeCell ref="M220:N220"/>
    <mergeCell ref="M221:N221"/>
    <mergeCell ref="M222:N222"/>
    <mergeCell ref="M223:N223"/>
    <mergeCell ref="M224:N224"/>
    <mergeCell ref="M225:N225"/>
    <mergeCell ref="M216:N216"/>
    <mergeCell ref="A217:A218"/>
    <mergeCell ref="B217:B218"/>
    <mergeCell ref="M217:N217"/>
    <mergeCell ref="M218:N218"/>
    <mergeCell ref="M219:N219"/>
    <mergeCell ref="M208:N208"/>
    <mergeCell ref="M209:N209"/>
    <mergeCell ref="M211:N211"/>
    <mergeCell ref="M212:N212"/>
    <mergeCell ref="M213:N213"/>
    <mergeCell ref="A214:A215"/>
    <mergeCell ref="B214:B215"/>
    <mergeCell ref="M214:N214"/>
    <mergeCell ref="M215:N215"/>
    <mergeCell ref="M202:N202"/>
    <mergeCell ref="M203:N203"/>
    <mergeCell ref="M204:N204"/>
    <mergeCell ref="M205:N205"/>
    <mergeCell ref="M206:N206"/>
    <mergeCell ref="M207:N207"/>
    <mergeCell ref="M196:N196"/>
    <mergeCell ref="M197:N197"/>
    <mergeCell ref="M198:N198"/>
    <mergeCell ref="M199:N199"/>
    <mergeCell ref="M200:N200"/>
    <mergeCell ref="M201:N201"/>
    <mergeCell ref="M190:N190"/>
    <mergeCell ref="M191:N191"/>
    <mergeCell ref="M192:N192"/>
    <mergeCell ref="M193:N193"/>
    <mergeCell ref="M194:N194"/>
    <mergeCell ref="M195:N195"/>
    <mergeCell ref="M184:N184"/>
    <mergeCell ref="M185:N185"/>
    <mergeCell ref="M186:N186"/>
    <mergeCell ref="M187:N187"/>
    <mergeCell ref="M188:N188"/>
    <mergeCell ref="M189:N189"/>
    <mergeCell ref="M177:N177"/>
    <mergeCell ref="M178:N178"/>
    <mergeCell ref="M179:N179"/>
    <mergeCell ref="M180:N180"/>
    <mergeCell ref="M181:N181"/>
    <mergeCell ref="M182:N182"/>
    <mergeCell ref="M171:N171"/>
    <mergeCell ref="M172:N172"/>
    <mergeCell ref="M173:N173"/>
    <mergeCell ref="M174:N174"/>
    <mergeCell ref="M175:N175"/>
    <mergeCell ref="M176:N176"/>
    <mergeCell ref="M165:N165"/>
    <mergeCell ref="M166:N166"/>
    <mergeCell ref="M167:N167"/>
    <mergeCell ref="M168:N168"/>
    <mergeCell ref="M169:N169"/>
    <mergeCell ref="M170:N170"/>
    <mergeCell ref="M159:N159"/>
    <mergeCell ref="M160:N160"/>
    <mergeCell ref="M161:N161"/>
    <mergeCell ref="M162:N162"/>
    <mergeCell ref="M163:N163"/>
    <mergeCell ref="M164:N164"/>
    <mergeCell ref="M150:N150"/>
    <mergeCell ref="M151:N151"/>
    <mergeCell ref="M155:N155"/>
    <mergeCell ref="M156:N156"/>
    <mergeCell ref="M157:N157"/>
    <mergeCell ref="M158:N158"/>
    <mergeCell ref="M144:N144"/>
    <mergeCell ref="M145:N145"/>
    <mergeCell ref="M146:N146"/>
    <mergeCell ref="M147:N147"/>
    <mergeCell ref="M148:N148"/>
    <mergeCell ref="M149:N149"/>
    <mergeCell ref="M131:N131"/>
    <mergeCell ref="M132:N132"/>
    <mergeCell ref="M133:N133"/>
    <mergeCell ref="M134:N134"/>
    <mergeCell ref="M135:N135"/>
    <mergeCell ref="M143:N143"/>
    <mergeCell ref="M125:N125"/>
    <mergeCell ref="M126:N126"/>
    <mergeCell ref="M127:N127"/>
    <mergeCell ref="M128:N128"/>
    <mergeCell ref="M129:N129"/>
    <mergeCell ref="M130:N130"/>
    <mergeCell ref="M119:N119"/>
    <mergeCell ref="M120:N120"/>
    <mergeCell ref="M121:N121"/>
    <mergeCell ref="M122:N122"/>
    <mergeCell ref="M123:N123"/>
    <mergeCell ref="M124:N124"/>
    <mergeCell ref="M113:N113"/>
    <mergeCell ref="M114:N114"/>
    <mergeCell ref="M115:N115"/>
    <mergeCell ref="M116:N116"/>
    <mergeCell ref="M117:N117"/>
    <mergeCell ref="M118:N118"/>
    <mergeCell ref="M107:N107"/>
    <mergeCell ref="M108:N108"/>
    <mergeCell ref="M109:N109"/>
    <mergeCell ref="M110:N110"/>
    <mergeCell ref="M111:N111"/>
    <mergeCell ref="M112:N112"/>
    <mergeCell ref="M101:N101"/>
    <mergeCell ref="M102:N102"/>
    <mergeCell ref="M103:N103"/>
    <mergeCell ref="M104:N104"/>
    <mergeCell ref="M105:N105"/>
    <mergeCell ref="M106:N106"/>
    <mergeCell ref="M95:N95"/>
    <mergeCell ref="M96:N96"/>
    <mergeCell ref="M97:N97"/>
    <mergeCell ref="M98:N98"/>
    <mergeCell ref="M99:N99"/>
    <mergeCell ref="M100:N100"/>
    <mergeCell ref="M86:N86"/>
    <mergeCell ref="M87:N87"/>
    <mergeCell ref="M88:N88"/>
    <mergeCell ref="M89:N89"/>
    <mergeCell ref="M93:N93"/>
    <mergeCell ref="M94:N94"/>
    <mergeCell ref="M79:N79"/>
    <mergeCell ref="M80:N80"/>
    <mergeCell ref="M81:N81"/>
    <mergeCell ref="M82:N82"/>
    <mergeCell ref="M83:N83"/>
    <mergeCell ref="M84:N85"/>
    <mergeCell ref="M73:N73"/>
    <mergeCell ref="M74:N74"/>
    <mergeCell ref="M75:N75"/>
    <mergeCell ref="M76:N76"/>
    <mergeCell ref="M77:N77"/>
    <mergeCell ref="M78:N78"/>
    <mergeCell ref="M66:N66"/>
    <mergeCell ref="M67:N67"/>
    <mergeCell ref="M68:N68"/>
    <mergeCell ref="M69:N70"/>
    <mergeCell ref="M71:N71"/>
    <mergeCell ref="M72:N72"/>
    <mergeCell ref="M59:N59"/>
    <mergeCell ref="M60:N61"/>
    <mergeCell ref="M62:N62"/>
    <mergeCell ref="M63:N63"/>
    <mergeCell ref="M64:N64"/>
    <mergeCell ref="M65:N65"/>
    <mergeCell ref="M52:N52"/>
    <mergeCell ref="M53:N53"/>
    <mergeCell ref="M54:N54"/>
    <mergeCell ref="M55:N55"/>
    <mergeCell ref="M56:N56"/>
    <mergeCell ref="M57:N58"/>
    <mergeCell ref="M46:N46"/>
    <mergeCell ref="M47:N47"/>
    <mergeCell ref="M48:N48"/>
    <mergeCell ref="M49:N49"/>
    <mergeCell ref="M50:N50"/>
    <mergeCell ref="M51:N51"/>
    <mergeCell ref="M39:N39"/>
    <mergeCell ref="M40:N40"/>
    <mergeCell ref="M41:N41"/>
    <mergeCell ref="M42:N43"/>
    <mergeCell ref="M44:N44"/>
    <mergeCell ref="M45:N45"/>
    <mergeCell ref="M33:N33"/>
    <mergeCell ref="M34:N34"/>
    <mergeCell ref="M35:N35"/>
    <mergeCell ref="M36:N36"/>
    <mergeCell ref="M37:N37"/>
    <mergeCell ref="M38:N38"/>
    <mergeCell ref="M27:N27"/>
    <mergeCell ref="M28:N28"/>
    <mergeCell ref="M29:N29"/>
    <mergeCell ref="M30:N30"/>
    <mergeCell ref="M31:N31"/>
    <mergeCell ref="M32:N32"/>
    <mergeCell ref="M21:N21"/>
    <mergeCell ref="M22:N22"/>
    <mergeCell ref="M23:N23"/>
    <mergeCell ref="M24:N24"/>
    <mergeCell ref="M25:N25"/>
    <mergeCell ref="M26:N26"/>
    <mergeCell ref="M15:N15"/>
    <mergeCell ref="M16:N16"/>
    <mergeCell ref="M17:N17"/>
    <mergeCell ref="M18:N18"/>
    <mergeCell ref="M19:N19"/>
    <mergeCell ref="M20:N20"/>
    <mergeCell ref="M9:N9"/>
    <mergeCell ref="M10:N10"/>
    <mergeCell ref="M11:N11"/>
    <mergeCell ref="M12:N12"/>
    <mergeCell ref="M13:N13"/>
    <mergeCell ref="M14:N14"/>
    <mergeCell ref="O5:O6"/>
    <mergeCell ref="P5:P6"/>
    <mergeCell ref="M7:N7"/>
    <mergeCell ref="M8:N8"/>
    <mergeCell ref="E5:E6"/>
    <mergeCell ref="F5:F6"/>
    <mergeCell ref="G5:G6"/>
    <mergeCell ref="H5:H6"/>
    <mergeCell ref="I5:I6"/>
    <mergeCell ref="J5:J6"/>
    <mergeCell ref="A1:N1"/>
    <mergeCell ref="A2:N2"/>
    <mergeCell ref="A3:C3"/>
    <mergeCell ref="A4:A6"/>
    <mergeCell ref="B4:B6"/>
    <mergeCell ref="C4:C6"/>
    <mergeCell ref="D4:G4"/>
    <mergeCell ref="H4:L4"/>
    <mergeCell ref="M4:N6"/>
    <mergeCell ref="D5:D6"/>
    <mergeCell ref="K5:K6"/>
    <mergeCell ref="L5:L6"/>
  </mergeCells>
  <pageMargins left="0" right="0" top="0.94488188976377963" bottom="0.39370078740157483" header="0.31496062992125984" footer="0.31496062992125984"/>
  <pageSetup paperSize="9" scale="78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V246"/>
  <sheetViews>
    <sheetView workbookViewId="0">
      <pane xSplit="10" ySplit="15" topLeftCell="K200" activePane="bottomRight" state="frozen"/>
      <selection pane="topRight" activeCell="J1" sqref="J1"/>
      <selection pane="bottomLeft" activeCell="A16" sqref="A16"/>
      <selection pane="bottomRight" activeCell="H203" sqref="H203"/>
    </sheetView>
  </sheetViews>
  <sheetFormatPr defaultRowHeight="15"/>
  <cols>
    <col min="1" max="1" width="8.85546875" customWidth="1"/>
    <col min="2" max="2" width="38.42578125" customWidth="1"/>
    <col min="3" max="3" width="13.140625" customWidth="1"/>
    <col min="4" max="4" width="14.5703125" customWidth="1"/>
    <col min="5" max="5" width="13" customWidth="1"/>
    <col min="6" max="6" width="14.5703125" style="60" customWidth="1"/>
    <col min="7" max="8" width="15" customWidth="1"/>
    <col min="9" max="9" width="14.7109375" style="60" customWidth="1"/>
    <col min="10" max="10" width="18.140625" customWidth="1"/>
    <col min="11" max="11" width="16.140625" customWidth="1"/>
    <col min="12" max="12" width="13.85546875" customWidth="1"/>
    <col min="13" max="13" width="14.85546875" hidden="1" customWidth="1"/>
    <col min="14" max="14" width="6" hidden="1" customWidth="1"/>
    <col min="15" max="15" width="15" customWidth="1"/>
    <col min="16" max="17" width="11.140625" customWidth="1"/>
    <col min="18" max="18" width="13.42578125" customWidth="1"/>
    <col min="19" max="19" width="12.85546875" customWidth="1"/>
    <col min="20" max="20" width="13.28515625" customWidth="1"/>
    <col min="21" max="21" width="13.7109375" customWidth="1"/>
    <col min="22" max="22" width="11.85546875" customWidth="1"/>
    <col min="23" max="27" width="9.140625" customWidth="1"/>
  </cols>
  <sheetData>
    <row r="1" spans="1:22" ht="54" customHeight="1">
      <c r="A1" s="241" t="s">
        <v>226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163"/>
      <c r="P1" s="163"/>
      <c r="Q1" s="163"/>
    </row>
    <row r="2" spans="1:22" ht="42.75" customHeight="1">
      <c r="A2" s="242" t="s">
        <v>339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164"/>
      <c r="P2" s="164"/>
      <c r="Q2" s="164"/>
      <c r="T2" s="30"/>
    </row>
    <row r="3" spans="1:22" ht="1.5" customHeight="1">
      <c r="A3" s="243"/>
      <c r="B3" s="243"/>
      <c r="C3" s="243"/>
      <c r="D3" s="165"/>
      <c r="E3" s="165"/>
      <c r="F3" s="165"/>
      <c r="G3" s="165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22" ht="18.75">
      <c r="A4" s="244" t="s">
        <v>0</v>
      </c>
      <c r="B4" s="247" t="s">
        <v>1</v>
      </c>
      <c r="C4" s="244" t="s">
        <v>217</v>
      </c>
      <c r="D4" s="250" t="s">
        <v>304</v>
      </c>
      <c r="E4" s="251"/>
      <c r="F4" s="251"/>
      <c r="G4" s="252"/>
      <c r="H4" s="250" t="s">
        <v>227</v>
      </c>
      <c r="I4" s="251"/>
      <c r="J4" s="251"/>
      <c r="K4" s="251"/>
      <c r="L4" s="252"/>
      <c r="M4" s="253" t="s">
        <v>239</v>
      </c>
      <c r="N4" s="254"/>
      <c r="O4" s="121"/>
      <c r="P4" s="121"/>
      <c r="Q4" s="112"/>
    </row>
    <row r="5" spans="1:22" ht="15" customHeight="1">
      <c r="A5" s="245"/>
      <c r="B5" s="248"/>
      <c r="C5" s="245"/>
      <c r="D5" s="237" t="s">
        <v>305</v>
      </c>
      <c r="E5" s="237" t="s">
        <v>306</v>
      </c>
      <c r="F5" s="237" t="s">
        <v>229</v>
      </c>
      <c r="G5" s="237" t="s">
        <v>219</v>
      </c>
      <c r="H5" s="237" t="s">
        <v>305</v>
      </c>
      <c r="I5" s="237" t="s">
        <v>306</v>
      </c>
      <c r="J5" s="237" t="s">
        <v>229</v>
      </c>
      <c r="K5" s="237" t="s">
        <v>341</v>
      </c>
      <c r="L5" s="237" t="s">
        <v>342</v>
      </c>
      <c r="M5" s="255"/>
      <c r="N5" s="256"/>
      <c r="O5" s="237" t="s">
        <v>329</v>
      </c>
      <c r="P5" s="237" t="s">
        <v>330</v>
      </c>
      <c r="Q5" s="112"/>
      <c r="T5" s="30">
        <f>F78+F81+F84</f>
        <v>0</v>
      </c>
    </row>
    <row r="6" spans="1:22" ht="41.25" customHeight="1">
      <c r="A6" s="246"/>
      <c r="B6" s="249"/>
      <c r="C6" s="246"/>
      <c r="D6" s="238"/>
      <c r="E6" s="238"/>
      <c r="F6" s="238"/>
      <c r="G6" s="238"/>
      <c r="H6" s="238"/>
      <c r="I6" s="238"/>
      <c r="J6" s="238"/>
      <c r="K6" s="238"/>
      <c r="L6" s="238"/>
      <c r="M6" s="257"/>
      <c r="N6" s="258"/>
      <c r="O6" s="238"/>
      <c r="P6" s="238"/>
      <c r="Q6" s="112"/>
    </row>
    <row r="7" spans="1:22" ht="15.75" customHeight="1">
      <c r="A7" s="35">
        <v>1</v>
      </c>
      <c r="B7" s="35">
        <v>2</v>
      </c>
      <c r="C7" s="35">
        <v>3</v>
      </c>
      <c r="D7" s="35"/>
      <c r="E7" s="35"/>
      <c r="F7" s="35"/>
      <c r="G7" s="35"/>
      <c r="H7" s="35">
        <v>4</v>
      </c>
      <c r="I7" s="35">
        <v>5</v>
      </c>
      <c r="J7" s="35">
        <v>6</v>
      </c>
      <c r="K7" s="35"/>
      <c r="L7" s="35">
        <v>7</v>
      </c>
      <c r="M7" s="239">
        <v>8</v>
      </c>
      <c r="N7" s="240"/>
      <c r="O7" s="119"/>
      <c r="P7" s="120"/>
      <c r="Q7" s="113"/>
      <c r="R7" s="30">
        <f>J8-R8</f>
        <v>393962.18849999993</v>
      </c>
      <c r="S7">
        <v>272681.63099999999</v>
      </c>
      <c r="T7" s="30">
        <f>J8-S7</f>
        <v>394602.64349999995</v>
      </c>
    </row>
    <row r="8" spans="1:22" ht="39" customHeight="1">
      <c r="A8" s="169" t="s">
        <v>2</v>
      </c>
      <c r="B8" s="6" t="s">
        <v>3</v>
      </c>
      <c r="C8" s="169" t="s">
        <v>4</v>
      </c>
      <c r="D8" s="7">
        <f>D9+D87+D93+D95+D97</f>
        <v>73170.115000000005</v>
      </c>
      <c r="E8" s="21">
        <f>E9+E87+E93+E95+E97</f>
        <v>68097.582999999999</v>
      </c>
      <c r="F8" s="7">
        <f>F9+F87+F93+F95+F97</f>
        <v>85758.410999999993</v>
      </c>
      <c r="G8" s="7">
        <f>F8-E8</f>
        <v>17660.827999999994</v>
      </c>
      <c r="H8" s="7">
        <f>H9+H87+H93+H95+H97</f>
        <v>658531.03500000003</v>
      </c>
      <c r="I8" s="21">
        <f>I9+I87+I93+I95+I97</f>
        <v>612876.91399999999</v>
      </c>
      <c r="J8" s="7">
        <f>J9+J87+J93+J95+J97</f>
        <v>667284.27449999994</v>
      </c>
      <c r="K8" s="71">
        <f>J8-I8</f>
        <v>54407.360499999952</v>
      </c>
      <c r="L8" s="21">
        <f>K8/I8*100</f>
        <v>8.8773715010580325</v>
      </c>
      <c r="M8" s="220"/>
      <c r="N8" s="221"/>
      <c r="O8" s="122">
        <f>J8-H8</f>
        <v>8753.2394999999087</v>
      </c>
      <c r="P8" s="123">
        <f>O8/H8*100</f>
        <v>1.3292068307760025</v>
      </c>
      <c r="Q8" s="118"/>
      <c r="R8">
        <f>640.455+272681.631</f>
        <v>273322.08600000001</v>
      </c>
      <c r="S8">
        <f>D8*5</f>
        <v>365850.57500000001</v>
      </c>
      <c r="T8" s="44">
        <f>E8+апр!I8</f>
        <v>340487.91499999998</v>
      </c>
      <c r="U8" s="30">
        <f>F8+апр!J8</f>
        <v>359569.86349999986</v>
      </c>
      <c r="V8" s="30">
        <f>J8-U8</f>
        <v>307714.41100000008</v>
      </c>
    </row>
    <row r="9" spans="1:22" ht="17.25" customHeight="1">
      <c r="A9" s="169" t="s">
        <v>5</v>
      </c>
      <c r="B9" s="6" t="s">
        <v>6</v>
      </c>
      <c r="C9" s="169" t="s">
        <v>4</v>
      </c>
      <c r="D9" s="7">
        <f>D10+D37+D72</f>
        <v>35732.106</v>
      </c>
      <c r="E9" s="21">
        <f>E10+E37+E72</f>
        <v>32135.084000000003</v>
      </c>
      <c r="F9" s="7">
        <f>F10+F37+F72</f>
        <v>34671.61</v>
      </c>
      <c r="G9" s="7">
        <f>F9-E9</f>
        <v>2536.525999999998</v>
      </c>
      <c r="H9" s="7">
        <f>H10+H37+H72</f>
        <v>321588.95400000003</v>
      </c>
      <c r="I9" s="21">
        <f>I10+I37+I72</f>
        <v>289215.75600000005</v>
      </c>
      <c r="J9" s="7">
        <f>J10+J37+J72</f>
        <v>332775.94299999997</v>
      </c>
      <c r="K9" s="21">
        <f>J9-I9</f>
        <v>43560.186999999918</v>
      </c>
      <c r="L9" s="21">
        <f>K9/I9*100</f>
        <v>15.061484755346424</v>
      </c>
      <c r="M9" s="220"/>
      <c r="N9" s="221"/>
      <c r="O9" s="122">
        <f t="shared" ref="O9:O72" si="0">J9-H9</f>
        <v>11186.988999999943</v>
      </c>
      <c r="P9" s="123">
        <f t="shared" ref="P9:P72" si="1">O9/H9*100</f>
        <v>3.4786608373370753</v>
      </c>
      <c r="Q9" s="114"/>
      <c r="S9">
        <f t="shared" ref="S9:S72" si="2">D9*5</f>
        <v>178660.53</v>
      </c>
      <c r="T9" s="44">
        <f>E9+апр!I9</f>
        <v>160675.42000000001</v>
      </c>
      <c r="U9" s="30">
        <f>F9+апр!J9</f>
        <v>173638.63199999998</v>
      </c>
    </row>
    <row r="10" spans="1:22" ht="17.25" customHeight="1">
      <c r="A10" s="8" t="s">
        <v>7</v>
      </c>
      <c r="B10" s="9" t="s">
        <v>8</v>
      </c>
      <c r="C10" s="8" t="s">
        <v>4</v>
      </c>
      <c r="D10" s="10">
        <f>D11+D30+D35</f>
        <v>7601.0440000000008</v>
      </c>
      <c r="E10" s="10">
        <f>E11+E30+E35</f>
        <v>5895.3339999999998</v>
      </c>
      <c r="F10" s="10">
        <f>F11+F30+F35</f>
        <v>7574.9780000000001</v>
      </c>
      <c r="G10" s="10">
        <f>F10-E10</f>
        <v>1679.6440000000002</v>
      </c>
      <c r="H10" s="10">
        <f>H11+H30+H35</f>
        <v>68409.396000000008</v>
      </c>
      <c r="I10" s="10">
        <f>I11+I30+I35</f>
        <v>53058.005999999994</v>
      </c>
      <c r="J10" s="10">
        <f>J11+J30+J35</f>
        <v>63855.040999999997</v>
      </c>
      <c r="K10" s="10">
        <f>J10-I10</f>
        <v>10797.035000000003</v>
      </c>
      <c r="L10" s="16">
        <f>K10/I10*100</f>
        <v>20.349492591184077</v>
      </c>
      <c r="M10" s="220"/>
      <c r="N10" s="221"/>
      <c r="O10" s="122">
        <f t="shared" si="0"/>
        <v>-4554.3550000000105</v>
      </c>
      <c r="P10" s="123">
        <f t="shared" si="1"/>
        <v>-6.6574992125350878</v>
      </c>
      <c r="Q10" s="114"/>
      <c r="S10">
        <f t="shared" si="2"/>
        <v>38005.22</v>
      </c>
      <c r="T10" s="44">
        <f>E10+апр!I10</f>
        <v>29476.67</v>
      </c>
      <c r="U10" s="30">
        <f>F10+апр!J10</f>
        <v>30277.69</v>
      </c>
    </row>
    <row r="11" spans="1:22" ht="17.25" customHeight="1">
      <c r="A11" s="8" t="s">
        <v>9</v>
      </c>
      <c r="B11" s="9" t="s">
        <v>10</v>
      </c>
      <c r="C11" s="8" t="s">
        <v>4</v>
      </c>
      <c r="D11" s="10">
        <f>D12+D15+D18+D21+D24+D27</f>
        <v>5032.2450000000008</v>
      </c>
      <c r="E11" s="8">
        <v>4970.0829999999996</v>
      </c>
      <c r="F11" s="10">
        <f>F12+F15+F18+F21+F24+F27</f>
        <v>5915.1</v>
      </c>
      <c r="G11" s="10">
        <f t="shared" ref="G11:G74" si="3">F11-E11</f>
        <v>945.01700000000073</v>
      </c>
      <c r="H11" s="10">
        <f>H12+H15+H18+H21+H24+H27</f>
        <v>45290.205000000002</v>
      </c>
      <c r="I11" s="8">
        <f>E11+август!I11</f>
        <v>44730.746999999996</v>
      </c>
      <c r="J11" s="10">
        <f>J12+J15+J18+J21+J24+J27</f>
        <v>42152.667999999998</v>
      </c>
      <c r="K11" s="10">
        <f t="shared" ref="K11:K74" si="4">J11-I11</f>
        <v>-2578.0789999999979</v>
      </c>
      <c r="L11" s="16">
        <f t="shared" ref="L11:L72" si="5">K11/I11*100</f>
        <v>-5.7635500699328768</v>
      </c>
      <c r="M11" s="220"/>
      <c r="N11" s="221"/>
      <c r="O11" s="122">
        <f t="shared" si="0"/>
        <v>-3137.5370000000039</v>
      </c>
      <c r="P11" s="123">
        <f t="shared" si="1"/>
        <v>-6.9276281703737137</v>
      </c>
      <c r="Q11" s="114"/>
      <c r="S11">
        <f t="shared" si="2"/>
        <v>25161.225000000006</v>
      </c>
      <c r="T11" s="44">
        <f>E11+апр!I11</f>
        <v>24850.414999999997</v>
      </c>
      <c r="U11" s="30">
        <f>F11+апр!J11</f>
        <v>17661.514999999999</v>
      </c>
    </row>
    <row r="12" spans="1:22" ht="18.75" customHeight="1">
      <c r="A12" s="8" t="s">
        <v>11</v>
      </c>
      <c r="B12" s="9" t="s">
        <v>12</v>
      </c>
      <c r="C12" s="8" t="s">
        <v>4</v>
      </c>
      <c r="D12" s="10">
        <v>852.13199999999995</v>
      </c>
      <c r="E12" s="8"/>
      <c r="F12" s="54">
        <v>2173</v>
      </c>
      <c r="G12" s="10">
        <f t="shared" si="3"/>
        <v>2173</v>
      </c>
      <c r="H12" s="10">
        <f>D12+август!H12</f>
        <v>7669.1879999999983</v>
      </c>
      <c r="I12" s="8"/>
      <c r="J12" s="54">
        <f>F12+август!J12</f>
        <v>11625.136</v>
      </c>
      <c r="K12" s="10">
        <f t="shared" si="4"/>
        <v>11625.136</v>
      </c>
      <c r="L12" s="16"/>
      <c r="M12" s="222" t="s">
        <v>297</v>
      </c>
      <c r="N12" s="223"/>
      <c r="O12" s="122">
        <f t="shared" si="0"/>
        <v>3955.9480000000021</v>
      </c>
      <c r="P12" s="123">
        <f t="shared" si="1"/>
        <v>51.582357871524373</v>
      </c>
      <c r="Q12" s="115"/>
      <c r="S12">
        <f t="shared" si="2"/>
        <v>4260.66</v>
      </c>
      <c r="T12" s="44">
        <f>E12+апр!I12</f>
        <v>0</v>
      </c>
      <c r="U12" s="30">
        <f>F12+апр!J12</f>
        <v>4492.59</v>
      </c>
    </row>
    <row r="13" spans="1:22" ht="17.25" customHeight="1">
      <c r="A13" s="8"/>
      <c r="B13" s="12" t="s">
        <v>13</v>
      </c>
      <c r="C13" s="13" t="s">
        <v>14</v>
      </c>
      <c r="D13" s="14">
        <v>3667</v>
      </c>
      <c r="E13" s="13"/>
      <c r="F13" s="8"/>
      <c r="G13" s="10">
        <f t="shared" si="3"/>
        <v>0</v>
      </c>
      <c r="H13" s="10">
        <f>D13+август!H13</f>
        <v>33003</v>
      </c>
      <c r="I13" s="8"/>
      <c r="J13" s="54">
        <f>F13+август!J13</f>
        <v>21952</v>
      </c>
      <c r="K13" s="10">
        <f t="shared" si="4"/>
        <v>21952</v>
      </c>
      <c r="L13" s="16"/>
      <c r="M13" s="220"/>
      <c r="N13" s="221"/>
      <c r="O13" s="122">
        <f t="shared" si="0"/>
        <v>-11051</v>
      </c>
      <c r="P13" s="123">
        <f t="shared" si="1"/>
        <v>-33.48483471199588</v>
      </c>
      <c r="Q13" s="114"/>
      <c r="S13">
        <f t="shared" si="2"/>
        <v>18335</v>
      </c>
      <c r="T13" s="44">
        <f>E13+апр!I13</f>
        <v>0</v>
      </c>
      <c r="U13" s="30">
        <f>F13+апр!J13</f>
        <v>7641</v>
      </c>
    </row>
    <row r="14" spans="1:22" ht="17.25" customHeight="1">
      <c r="A14" s="15"/>
      <c r="B14" s="12" t="s">
        <v>15</v>
      </c>
      <c r="C14" s="13" t="s">
        <v>16</v>
      </c>
      <c r="D14" s="16">
        <f>D12/D13*1000</f>
        <v>232.37851104445048</v>
      </c>
      <c r="E14" s="16"/>
      <c r="F14" s="16" t="e">
        <f t="shared" ref="F14" si="6">F12/F13*1000</f>
        <v>#DIV/0!</v>
      </c>
      <c r="G14" s="10" t="e">
        <f t="shared" si="3"/>
        <v>#DIV/0!</v>
      </c>
      <c r="H14" s="16">
        <f>H12/H13*1000</f>
        <v>232.37851104445045</v>
      </c>
      <c r="I14" s="16"/>
      <c r="J14" s="16">
        <f t="shared" ref="J14" si="7">J12/J13*1000</f>
        <v>529.57069970845487</v>
      </c>
      <c r="K14" s="10">
        <f t="shared" si="4"/>
        <v>529.57069970845487</v>
      </c>
      <c r="L14" s="16"/>
      <c r="M14" s="220"/>
      <c r="N14" s="221"/>
      <c r="O14" s="122">
        <f t="shared" si="0"/>
        <v>297.19218866400445</v>
      </c>
      <c r="P14" s="123">
        <f t="shared" si="1"/>
        <v>127.89142478288629</v>
      </c>
      <c r="Q14" s="114"/>
      <c r="S14">
        <f t="shared" si="2"/>
        <v>1161.8925552222524</v>
      </c>
      <c r="T14" s="44">
        <f>E14+апр!I14</f>
        <v>0</v>
      </c>
      <c r="U14" s="30" t="e">
        <f>F14+апр!J14</f>
        <v>#DIV/0!</v>
      </c>
    </row>
    <row r="15" spans="1:22" ht="17.25" customHeight="1">
      <c r="A15" s="8" t="s">
        <v>17</v>
      </c>
      <c r="B15" s="9" t="s">
        <v>18</v>
      </c>
      <c r="C15" s="8" t="s">
        <v>4</v>
      </c>
      <c r="D15" s="10">
        <v>2808.576</v>
      </c>
      <c r="E15" s="8"/>
      <c r="F15" s="54">
        <v>2526.8000000000002</v>
      </c>
      <c r="G15" s="10">
        <f t="shared" si="3"/>
        <v>2526.8000000000002</v>
      </c>
      <c r="H15" s="10">
        <f>D15+август!H15</f>
        <v>25277.184000000005</v>
      </c>
      <c r="I15" s="8"/>
      <c r="J15" s="54">
        <f>F15+август!J15</f>
        <v>19266.538</v>
      </c>
      <c r="K15" s="10">
        <f t="shared" si="4"/>
        <v>19266.538</v>
      </c>
      <c r="L15" s="16"/>
      <c r="M15" s="220"/>
      <c r="N15" s="221"/>
      <c r="O15" s="122">
        <f t="shared" si="0"/>
        <v>-6010.6460000000043</v>
      </c>
      <c r="P15" s="123">
        <f t="shared" si="1"/>
        <v>-23.778938350094705</v>
      </c>
      <c r="Q15" s="114"/>
      <c r="S15">
        <f t="shared" si="2"/>
        <v>14042.880000000001</v>
      </c>
      <c r="T15" s="44">
        <f>E15+апр!I15</f>
        <v>0</v>
      </c>
      <c r="U15" s="30">
        <f>F15+апр!J15</f>
        <v>7497.6050000000005</v>
      </c>
    </row>
    <row r="16" spans="1:22" ht="17.25" customHeight="1">
      <c r="A16" s="8"/>
      <c r="B16" s="12" t="s">
        <v>13</v>
      </c>
      <c r="C16" s="13" t="s">
        <v>14</v>
      </c>
      <c r="D16" s="14">
        <v>15000</v>
      </c>
      <c r="E16" s="13"/>
      <c r="F16" s="8"/>
      <c r="G16" s="10">
        <f t="shared" si="3"/>
        <v>0</v>
      </c>
      <c r="H16" s="10">
        <f>D16+август!H16</f>
        <v>135000</v>
      </c>
      <c r="I16" s="8"/>
      <c r="J16" s="54">
        <f>F16+август!J16</f>
        <v>110633</v>
      </c>
      <c r="K16" s="10">
        <f t="shared" si="4"/>
        <v>110633</v>
      </c>
      <c r="L16" s="16"/>
      <c r="M16" s="220"/>
      <c r="N16" s="221"/>
      <c r="O16" s="122">
        <f t="shared" si="0"/>
        <v>-24367</v>
      </c>
      <c r="P16" s="123">
        <f t="shared" si="1"/>
        <v>-18.049629629629628</v>
      </c>
      <c r="Q16" s="114"/>
      <c r="S16">
        <f t="shared" si="2"/>
        <v>75000</v>
      </c>
      <c r="T16" s="44">
        <f>E16+апр!I16</f>
        <v>0</v>
      </c>
      <c r="U16" s="30">
        <f>F16+апр!J16</f>
        <v>39326</v>
      </c>
    </row>
    <row r="17" spans="1:21" ht="17.25" customHeight="1">
      <c r="A17" s="8"/>
      <c r="B17" s="12" t="s">
        <v>15</v>
      </c>
      <c r="C17" s="13" t="s">
        <v>16</v>
      </c>
      <c r="D17" s="16">
        <f>D15/D16*1000</f>
        <v>187.23840000000001</v>
      </c>
      <c r="E17" s="16"/>
      <c r="F17" s="16" t="e">
        <f t="shared" ref="F17" si="8">F15/F16*1000</f>
        <v>#DIV/0!</v>
      </c>
      <c r="G17" s="10" t="e">
        <f t="shared" si="3"/>
        <v>#DIV/0!</v>
      </c>
      <c r="H17" s="16">
        <f>H15/H16*1000</f>
        <v>187.23840000000001</v>
      </c>
      <c r="I17" s="8"/>
      <c r="J17" s="16">
        <f t="shared" ref="J17" si="9">J15/J16*1000</f>
        <v>174.14820171196661</v>
      </c>
      <c r="K17" s="10">
        <f t="shared" si="4"/>
        <v>174.14820171196661</v>
      </c>
      <c r="L17" s="16"/>
      <c r="M17" s="220"/>
      <c r="N17" s="221"/>
      <c r="O17" s="122">
        <f t="shared" si="0"/>
        <v>-13.090198288033406</v>
      </c>
      <c r="P17" s="123">
        <f t="shared" si="1"/>
        <v>-6.9911931997033756</v>
      </c>
      <c r="Q17" s="114"/>
      <c r="S17">
        <f t="shared" si="2"/>
        <v>936.19200000000001</v>
      </c>
      <c r="T17" s="44">
        <f>E17+апр!I17</f>
        <v>0</v>
      </c>
      <c r="U17" s="30" t="e">
        <f>F17+апр!J17</f>
        <v>#DIV/0!</v>
      </c>
    </row>
    <row r="18" spans="1:21" ht="17.25" customHeight="1">
      <c r="A18" s="8" t="s">
        <v>19</v>
      </c>
      <c r="B18" s="9" t="s">
        <v>20</v>
      </c>
      <c r="C18" s="8" t="s">
        <v>4</v>
      </c>
      <c r="D18" s="10">
        <v>241.64599999999999</v>
      </c>
      <c r="E18" s="8"/>
      <c r="F18" s="54">
        <v>157.5</v>
      </c>
      <c r="G18" s="10">
        <f t="shared" si="3"/>
        <v>157.5</v>
      </c>
      <c r="H18" s="10">
        <f>D18+август!H18</f>
        <v>2174.8139999999999</v>
      </c>
      <c r="I18" s="8"/>
      <c r="J18" s="54">
        <f>F18+август!J18</f>
        <v>684.96</v>
      </c>
      <c r="K18" s="10">
        <f t="shared" si="4"/>
        <v>684.96</v>
      </c>
      <c r="L18" s="16"/>
      <c r="M18" s="220"/>
      <c r="N18" s="221"/>
      <c r="O18" s="122">
        <f t="shared" si="0"/>
        <v>-1489.8539999999998</v>
      </c>
      <c r="P18" s="123">
        <f t="shared" si="1"/>
        <v>-68.504892832214608</v>
      </c>
      <c r="Q18" s="114"/>
      <c r="S18">
        <f t="shared" si="2"/>
        <v>1208.23</v>
      </c>
      <c r="T18" s="44">
        <f>E18+апр!I18</f>
        <v>0</v>
      </c>
      <c r="U18" s="30">
        <f>F18+апр!J18</f>
        <v>303.46000000000004</v>
      </c>
    </row>
    <row r="19" spans="1:21" ht="17.25" customHeight="1">
      <c r="A19" s="8"/>
      <c r="B19" s="12" t="s">
        <v>13</v>
      </c>
      <c r="C19" s="13" t="s">
        <v>14</v>
      </c>
      <c r="D19" s="14">
        <v>1025</v>
      </c>
      <c r="E19" s="13"/>
      <c r="F19" s="8"/>
      <c r="G19" s="10">
        <f t="shared" si="3"/>
        <v>0</v>
      </c>
      <c r="H19" s="10">
        <f>D19+август!H19</f>
        <v>9225</v>
      </c>
      <c r="I19" s="8"/>
      <c r="J19" s="54">
        <f>F19+август!J19</f>
        <v>1330</v>
      </c>
      <c r="K19" s="10">
        <f t="shared" si="4"/>
        <v>1330</v>
      </c>
      <c r="L19" s="16"/>
      <c r="M19" s="220"/>
      <c r="N19" s="221"/>
      <c r="O19" s="122">
        <f t="shared" si="0"/>
        <v>-7895</v>
      </c>
      <c r="P19" s="123">
        <f t="shared" si="1"/>
        <v>-85.582655826558266</v>
      </c>
      <c r="Q19" s="114"/>
      <c r="S19">
        <f t="shared" si="2"/>
        <v>5125</v>
      </c>
      <c r="T19" s="44">
        <f>E19+апр!I19</f>
        <v>0</v>
      </c>
      <c r="U19" s="30">
        <f>F19+апр!J19</f>
        <v>290</v>
      </c>
    </row>
    <row r="20" spans="1:21" ht="17.25" customHeight="1">
      <c r="A20" s="8"/>
      <c r="B20" s="12" t="s">
        <v>15</v>
      </c>
      <c r="C20" s="13" t="s">
        <v>16</v>
      </c>
      <c r="D20" s="16">
        <f>D18/D19*1000</f>
        <v>235.75219512195119</v>
      </c>
      <c r="E20" s="16"/>
      <c r="F20" s="16" t="e">
        <f>F18/F19*1000</f>
        <v>#DIV/0!</v>
      </c>
      <c r="G20" s="10" t="e">
        <f t="shared" si="3"/>
        <v>#DIV/0!</v>
      </c>
      <c r="H20" s="16">
        <f>H18/H19*1000</f>
        <v>235.75219512195119</v>
      </c>
      <c r="I20" s="8"/>
      <c r="J20" s="16">
        <f t="shared" ref="J20" si="10">J18/J19*1000</f>
        <v>515.00751879699249</v>
      </c>
      <c r="K20" s="10">
        <f t="shared" si="4"/>
        <v>515.00751879699249</v>
      </c>
      <c r="L20" s="16"/>
      <c r="M20" s="220"/>
      <c r="N20" s="221"/>
      <c r="O20" s="122">
        <f t="shared" si="0"/>
        <v>279.25532367504127</v>
      </c>
      <c r="P20" s="123">
        <f t="shared" si="1"/>
        <v>118.45290497956404</v>
      </c>
      <c r="Q20" s="114"/>
      <c r="S20">
        <f t="shared" si="2"/>
        <v>1178.7609756097559</v>
      </c>
      <c r="T20" s="44">
        <f>E20+апр!I20</f>
        <v>0</v>
      </c>
      <c r="U20" s="30" t="e">
        <f>F20+апр!J20</f>
        <v>#DIV/0!</v>
      </c>
    </row>
    <row r="21" spans="1:21" ht="17.25" customHeight="1">
      <c r="A21" s="8" t="s">
        <v>21</v>
      </c>
      <c r="B21" s="9" t="s">
        <v>22</v>
      </c>
      <c r="C21" s="8" t="s">
        <v>4</v>
      </c>
      <c r="D21" s="10">
        <v>750.73</v>
      </c>
      <c r="E21" s="8"/>
      <c r="F21" s="54">
        <v>1057.8</v>
      </c>
      <c r="G21" s="10">
        <f t="shared" si="3"/>
        <v>1057.8</v>
      </c>
      <c r="H21" s="10">
        <f>D21+август!H21</f>
        <v>6756.57</v>
      </c>
      <c r="I21" s="8"/>
      <c r="J21" s="54">
        <f>F21+август!J21</f>
        <v>8724.619999999999</v>
      </c>
      <c r="K21" s="10">
        <f t="shared" si="4"/>
        <v>8724.619999999999</v>
      </c>
      <c r="L21" s="16"/>
      <c r="M21" s="220"/>
      <c r="N21" s="221"/>
      <c r="O21" s="122">
        <f t="shared" si="0"/>
        <v>1968.0499999999993</v>
      </c>
      <c r="P21" s="123">
        <f t="shared" si="1"/>
        <v>29.127945096402456</v>
      </c>
      <c r="Q21" s="114"/>
      <c r="S21">
        <f t="shared" si="2"/>
        <v>3753.65</v>
      </c>
      <c r="T21" s="44">
        <f>E21+апр!I21</f>
        <v>0</v>
      </c>
      <c r="U21" s="30">
        <f>F21+апр!J21</f>
        <v>4952.0199999999995</v>
      </c>
    </row>
    <row r="22" spans="1:21" ht="17.25" customHeight="1">
      <c r="A22" s="8"/>
      <c r="B22" s="12" t="s">
        <v>13</v>
      </c>
      <c r="C22" s="13" t="s">
        <v>14</v>
      </c>
      <c r="D22" s="14">
        <v>5883</v>
      </c>
      <c r="E22" s="13"/>
      <c r="F22" s="8"/>
      <c r="G22" s="10">
        <f t="shared" si="3"/>
        <v>0</v>
      </c>
      <c r="H22" s="10">
        <f>D22+август!H22</f>
        <v>52947</v>
      </c>
      <c r="I22" s="8"/>
      <c r="J22" s="54">
        <f>F22+август!J22</f>
        <v>40590</v>
      </c>
      <c r="K22" s="10">
        <f t="shared" si="4"/>
        <v>40590</v>
      </c>
      <c r="L22" s="16"/>
      <c r="M22" s="220"/>
      <c r="N22" s="221"/>
      <c r="O22" s="122">
        <f t="shared" si="0"/>
        <v>-12357</v>
      </c>
      <c r="P22" s="123">
        <f t="shared" si="1"/>
        <v>-23.338432772395038</v>
      </c>
      <c r="Q22" s="114"/>
      <c r="S22">
        <f t="shared" si="2"/>
        <v>29415</v>
      </c>
      <c r="T22" s="44">
        <f>E22+апр!I22</f>
        <v>0</v>
      </c>
      <c r="U22" s="30">
        <f>F22+апр!J22</f>
        <v>22790</v>
      </c>
    </row>
    <row r="23" spans="1:21" ht="17.25" customHeight="1">
      <c r="A23" s="8"/>
      <c r="B23" s="12" t="s">
        <v>15</v>
      </c>
      <c r="C23" s="13" t="s">
        <v>16</v>
      </c>
      <c r="D23" s="16">
        <f>D21/D22*1000</f>
        <v>127.61006289308177</v>
      </c>
      <c r="E23" s="16" t="e">
        <f t="shared" ref="E23:F23" si="11">E21/E22*1000</f>
        <v>#DIV/0!</v>
      </c>
      <c r="F23" s="16" t="e">
        <f t="shared" si="11"/>
        <v>#DIV/0!</v>
      </c>
      <c r="G23" s="10" t="e">
        <f t="shared" si="3"/>
        <v>#DIV/0!</v>
      </c>
      <c r="H23" s="16">
        <f>H21/H22*1000</f>
        <v>127.61006289308175</v>
      </c>
      <c r="I23" s="8"/>
      <c r="J23" s="16">
        <f t="shared" ref="J23" si="12">J21/J22*1000</f>
        <v>214.94506035969448</v>
      </c>
      <c r="K23" s="10">
        <f t="shared" si="4"/>
        <v>214.94506035969448</v>
      </c>
      <c r="L23" s="16"/>
      <c r="M23" s="220"/>
      <c r="N23" s="221"/>
      <c r="O23" s="122">
        <f t="shared" si="0"/>
        <v>87.334997466612734</v>
      </c>
      <c r="P23" s="123">
        <f t="shared" si="1"/>
        <v>68.438958093599936</v>
      </c>
      <c r="Q23" s="114"/>
      <c r="S23">
        <f t="shared" si="2"/>
        <v>638.05031446540886</v>
      </c>
      <c r="T23" s="44" t="e">
        <f>E23+апр!I23</f>
        <v>#DIV/0!</v>
      </c>
      <c r="U23" s="30" t="e">
        <f>F23+апр!J23</f>
        <v>#DIV/0!</v>
      </c>
    </row>
    <row r="24" spans="1:21" ht="17.25" customHeight="1">
      <c r="A24" s="8" t="s">
        <v>23</v>
      </c>
      <c r="B24" s="9" t="s">
        <v>24</v>
      </c>
      <c r="C24" s="8" t="s">
        <v>4</v>
      </c>
      <c r="D24" s="10">
        <v>165.005</v>
      </c>
      <c r="E24" s="8"/>
      <c r="F24" s="54"/>
      <c r="G24" s="10">
        <f t="shared" si="3"/>
        <v>0</v>
      </c>
      <c r="H24" s="10">
        <f>D24+август!H24</f>
        <v>1485.0450000000001</v>
      </c>
      <c r="I24" s="8"/>
      <c r="J24" s="54">
        <f>F24+август!J24</f>
        <v>483.41399999999999</v>
      </c>
      <c r="K24" s="10">
        <f t="shared" si="4"/>
        <v>483.41399999999999</v>
      </c>
      <c r="L24" s="16"/>
      <c r="M24" s="220"/>
      <c r="N24" s="221"/>
      <c r="O24" s="122">
        <f t="shared" si="0"/>
        <v>-1001.6310000000001</v>
      </c>
      <c r="P24" s="123">
        <f t="shared" si="1"/>
        <v>-67.447855115501554</v>
      </c>
      <c r="Q24" s="114"/>
      <c r="S24">
        <f t="shared" si="2"/>
        <v>825.02499999999998</v>
      </c>
      <c r="T24" s="44">
        <f>E24+апр!I24</f>
        <v>0</v>
      </c>
      <c r="U24" s="30">
        <f>F24+апр!J24</f>
        <v>415.84</v>
      </c>
    </row>
    <row r="25" spans="1:21" ht="17.25" customHeight="1">
      <c r="A25" s="8"/>
      <c r="B25" s="12" t="s">
        <v>13</v>
      </c>
      <c r="C25" s="13" t="s">
        <v>14</v>
      </c>
      <c r="D25" s="14">
        <v>251</v>
      </c>
      <c r="E25" s="13"/>
      <c r="F25" s="8"/>
      <c r="G25" s="10">
        <f t="shared" si="3"/>
        <v>0</v>
      </c>
      <c r="H25" s="10">
        <f>D25+август!H25</f>
        <v>2259</v>
      </c>
      <c r="I25" s="8"/>
      <c r="J25" s="54">
        <f>F25+август!J25</f>
        <v>930</v>
      </c>
      <c r="K25" s="10">
        <f t="shared" si="4"/>
        <v>930</v>
      </c>
      <c r="L25" s="16"/>
      <c r="M25" s="220"/>
      <c r="N25" s="221"/>
      <c r="O25" s="122">
        <f t="shared" si="0"/>
        <v>-1329</v>
      </c>
      <c r="P25" s="123">
        <f t="shared" si="1"/>
        <v>-58.831341301460824</v>
      </c>
      <c r="Q25" s="114"/>
      <c r="S25">
        <f t="shared" si="2"/>
        <v>1255</v>
      </c>
      <c r="T25" s="44">
        <f>E25+апр!I25</f>
        <v>0</v>
      </c>
      <c r="U25" s="30">
        <f>F25+апр!J25</f>
        <v>800</v>
      </c>
    </row>
    <row r="26" spans="1:21" ht="17.25" customHeight="1">
      <c r="A26" s="8"/>
      <c r="B26" s="12" t="s">
        <v>15</v>
      </c>
      <c r="C26" s="13" t="s">
        <v>16</v>
      </c>
      <c r="D26" s="16">
        <f>D24/D25*1000</f>
        <v>657.39043824701196</v>
      </c>
      <c r="E26" s="16" t="e">
        <f t="shared" ref="E26:F26" si="13">E24/E25*1000</f>
        <v>#DIV/0!</v>
      </c>
      <c r="F26" s="16" t="e">
        <f t="shared" si="13"/>
        <v>#DIV/0!</v>
      </c>
      <c r="G26" s="10" t="e">
        <f t="shared" si="3"/>
        <v>#DIV/0!</v>
      </c>
      <c r="H26" s="16">
        <f>H24/H25*1000</f>
        <v>657.39043824701196</v>
      </c>
      <c r="I26" s="16"/>
      <c r="J26" s="16">
        <f t="shared" ref="J26" si="14">J24/J25*1000</f>
        <v>519.80000000000007</v>
      </c>
      <c r="K26" s="16"/>
      <c r="L26" s="16"/>
      <c r="M26" s="220"/>
      <c r="N26" s="221"/>
      <c r="O26" s="122">
        <f t="shared" si="0"/>
        <v>-137.59043824701189</v>
      </c>
      <c r="P26" s="123">
        <f t="shared" si="1"/>
        <v>-20.929790006363433</v>
      </c>
      <c r="Q26" s="114"/>
      <c r="S26">
        <f t="shared" si="2"/>
        <v>3286.9521912350597</v>
      </c>
      <c r="T26" s="44" t="e">
        <f>E26+апр!I26</f>
        <v>#DIV/0!</v>
      </c>
      <c r="U26" s="30" t="e">
        <f>F26+апр!J26</f>
        <v>#DIV/0!</v>
      </c>
    </row>
    <row r="27" spans="1:21" ht="17.25" customHeight="1">
      <c r="A27" s="8" t="s">
        <v>23</v>
      </c>
      <c r="B27" s="9" t="s">
        <v>25</v>
      </c>
      <c r="C27" s="8" t="s">
        <v>4</v>
      </c>
      <c r="D27" s="10">
        <v>214.15600000000001</v>
      </c>
      <c r="E27" s="8"/>
      <c r="F27" s="54"/>
      <c r="G27" s="10">
        <f t="shared" si="3"/>
        <v>0</v>
      </c>
      <c r="H27" s="10">
        <f>D27+август!H27</f>
        <v>1927.4039999999998</v>
      </c>
      <c r="I27" s="8"/>
      <c r="J27" s="54">
        <f>F27+август!J27</f>
        <v>1368</v>
      </c>
      <c r="K27" s="10">
        <f t="shared" si="4"/>
        <v>1368</v>
      </c>
      <c r="L27" s="16"/>
      <c r="M27" s="220"/>
      <c r="N27" s="221"/>
      <c r="O27" s="122">
        <f t="shared" si="0"/>
        <v>-559.40399999999977</v>
      </c>
      <c r="P27" s="123">
        <f t="shared" si="1"/>
        <v>-29.023702347821207</v>
      </c>
      <c r="Q27" s="114"/>
      <c r="S27">
        <f t="shared" si="2"/>
        <v>1070.78</v>
      </c>
      <c r="T27" s="44">
        <f>E27+апр!I27</f>
        <v>0</v>
      </c>
      <c r="U27" s="30">
        <f>F27+апр!J27</f>
        <v>0</v>
      </c>
    </row>
    <row r="28" spans="1:21" ht="17.25" customHeight="1">
      <c r="A28" s="8"/>
      <c r="B28" s="12" t="s">
        <v>13</v>
      </c>
      <c r="C28" s="13" t="s">
        <v>14</v>
      </c>
      <c r="D28" s="14">
        <v>238</v>
      </c>
      <c r="E28" s="13"/>
      <c r="F28" s="8"/>
      <c r="G28" s="10">
        <f t="shared" si="3"/>
        <v>0</v>
      </c>
      <c r="H28" s="10">
        <f>D28+август!H28</f>
        <v>2142</v>
      </c>
      <c r="I28" s="8"/>
      <c r="J28" s="54">
        <f>F28+август!J28</f>
        <v>1710</v>
      </c>
      <c r="K28" s="10">
        <f t="shared" si="4"/>
        <v>1710</v>
      </c>
      <c r="L28" s="16"/>
      <c r="M28" s="220"/>
      <c r="N28" s="221"/>
      <c r="O28" s="122">
        <f t="shared" si="0"/>
        <v>-432</v>
      </c>
      <c r="P28" s="123">
        <f t="shared" si="1"/>
        <v>-20.168067226890756</v>
      </c>
      <c r="Q28" s="114"/>
      <c r="S28">
        <f t="shared" si="2"/>
        <v>1190</v>
      </c>
      <c r="T28" s="44">
        <f>E28+апр!I28</f>
        <v>0</v>
      </c>
      <c r="U28" s="30">
        <f>F28+апр!J28</f>
        <v>0</v>
      </c>
    </row>
    <row r="29" spans="1:21" ht="17.25" customHeight="1">
      <c r="A29" s="8"/>
      <c r="B29" s="12" t="s">
        <v>15</v>
      </c>
      <c r="C29" s="13" t="s">
        <v>16</v>
      </c>
      <c r="D29" s="16">
        <f>D27/D28*1000</f>
        <v>899.81512605042019</v>
      </c>
      <c r="E29" s="13"/>
      <c r="F29" s="16" t="e">
        <f t="shared" ref="F29" si="15">F27/F28*1000</f>
        <v>#DIV/0!</v>
      </c>
      <c r="G29" s="10" t="e">
        <f t="shared" si="3"/>
        <v>#DIV/0!</v>
      </c>
      <c r="H29" s="16">
        <f>H27/H28*1000</f>
        <v>899.81512605042008</v>
      </c>
      <c r="I29" s="16"/>
      <c r="J29" s="16">
        <f t="shared" ref="J29" si="16">J27/J28*1000</f>
        <v>800</v>
      </c>
      <c r="K29" s="10">
        <f t="shared" si="4"/>
        <v>800</v>
      </c>
      <c r="L29" s="16"/>
      <c r="M29" s="220"/>
      <c r="N29" s="221"/>
      <c r="O29" s="122">
        <f t="shared" si="0"/>
        <v>-99.815126050420076</v>
      </c>
      <c r="P29" s="123">
        <f t="shared" si="1"/>
        <v>-11.09284820411288</v>
      </c>
      <c r="Q29" s="114"/>
      <c r="S29">
        <f t="shared" si="2"/>
        <v>4499.0756302521013</v>
      </c>
      <c r="T29" s="44">
        <f>E29+апр!I29</f>
        <v>0</v>
      </c>
      <c r="U29" s="30" t="e">
        <f>F29+апр!J29</f>
        <v>#DIV/0!</v>
      </c>
    </row>
    <row r="30" spans="1:21" ht="17.25" customHeight="1">
      <c r="A30" s="18" t="s">
        <v>26</v>
      </c>
      <c r="B30" s="9" t="s">
        <v>27</v>
      </c>
      <c r="C30" s="8" t="s">
        <v>4</v>
      </c>
      <c r="D30" s="10">
        <f t="shared" ref="D30" si="17">D31+D32+D33+D34</f>
        <v>2406.0839999999998</v>
      </c>
      <c r="E30" s="8">
        <v>762.50099999999998</v>
      </c>
      <c r="F30" s="10">
        <f>F31+F32+F33+F34</f>
        <v>1213.748</v>
      </c>
      <c r="G30" s="10">
        <f t="shared" si="3"/>
        <v>451.24700000000007</v>
      </c>
      <c r="H30" s="10">
        <f t="shared" ref="H30" si="18">H31+H32+H33+H34</f>
        <v>21654.756000000005</v>
      </c>
      <c r="I30" s="8">
        <f>E30+август!I30</f>
        <v>6862.5090000000009</v>
      </c>
      <c r="J30" s="10">
        <f t="shared" ref="J30" si="19">J31+J32+J33+J34</f>
        <v>18683.042000000001</v>
      </c>
      <c r="K30" s="10">
        <f t="shared" si="4"/>
        <v>11820.532999999999</v>
      </c>
      <c r="L30" s="16">
        <f t="shared" si="5"/>
        <v>172.24797810829827</v>
      </c>
      <c r="M30" s="220"/>
      <c r="N30" s="221"/>
      <c r="O30" s="122">
        <f t="shared" si="0"/>
        <v>-2971.7140000000036</v>
      </c>
      <c r="P30" s="123">
        <f t="shared" si="1"/>
        <v>-13.723147007521133</v>
      </c>
      <c r="Q30" s="114"/>
      <c r="S30">
        <f t="shared" si="2"/>
        <v>12030.419999999998</v>
      </c>
      <c r="T30" s="44">
        <f>E30+апр!I30</f>
        <v>3812.5050000000001</v>
      </c>
      <c r="U30" s="30">
        <f>F30+апр!J30</f>
        <v>10386.496999999999</v>
      </c>
    </row>
    <row r="31" spans="1:21" ht="35.25" customHeight="1">
      <c r="A31" s="18" t="s">
        <v>28</v>
      </c>
      <c r="B31" s="9" t="s">
        <v>29</v>
      </c>
      <c r="C31" s="8" t="s">
        <v>4</v>
      </c>
      <c r="D31" s="10">
        <v>2288.5219999999999</v>
      </c>
      <c r="E31" s="8"/>
      <c r="F31" s="55">
        <v>1186.1849999999999</v>
      </c>
      <c r="G31" s="10">
        <f t="shared" si="3"/>
        <v>1186.1849999999999</v>
      </c>
      <c r="H31" s="10">
        <f>D31+август!H31</f>
        <v>20596.698000000004</v>
      </c>
      <c r="I31" s="8"/>
      <c r="J31" s="54">
        <f>F31+август!J31</f>
        <v>17596.835000000003</v>
      </c>
      <c r="K31" s="10">
        <f t="shared" si="4"/>
        <v>17596.835000000003</v>
      </c>
      <c r="L31" s="16"/>
      <c r="M31" s="220"/>
      <c r="N31" s="221"/>
      <c r="O31" s="122">
        <f t="shared" si="0"/>
        <v>-2999.8630000000012</v>
      </c>
      <c r="P31" s="123">
        <f t="shared" si="1"/>
        <v>-14.564776353957321</v>
      </c>
      <c r="Q31" s="114"/>
      <c r="S31">
        <f t="shared" si="2"/>
        <v>11442.61</v>
      </c>
      <c r="T31" s="44">
        <f>E31+апр!I31</f>
        <v>0</v>
      </c>
      <c r="U31" s="30">
        <f>F31+апр!J31</f>
        <v>9959.619999999999</v>
      </c>
    </row>
    <row r="32" spans="1:21" ht="51.75" customHeight="1">
      <c r="A32" s="18" t="s">
        <v>30</v>
      </c>
      <c r="B32" s="9" t="s">
        <v>31</v>
      </c>
      <c r="C32" s="8" t="s">
        <v>4</v>
      </c>
      <c r="D32" s="10">
        <v>60.337000000000003</v>
      </c>
      <c r="E32" s="8"/>
      <c r="F32" s="54">
        <v>6.9320000000000004</v>
      </c>
      <c r="G32" s="10">
        <f t="shared" si="3"/>
        <v>6.9320000000000004</v>
      </c>
      <c r="H32" s="10">
        <f>D32+август!H32</f>
        <v>543.03300000000002</v>
      </c>
      <c r="I32" s="8"/>
      <c r="J32" s="54">
        <f>F32+август!J32</f>
        <v>785.99599999999998</v>
      </c>
      <c r="K32" s="10">
        <f t="shared" si="4"/>
        <v>785.99599999999998</v>
      </c>
      <c r="L32" s="16"/>
      <c r="M32" s="222" t="s">
        <v>285</v>
      </c>
      <c r="N32" s="223"/>
      <c r="O32" s="122">
        <f t="shared" si="0"/>
        <v>242.96299999999997</v>
      </c>
      <c r="P32" s="123">
        <f t="shared" si="1"/>
        <v>44.741848101312435</v>
      </c>
      <c r="Q32" s="115"/>
      <c r="S32">
        <f t="shared" si="2"/>
        <v>301.685</v>
      </c>
      <c r="T32" s="44">
        <f>E32+апр!I32</f>
        <v>0</v>
      </c>
      <c r="U32" s="30">
        <f>F32+апр!J32</f>
        <v>274.96199999999999</v>
      </c>
    </row>
    <row r="33" spans="1:21" ht="17.25" customHeight="1">
      <c r="A33" s="18" t="s">
        <v>32</v>
      </c>
      <c r="B33" s="9" t="s">
        <v>33</v>
      </c>
      <c r="C33" s="8" t="s">
        <v>4</v>
      </c>
      <c r="D33" s="10">
        <v>19.736999999999998</v>
      </c>
      <c r="E33" s="8"/>
      <c r="F33" s="55">
        <v>10.972</v>
      </c>
      <c r="G33" s="10">
        <f t="shared" si="3"/>
        <v>10.972</v>
      </c>
      <c r="H33" s="10">
        <f>D33+август!H33</f>
        <v>177.63299999999998</v>
      </c>
      <c r="I33" s="8"/>
      <c r="J33" s="54">
        <f>F33+август!J33</f>
        <v>199.08700000000002</v>
      </c>
      <c r="K33" s="10">
        <f t="shared" si="4"/>
        <v>199.08700000000002</v>
      </c>
      <c r="L33" s="16"/>
      <c r="M33" s="220"/>
      <c r="N33" s="221"/>
      <c r="O33" s="122">
        <f t="shared" si="0"/>
        <v>21.454000000000036</v>
      </c>
      <c r="P33" s="123">
        <f t="shared" si="1"/>
        <v>12.077710785721143</v>
      </c>
      <c r="Q33" s="114"/>
      <c r="S33">
        <f t="shared" si="2"/>
        <v>98.684999999999988</v>
      </c>
      <c r="T33" s="44">
        <f>E33+апр!I33</f>
        <v>0</v>
      </c>
      <c r="U33" s="30">
        <f>F33+апр!J33</f>
        <v>60.497999999999998</v>
      </c>
    </row>
    <row r="34" spans="1:21" ht="33" customHeight="1">
      <c r="A34" s="18" t="s">
        <v>34</v>
      </c>
      <c r="B34" s="9" t="s">
        <v>35</v>
      </c>
      <c r="C34" s="8" t="s">
        <v>4</v>
      </c>
      <c r="D34" s="10">
        <v>37.488</v>
      </c>
      <c r="E34" s="8"/>
      <c r="F34" s="55">
        <v>9.6590000000000007</v>
      </c>
      <c r="G34" s="10">
        <f t="shared" si="3"/>
        <v>9.6590000000000007</v>
      </c>
      <c r="H34" s="10">
        <f>D34+август!H34</f>
        <v>337.392</v>
      </c>
      <c r="I34" s="8"/>
      <c r="J34" s="54">
        <f>F34+август!J34</f>
        <v>101.12400000000002</v>
      </c>
      <c r="K34" s="10">
        <f t="shared" si="4"/>
        <v>101.12400000000002</v>
      </c>
      <c r="L34" s="16"/>
      <c r="M34" s="220"/>
      <c r="N34" s="221"/>
      <c r="O34" s="122">
        <f t="shared" si="0"/>
        <v>-236.26799999999997</v>
      </c>
      <c r="P34" s="123">
        <f t="shared" si="1"/>
        <v>-70.027742210840799</v>
      </c>
      <c r="Q34" s="114"/>
      <c r="S34">
        <f t="shared" si="2"/>
        <v>187.44</v>
      </c>
      <c r="T34" s="44">
        <f>E34+апр!I34</f>
        <v>0</v>
      </c>
      <c r="U34" s="30">
        <f>F34+апр!J34</f>
        <v>91.417000000000016</v>
      </c>
    </row>
    <row r="35" spans="1:21" ht="17.25" customHeight="1">
      <c r="A35" s="18" t="s">
        <v>36</v>
      </c>
      <c r="B35" s="9" t="s">
        <v>37</v>
      </c>
      <c r="C35" s="8" t="s">
        <v>4</v>
      </c>
      <c r="D35" s="10">
        <f t="shared" ref="D35:J35" si="20">D36</f>
        <v>162.715</v>
      </c>
      <c r="E35" s="10">
        <f t="shared" si="20"/>
        <v>162.75</v>
      </c>
      <c r="F35" s="10">
        <f t="shared" si="20"/>
        <v>446.13</v>
      </c>
      <c r="G35" s="10">
        <f t="shared" si="3"/>
        <v>283.38</v>
      </c>
      <c r="H35" s="10">
        <f t="shared" si="20"/>
        <v>1464.4349999999999</v>
      </c>
      <c r="I35" s="10">
        <f t="shared" si="20"/>
        <v>1464.75</v>
      </c>
      <c r="J35" s="10">
        <f t="shared" si="20"/>
        <v>3019.3310000000001</v>
      </c>
      <c r="K35" s="10">
        <f t="shared" si="4"/>
        <v>1554.5810000000001</v>
      </c>
      <c r="L35" s="16">
        <f t="shared" si="5"/>
        <v>106.13285543608124</v>
      </c>
      <c r="M35" s="220"/>
      <c r="N35" s="221"/>
      <c r="O35" s="122">
        <f t="shared" si="0"/>
        <v>1554.8960000000002</v>
      </c>
      <c r="P35" s="123">
        <f t="shared" si="1"/>
        <v>106.17719461771948</v>
      </c>
      <c r="Q35" s="114"/>
      <c r="S35">
        <f t="shared" si="2"/>
        <v>813.57500000000005</v>
      </c>
      <c r="T35" s="44">
        <f>E35+апр!I35</f>
        <v>813.75</v>
      </c>
      <c r="U35" s="30">
        <f>F35+апр!J35</f>
        <v>2229.6779999999999</v>
      </c>
    </row>
    <row r="36" spans="1:21" ht="17.25" customHeight="1">
      <c r="A36" s="8" t="s">
        <v>38</v>
      </c>
      <c r="B36" s="9" t="s">
        <v>39</v>
      </c>
      <c r="C36" s="8" t="s">
        <v>4</v>
      </c>
      <c r="D36" s="10">
        <v>162.715</v>
      </c>
      <c r="E36" s="8">
        <v>162.75</v>
      </c>
      <c r="F36" s="54">
        <v>446.13</v>
      </c>
      <c r="G36" s="10">
        <f t="shared" si="3"/>
        <v>283.38</v>
      </c>
      <c r="H36" s="10">
        <f>D36+август!H36</f>
        <v>1464.4349999999999</v>
      </c>
      <c r="I36" s="8">
        <f>E36+август!I36</f>
        <v>1464.75</v>
      </c>
      <c r="J36" s="54">
        <f>F36+август!J36</f>
        <v>3019.3310000000001</v>
      </c>
      <c r="K36" s="10">
        <f t="shared" si="4"/>
        <v>1554.5810000000001</v>
      </c>
      <c r="L36" s="16">
        <f t="shared" si="5"/>
        <v>106.13285543608124</v>
      </c>
      <c r="M36" s="220"/>
      <c r="N36" s="221"/>
      <c r="O36" s="122">
        <f t="shared" si="0"/>
        <v>1554.8960000000002</v>
      </c>
      <c r="P36" s="123">
        <f t="shared" si="1"/>
        <v>106.17719461771948</v>
      </c>
      <c r="Q36" s="114"/>
      <c r="S36">
        <f t="shared" si="2"/>
        <v>813.57500000000005</v>
      </c>
      <c r="T36" s="44">
        <f>E36+апр!I36</f>
        <v>813.75</v>
      </c>
      <c r="U36" s="30">
        <f>F36+апр!J36</f>
        <v>2229.6779999999999</v>
      </c>
    </row>
    <row r="37" spans="1:21" ht="17.25" customHeight="1">
      <c r="A37" s="18" t="s">
        <v>40</v>
      </c>
      <c r="B37" s="9" t="s">
        <v>41</v>
      </c>
      <c r="C37" s="8" t="s">
        <v>4</v>
      </c>
      <c r="D37" s="10">
        <f>D38+D41+D48+D51</f>
        <v>1613.3909999999998</v>
      </c>
      <c r="E37" s="8">
        <v>1933.0830000000001</v>
      </c>
      <c r="F37" s="10">
        <f>F38+F41+F48+F51</f>
        <v>1324.2190000000001</v>
      </c>
      <c r="G37" s="10">
        <f t="shared" si="3"/>
        <v>-608.86400000000003</v>
      </c>
      <c r="H37" s="10">
        <f>H38+H41+H48+H51</f>
        <v>14520.519</v>
      </c>
      <c r="I37" s="8">
        <f>E37+август!I37</f>
        <v>17397.747000000003</v>
      </c>
      <c r="J37" s="10">
        <f>J38+J41+J48+J51</f>
        <v>16645.858</v>
      </c>
      <c r="K37" s="10">
        <f t="shared" si="4"/>
        <v>-751.88900000000285</v>
      </c>
      <c r="L37" s="16">
        <f t="shared" si="5"/>
        <v>-4.3217607429283964</v>
      </c>
      <c r="M37" s="220"/>
      <c r="N37" s="221"/>
      <c r="O37" s="122">
        <f t="shared" si="0"/>
        <v>2125.3389999999999</v>
      </c>
      <c r="P37" s="123">
        <f t="shared" si="1"/>
        <v>14.636797761843084</v>
      </c>
      <c r="Q37" s="114"/>
      <c r="S37">
        <f t="shared" si="2"/>
        <v>8066.954999999999</v>
      </c>
      <c r="T37" s="44">
        <f>E37+апр!I37</f>
        <v>9665.4150000000009</v>
      </c>
      <c r="U37" s="30">
        <f>F37+апр!J37</f>
        <v>11375.951000000001</v>
      </c>
    </row>
    <row r="38" spans="1:21" ht="17.25" customHeight="1">
      <c r="A38" s="18" t="s">
        <v>42</v>
      </c>
      <c r="B38" s="9" t="s">
        <v>43</v>
      </c>
      <c r="C38" s="8" t="s">
        <v>4</v>
      </c>
      <c r="D38" s="10">
        <v>707.32500000000005</v>
      </c>
      <c r="E38" s="8">
        <v>707.33299999999997</v>
      </c>
      <c r="F38" s="8"/>
      <c r="G38" s="10">
        <f t="shared" si="3"/>
        <v>-707.33299999999997</v>
      </c>
      <c r="H38" s="10">
        <f>D38+август!H38</f>
        <v>6365.9249999999993</v>
      </c>
      <c r="I38" s="8">
        <f>E38+август!I38</f>
        <v>6365.9969999999985</v>
      </c>
      <c r="J38" s="54">
        <f>F38+август!J38</f>
        <v>5653.2079999999996</v>
      </c>
      <c r="K38" s="10">
        <f t="shared" si="4"/>
        <v>-712.78899999999885</v>
      </c>
      <c r="L38" s="16">
        <f t="shared" si="5"/>
        <v>-11.196816460956532</v>
      </c>
      <c r="M38" s="220"/>
      <c r="N38" s="221"/>
      <c r="O38" s="122">
        <f t="shared" si="0"/>
        <v>-712.71699999999964</v>
      </c>
      <c r="P38" s="123">
        <f t="shared" si="1"/>
        <v>-11.19581207758495</v>
      </c>
      <c r="Q38" s="114"/>
      <c r="S38">
        <f t="shared" si="2"/>
        <v>3536.625</v>
      </c>
      <c r="T38" s="44">
        <f>E38+апр!I38</f>
        <v>3536.665</v>
      </c>
      <c r="U38" s="30">
        <f>F38+апр!J38</f>
        <v>5547.366</v>
      </c>
    </row>
    <row r="39" spans="1:21" ht="17.25" customHeight="1">
      <c r="A39" s="8"/>
      <c r="B39" s="12" t="s">
        <v>13</v>
      </c>
      <c r="C39" s="13" t="s">
        <v>44</v>
      </c>
      <c r="D39" s="14">
        <v>87</v>
      </c>
      <c r="E39" s="13"/>
      <c r="F39" s="8"/>
      <c r="G39" s="10">
        <f t="shared" si="3"/>
        <v>0</v>
      </c>
      <c r="H39" s="10">
        <f>D39+август!H39</f>
        <v>783</v>
      </c>
      <c r="I39" s="8"/>
      <c r="J39" s="54">
        <f>F39+август!J39</f>
        <v>908</v>
      </c>
      <c r="K39" s="10">
        <f t="shared" si="4"/>
        <v>908</v>
      </c>
      <c r="L39" s="16"/>
      <c r="M39" s="220"/>
      <c r="N39" s="221"/>
      <c r="O39" s="122">
        <f t="shared" si="0"/>
        <v>125</v>
      </c>
      <c r="P39" s="123">
        <f t="shared" si="1"/>
        <v>15.964240102171138</v>
      </c>
      <c r="Q39" s="114"/>
      <c r="S39">
        <f t="shared" si="2"/>
        <v>435</v>
      </c>
      <c r="T39" s="44">
        <f>E39+апр!I39</f>
        <v>0</v>
      </c>
      <c r="U39" s="30">
        <f>F39+апр!J39</f>
        <v>891</v>
      </c>
    </row>
    <row r="40" spans="1:21" ht="17.25" customHeight="1">
      <c r="A40" s="8"/>
      <c r="B40" s="12" t="s">
        <v>15</v>
      </c>
      <c r="C40" s="13" t="s">
        <v>16</v>
      </c>
      <c r="D40" s="16">
        <f>D38/D39*1000</f>
        <v>8130.1724137931051</v>
      </c>
      <c r="E40" s="16"/>
      <c r="F40" s="16" t="e">
        <f t="shared" ref="F40" si="21">F38/F39*1000</f>
        <v>#DIV/0!</v>
      </c>
      <c r="G40" s="10" t="e">
        <f t="shared" si="3"/>
        <v>#DIV/0!</v>
      </c>
      <c r="H40" s="16">
        <f>H38/H39*1000</f>
        <v>8130.1724137931033</v>
      </c>
      <c r="I40" s="16"/>
      <c r="J40" s="16">
        <f t="shared" ref="J40" si="22">J38/J39*1000</f>
        <v>6226</v>
      </c>
      <c r="K40" s="10">
        <f t="shared" si="4"/>
        <v>6226</v>
      </c>
      <c r="L40" s="16"/>
      <c r="M40" s="220"/>
      <c r="N40" s="221"/>
      <c r="O40" s="122">
        <f t="shared" si="0"/>
        <v>-1904.1724137931033</v>
      </c>
      <c r="P40" s="123">
        <f t="shared" si="1"/>
        <v>-23.421058212278652</v>
      </c>
      <c r="Q40" s="114"/>
      <c r="S40">
        <f t="shared" si="2"/>
        <v>40650.862068965522</v>
      </c>
      <c r="T40" s="44">
        <f>E40+апр!I40</f>
        <v>0</v>
      </c>
      <c r="U40" s="30" t="e">
        <f>F40+апр!J40</f>
        <v>#DIV/0!</v>
      </c>
    </row>
    <row r="41" spans="1:21" ht="17.25" customHeight="1">
      <c r="A41" s="18" t="s">
        <v>45</v>
      </c>
      <c r="B41" s="9" t="s">
        <v>46</v>
      </c>
      <c r="C41" s="8" t="s">
        <v>4</v>
      </c>
      <c r="D41" s="10">
        <f t="shared" ref="D41:F41" si="23">D42+D45</f>
        <v>315.00200000000001</v>
      </c>
      <c r="E41" s="10">
        <f t="shared" si="23"/>
        <v>0</v>
      </c>
      <c r="F41" s="54">
        <f t="shared" si="23"/>
        <v>426.72</v>
      </c>
      <c r="G41" s="10">
        <f t="shared" si="3"/>
        <v>426.72</v>
      </c>
      <c r="H41" s="10">
        <f t="shared" ref="H41:J41" si="24">H42+H45</f>
        <v>2835.018</v>
      </c>
      <c r="I41" s="10">
        <f t="shared" si="24"/>
        <v>0</v>
      </c>
      <c r="J41" s="10">
        <f t="shared" si="24"/>
        <v>3119.4649999999992</v>
      </c>
      <c r="K41" s="10">
        <f t="shared" si="4"/>
        <v>3119.4649999999992</v>
      </c>
      <c r="L41" s="16"/>
      <c r="M41" s="220"/>
      <c r="N41" s="221"/>
      <c r="O41" s="122">
        <f t="shared" si="0"/>
        <v>284.44699999999921</v>
      </c>
      <c r="P41" s="123">
        <f t="shared" si="1"/>
        <v>10.033340176323367</v>
      </c>
      <c r="Q41" s="114"/>
      <c r="S41">
        <f t="shared" si="2"/>
        <v>1575.01</v>
      </c>
      <c r="T41" s="44">
        <f>E41+апр!I41</f>
        <v>0</v>
      </c>
      <c r="U41" s="30">
        <f>F41+апр!J41</f>
        <v>1863.778</v>
      </c>
    </row>
    <row r="42" spans="1:21" ht="16.5" customHeight="1">
      <c r="A42" s="8"/>
      <c r="B42" s="9" t="s">
        <v>47</v>
      </c>
      <c r="C42" s="8" t="s">
        <v>4</v>
      </c>
      <c r="D42" s="10">
        <v>152.298</v>
      </c>
      <c r="E42" s="8"/>
      <c r="F42" s="8"/>
      <c r="G42" s="10">
        <f t="shared" si="3"/>
        <v>0</v>
      </c>
      <c r="H42" s="10">
        <f>D42+август!H42</f>
        <v>1370.682</v>
      </c>
      <c r="I42" s="8"/>
      <c r="J42" s="54">
        <f>F42+август!J42</f>
        <v>0</v>
      </c>
      <c r="K42" s="10">
        <f t="shared" si="4"/>
        <v>0</v>
      </c>
      <c r="L42" s="16"/>
      <c r="M42" s="233" t="s">
        <v>286</v>
      </c>
      <c r="N42" s="234"/>
      <c r="O42" s="122">
        <f t="shared" si="0"/>
        <v>-1370.682</v>
      </c>
      <c r="P42" s="123">
        <f t="shared" si="1"/>
        <v>-100</v>
      </c>
      <c r="Q42" s="115"/>
      <c r="S42">
        <f t="shared" si="2"/>
        <v>761.49</v>
      </c>
      <c r="T42" s="44">
        <f>E42+апр!I42</f>
        <v>0</v>
      </c>
      <c r="U42" s="30">
        <f>F42+апр!J42</f>
        <v>0</v>
      </c>
    </row>
    <row r="43" spans="1:21" ht="17.25" customHeight="1">
      <c r="A43" s="8"/>
      <c r="B43" s="12" t="s">
        <v>48</v>
      </c>
      <c r="C43" s="13" t="s">
        <v>49</v>
      </c>
      <c r="D43" s="14">
        <v>1917</v>
      </c>
      <c r="E43" s="13"/>
      <c r="F43" s="8"/>
      <c r="G43" s="10">
        <f t="shared" si="3"/>
        <v>0</v>
      </c>
      <c r="H43" s="10">
        <f>D43+август!H43</f>
        <v>17253</v>
      </c>
      <c r="I43" s="8"/>
      <c r="J43" s="54">
        <f>F43+август!J43</f>
        <v>0</v>
      </c>
      <c r="K43" s="10">
        <f t="shared" si="4"/>
        <v>0</v>
      </c>
      <c r="L43" s="16"/>
      <c r="M43" s="235"/>
      <c r="N43" s="236"/>
      <c r="O43" s="122">
        <f t="shared" si="0"/>
        <v>-17253</v>
      </c>
      <c r="P43" s="123">
        <f t="shared" si="1"/>
        <v>-100</v>
      </c>
      <c r="Q43" s="115"/>
      <c r="S43">
        <f t="shared" si="2"/>
        <v>9585</v>
      </c>
      <c r="T43" s="44">
        <f>E43+апр!I43</f>
        <v>0</v>
      </c>
      <c r="U43" s="30">
        <f>F43+апр!J43</f>
        <v>0</v>
      </c>
    </row>
    <row r="44" spans="1:21" ht="17.25" customHeight="1">
      <c r="A44" s="8"/>
      <c r="B44" s="12" t="s">
        <v>15</v>
      </c>
      <c r="C44" s="13" t="s">
        <v>16</v>
      </c>
      <c r="D44" s="16">
        <f>D42/D43*1000</f>
        <v>79.44600938967136</v>
      </c>
      <c r="E44" s="13"/>
      <c r="F44" s="8"/>
      <c r="G44" s="10">
        <f t="shared" si="3"/>
        <v>0</v>
      </c>
      <c r="H44" s="16">
        <f>H42/H43*1000</f>
        <v>79.44600938967136</v>
      </c>
      <c r="I44" s="16"/>
      <c r="J44" s="16" t="e">
        <f t="shared" ref="J44" si="25">J42/J43*1000</f>
        <v>#DIV/0!</v>
      </c>
      <c r="K44" s="10" t="e">
        <f t="shared" si="4"/>
        <v>#DIV/0!</v>
      </c>
      <c r="L44" s="16"/>
      <c r="M44" s="220"/>
      <c r="N44" s="221"/>
      <c r="O44" s="122" t="e">
        <f t="shared" si="0"/>
        <v>#DIV/0!</v>
      </c>
      <c r="P44" s="123" t="e">
        <f t="shared" si="1"/>
        <v>#DIV/0!</v>
      </c>
      <c r="Q44" s="114"/>
      <c r="S44">
        <f t="shared" si="2"/>
        <v>397.2300469483568</v>
      </c>
      <c r="T44" s="44">
        <f>E44+апр!I44</f>
        <v>0</v>
      </c>
      <c r="U44" s="30" t="e">
        <f>F44+апр!J44</f>
        <v>#DIV/0!</v>
      </c>
    </row>
    <row r="45" spans="1:21" ht="17.25" customHeight="1">
      <c r="A45" s="8"/>
      <c r="B45" s="19" t="s">
        <v>50</v>
      </c>
      <c r="C45" s="8" t="s">
        <v>4</v>
      </c>
      <c r="D45" s="10">
        <v>162.70400000000001</v>
      </c>
      <c r="E45" s="8"/>
      <c r="F45" s="54">
        <v>426.72</v>
      </c>
      <c r="G45" s="10">
        <f t="shared" si="3"/>
        <v>426.72</v>
      </c>
      <c r="H45" s="10">
        <f>D45+август!H45</f>
        <v>1464.3359999999998</v>
      </c>
      <c r="I45" s="8">
        <f>E45+август!I45</f>
        <v>0</v>
      </c>
      <c r="J45" s="54">
        <f>F45+август!J45</f>
        <v>3119.4649999999992</v>
      </c>
      <c r="K45" s="10">
        <f t="shared" si="4"/>
        <v>3119.4649999999992</v>
      </c>
      <c r="L45" s="16"/>
      <c r="M45" s="220"/>
      <c r="N45" s="221"/>
      <c r="O45" s="122">
        <f t="shared" si="0"/>
        <v>1655.1289999999995</v>
      </c>
      <c r="P45" s="123">
        <f t="shared" si="1"/>
        <v>113.02931840779709</v>
      </c>
      <c r="Q45" s="114"/>
      <c r="S45">
        <f t="shared" si="2"/>
        <v>813.52</v>
      </c>
      <c r="T45" s="44">
        <f>E45+апр!I45</f>
        <v>0</v>
      </c>
      <c r="U45" s="30">
        <f>F45+апр!J45</f>
        <v>1863.778</v>
      </c>
    </row>
    <row r="46" spans="1:21" ht="17.25" customHeight="1">
      <c r="A46" s="8"/>
      <c r="B46" s="12" t="s">
        <v>51</v>
      </c>
      <c r="C46" s="13" t="s">
        <v>49</v>
      </c>
      <c r="D46" s="14">
        <v>1417</v>
      </c>
      <c r="E46" s="13"/>
      <c r="F46" s="8"/>
      <c r="G46" s="10">
        <f t="shared" si="3"/>
        <v>0</v>
      </c>
      <c r="H46" s="10">
        <f>D46+август!H46</f>
        <v>12753</v>
      </c>
      <c r="I46" s="8"/>
      <c r="J46" s="54">
        <f>F46+август!J46</f>
        <v>16930</v>
      </c>
      <c r="K46" s="10">
        <f t="shared" si="4"/>
        <v>16930</v>
      </c>
      <c r="L46" s="16"/>
      <c r="M46" s="220"/>
      <c r="N46" s="221"/>
      <c r="O46" s="122">
        <f t="shared" si="0"/>
        <v>4177</v>
      </c>
      <c r="P46" s="123">
        <f t="shared" si="1"/>
        <v>32.753077707206145</v>
      </c>
      <c r="Q46" s="114"/>
      <c r="S46">
        <f t="shared" si="2"/>
        <v>7085</v>
      </c>
      <c r="T46" s="44">
        <f>E46+апр!I46</f>
        <v>0</v>
      </c>
      <c r="U46" s="30">
        <f>F46+апр!J46</f>
        <v>10122</v>
      </c>
    </row>
    <row r="47" spans="1:21" ht="17.25" customHeight="1">
      <c r="A47" s="8"/>
      <c r="B47" s="12" t="s">
        <v>15</v>
      </c>
      <c r="C47" s="13" t="s">
        <v>16</v>
      </c>
      <c r="D47" s="16">
        <f>D45/D46*1000</f>
        <v>114.82286520818631</v>
      </c>
      <c r="E47" s="16"/>
      <c r="F47" s="16" t="e">
        <f t="shared" ref="F47" si="26">F45/F46*1000</f>
        <v>#DIV/0!</v>
      </c>
      <c r="G47" s="10" t="e">
        <f t="shared" si="3"/>
        <v>#DIV/0!</v>
      </c>
      <c r="H47" s="16">
        <f>H45/H46*1000</f>
        <v>114.8228652081863</v>
      </c>
      <c r="I47" s="16"/>
      <c r="J47" s="16">
        <f t="shared" ref="J47" si="27">J45/J46*1000</f>
        <v>184.25664500885998</v>
      </c>
      <c r="K47" s="10">
        <f t="shared" si="4"/>
        <v>184.25664500885998</v>
      </c>
      <c r="L47" s="16"/>
      <c r="M47" s="220"/>
      <c r="N47" s="221"/>
      <c r="O47" s="122">
        <f t="shared" si="0"/>
        <v>69.433779800673676</v>
      </c>
      <c r="P47" s="123">
        <f t="shared" si="1"/>
        <v>60.470342448590451</v>
      </c>
      <c r="Q47" s="114"/>
      <c r="S47">
        <f t="shared" si="2"/>
        <v>574.11432604093159</v>
      </c>
      <c r="T47" s="44">
        <f>E47+апр!I47</f>
        <v>0</v>
      </c>
      <c r="U47" s="30" t="e">
        <f>F47+апр!J47</f>
        <v>#DIV/0!</v>
      </c>
    </row>
    <row r="48" spans="1:21" ht="17.25" customHeight="1">
      <c r="A48" s="18" t="s">
        <v>52</v>
      </c>
      <c r="B48" s="9" t="s">
        <v>53</v>
      </c>
      <c r="C48" s="8" t="s">
        <v>4</v>
      </c>
      <c r="D48" s="10">
        <v>515.60799999999995</v>
      </c>
      <c r="E48" s="8"/>
      <c r="F48" s="55">
        <v>841.87400000000002</v>
      </c>
      <c r="G48" s="10">
        <f t="shared" si="3"/>
        <v>841.87400000000002</v>
      </c>
      <c r="H48" s="10">
        <f>D48+август!H48</f>
        <v>4640.4720000000007</v>
      </c>
      <c r="I48" s="8"/>
      <c r="J48" s="54">
        <f>F48+август!J48</f>
        <v>7289.4320000000007</v>
      </c>
      <c r="K48" s="10">
        <f t="shared" si="4"/>
        <v>7289.4320000000007</v>
      </c>
      <c r="L48" s="16"/>
      <c r="M48" s="220"/>
      <c r="N48" s="221"/>
      <c r="O48" s="122">
        <f t="shared" si="0"/>
        <v>2648.96</v>
      </c>
      <c r="P48" s="123">
        <f t="shared" si="1"/>
        <v>57.083848367148846</v>
      </c>
      <c r="Q48" s="114"/>
      <c r="S48">
        <f t="shared" si="2"/>
        <v>2578.04</v>
      </c>
      <c r="T48" s="44">
        <f>E48+апр!I48</f>
        <v>0</v>
      </c>
      <c r="U48" s="30">
        <f>F48+апр!J48</f>
        <v>3788.0330000000004</v>
      </c>
    </row>
    <row r="49" spans="1:21" ht="17.25" customHeight="1">
      <c r="A49" s="8"/>
      <c r="B49" s="12" t="s">
        <v>13</v>
      </c>
      <c r="C49" s="13" t="s">
        <v>49</v>
      </c>
      <c r="D49" s="14">
        <v>5833</v>
      </c>
      <c r="E49" s="13"/>
      <c r="F49" s="8"/>
      <c r="G49" s="10">
        <f t="shared" si="3"/>
        <v>0</v>
      </c>
      <c r="H49" s="10">
        <f>D49+август!H49</f>
        <v>52497</v>
      </c>
      <c r="I49" s="8"/>
      <c r="J49" s="54">
        <f>F49+август!J49</f>
        <v>37001</v>
      </c>
      <c r="K49" s="10">
        <f t="shared" si="4"/>
        <v>37001</v>
      </c>
      <c r="L49" s="16"/>
      <c r="M49" s="220"/>
      <c r="N49" s="221"/>
      <c r="O49" s="122">
        <f t="shared" si="0"/>
        <v>-15496</v>
      </c>
      <c r="P49" s="123">
        <f t="shared" si="1"/>
        <v>-29.517877212031163</v>
      </c>
      <c r="Q49" s="114"/>
      <c r="S49">
        <f t="shared" si="2"/>
        <v>29165</v>
      </c>
      <c r="T49" s="44">
        <f>E49+апр!I49</f>
        <v>0</v>
      </c>
      <c r="U49" s="30">
        <f>F49+апр!J49</f>
        <v>18323</v>
      </c>
    </row>
    <row r="50" spans="1:21" ht="17.25" customHeight="1">
      <c r="A50" s="8"/>
      <c r="B50" s="12" t="s">
        <v>15</v>
      </c>
      <c r="C50" s="13" t="s">
        <v>16</v>
      </c>
      <c r="D50" s="16">
        <f>D48/D49*1000</f>
        <v>88.394993999657117</v>
      </c>
      <c r="E50" s="16"/>
      <c r="F50" s="16" t="e">
        <f t="shared" ref="F50" si="28">F48/F49*1000</f>
        <v>#DIV/0!</v>
      </c>
      <c r="G50" s="10" t="e">
        <f t="shared" si="3"/>
        <v>#DIV/0!</v>
      </c>
      <c r="H50" s="16">
        <f>H48/H49*1000</f>
        <v>88.394993999657146</v>
      </c>
      <c r="I50" s="16"/>
      <c r="J50" s="16">
        <f t="shared" ref="J50" si="29">J48/J49*1000</f>
        <v>197.00635117969787</v>
      </c>
      <c r="K50" s="10">
        <f t="shared" si="4"/>
        <v>197.00635117969787</v>
      </c>
      <c r="L50" s="16"/>
      <c r="M50" s="220"/>
      <c r="N50" s="221"/>
      <c r="O50" s="122">
        <f t="shared" si="0"/>
        <v>108.61135718004073</v>
      </c>
      <c r="P50" s="123">
        <f t="shared" si="1"/>
        <v>122.87048424989089</v>
      </c>
      <c r="Q50" s="114"/>
      <c r="S50">
        <f t="shared" si="2"/>
        <v>441.97496999828559</v>
      </c>
      <c r="T50" s="44">
        <f>E50+апр!I50</f>
        <v>0</v>
      </c>
      <c r="U50" s="30" t="e">
        <f>F50+апр!J50</f>
        <v>#DIV/0!</v>
      </c>
    </row>
    <row r="51" spans="1:21" ht="17.25" customHeight="1">
      <c r="A51" s="18" t="s">
        <v>54</v>
      </c>
      <c r="B51" s="20" t="s">
        <v>55</v>
      </c>
      <c r="C51" s="8" t="s">
        <v>4</v>
      </c>
      <c r="D51" s="10">
        <f t="shared" ref="D51:F52" si="30">D54+D57+D60+D63+D66+D69</f>
        <v>75.456000000000003</v>
      </c>
      <c r="E51" s="10"/>
      <c r="F51" s="10">
        <f t="shared" si="30"/>
        <v>55.625</v>
      </c>
      <c r="G51" s="10">
        <f t="shared" si="3"/>
        <v>55.625</v>
      </c>
      <c r="H51" s="10">
        <f t="shared" ref="H51:H52" si="31">H54+H57+H60+H63+H66+H69</f>
        <v>679.10400000000004</v>
      </c>
      <c r="I51" s="10"/>
      <c r="J51" s="10">
        <f t="shared" ref="J51:J52" si="32">J54+J57+J60+J63+J66+J69</f>
        <v>583.75299999999993</v>
      </c>
      <c r="K51" s="10">
        <f t="shared" si="4"/>
        <v>583.75299999999993</v>
      </c>
      <c r="L51" s="16"/>
      <c r="M51" s="220"/>
      <c r="N51" s="221"/>
      <c r="O51" s="122">
        <f t="shared" si="0"/>
        <v>-95.351000000000113</v>
      </c>
      <c r="P51" s="123">
        <f t="shared" si="1"/>
        <v>-14.040706578079368</v>
      </c>
      <c r="Q51" s="114"/>
      <c r="S51">
        <f t="shared" si="2"/>
        <v>377.28000000000003</v>
      </c>
      <c r="T51" s="44">
        <f>E51+апр!I51</f>
        <v>0</v>
      </c>
      <c r="U51" s="30">
        <f>F51+апр!J51</f>
        <v>176.774</v>
      </c>
    </row>
    <row r="52" spans="1:21" ht="17.25" customHeight="1">
      <c r="A52" s="8"/>
      <c r="B52" s="19" t="s">
        <v>13</v>
      </c>
      <c r="C52" s="13" t="s">
        <v>49</v>
      </c>
      <c r="D52" s="14">
        <f t="shared" si="30"/>
        <v>177</v>
      </c>
      <c r="E52" s="13"/>
      <c r="F52" s="14">
        <f t="shared" si="30"/>
        <v>0</v>
      </c>
      <c r="G52" s="10">
        <f t="shared" si="3"/>
        <v>0</v>
      </c>
      <c r="H52" s="14">
        <f t="shared" si="31"/>
        <v>1593</v>
      </c>
      <c r="I52" s="8"/>
      <c r="J52" s="14">
        <f t="shared" si="32"/>
        <v>1019.575</v>
      </c>
      <c r="K52" s="10">
        <f t="shared" si="4"/>
        <v>1019.575</v>
      </c>
      <c r="L52" s="16"/>
      <c r="M52" s="220"/>
      <c r="N52" s="221"/>
      <c r="O52" s="122">
        <f t="shared" si="0"/>
        <v>-573.42499999999995</v>
      </c>
      <c r="P52" s="123">
        <f t="shared" si="1"/>
        <v>-35.996547394852477</v>
      </c>
      <c r="Q52" s="114"/>
      <c r="S52">
        <f t="shared" si="2"/>
        <v>885</v>
      </c>
      <c r="T52" s="44">
        <f>E52+апр!I52</f>
        <v>0</v>
      </c>
      <c r="U52" s="30">
        <f>F52+апр!J52</f>
        <v>219.07499999999999</v>
      </c>
    </row>
    <row r="53" spans="1:21" ht="17.25" customHeight="1">
      <c r="A53" s="8"/>
      <c r="B53" s="19" t="s">
        <v>15</v>
      </c>
      <c r="C53" s="13" t="s">
        <v>16</v>
      </c>
      <c r="D53" s="16">
        <f>D51/D52*1000</f>
        <v>426.30508474576271</v>
      </c>
      <c r="E53" s="16"/>
      <c r="F53" s="16" t="e">
        <f t="shared" ref="F53" si="33">F51/F52*1000</f>
        <v>#DIV/0!</v>
      </c>
      <c r="G53" s="10" t="e">
        <f t="shared" si="3"/>
        <v>#DIV/0!</v>
      </c>
      <c r="H53" s="16">
        <f>H51/H52*1000</f>
        <v>426.30508474576271</v>
      </c>
      <c r="I53" s="16"/>
      <c r="J53" s="16">
        <f t="shared" ref="J53" si="34">J51/J52*1000</f>
        <v>572.5454233381555</v>
      </c>
      <c r="K53" s="10">
        <f t="shared" si="4"/>
        <v>572.5454233381555</v>
      </c>
      <c r="L53" s="16"/>
      <c r="M53" s="220"/>
      <c r="N53" s="221"/>
      <c r="O53" s="122">
        <f t="shared" si="0"/>
        <v>146.24033859239279</v>
      </c>
      <c r="P53" s="123">
        <f t="shared" si="1"/>
        <v>34.304150671720635</v>
      </c>
      <c r="Q53" s="114"/>
      <c r="S53">
        <f t="shared" si="2"/>
        <v>2131.5254237288136</v>
      </c>
      <c r="T53" s="44">
        <f>E53+апр!I53</f>
        <v>0</v>
      </c>
      <c r="U53" s="30" t="e">
        <f>F53+апр!J53</f>
        <v>#DIV/0!</v>
      </c>
    </row>
    <row r="54" spans="1:21" ht="17.25" customHeight="1">
      <c r="A54" s="8"/>
      <c r="B54" s="20" t="s">
        <v>56</v>
      </c>
      <c r="C54" s="8" t="s">
        <v>4</v>
      </c>
      <c r="D54" s="10">
        <v>7.8079999999999998</v>
      </c>
      <c r="E54" s="8"/>
      <c r="F54" s="55">
        <v>5.625</v>
      </c>
      <c r="G54" s="10">
        <f t="shared" si="3"/>
        <v>5.625</v>
      </c>
      <c r="H54" s="10">
        <f>D54+август!H54</f>
        <v>70.271999999999991</v>
      </c>
      <c r="I54" s="8"/>
      <c r="J54" s="54">
        <f>F54+август!J54</f>
        <v>38.658999999999999</v>
      </c>
      <c r="K54" s="10">
        <f t="shared" si="4"/>
        <v>38.658999999999999</v>
      </c>
      <c r="L54" s="16"/>
      <c r="M54" s="220"/>
      <c r="N54" s="221"/>
      <c r="O54" s="122">
        <f t="shared" si="0"/>
        <v>-31.612999999999992</v>
      </c>
      <c r="P54" s="123">
        <f t="shared" si="1"/>
        <v>-44.986623406193068</v>
      </c>
      <c r="Q54" s="114"/>
      <c r="S54">
        <f t="shared" si="2"/>
        <v>39.04</v>
      </c>
      <c r="T54" s="44">
        <f>E54+апр!I54</f>
        <v>0</v>
      </c>
      <c r="U54" s="30">
        <f>F54+апр!J54</f>
        <v>19.228999999999999</v>
      </c>
    </row>
    <row r="55" spans="1:21" ht="17.25" customHeight="1">
      <c r="A55" s="8"/>
      <c r="B55" s="12" t="s">
        <v>13</v>
      </c>
      <c r="C55" s="13" t="s">
        <v>49</v>
      </c>
      <c r="D55" s="14">
        <v>31</v>
      </c>
      <c r="E55" s="13"/>
      <c r="F55" s="8"/>
      <c r="G55" s="10">
        <f t="shared" si="3"/>
        <v>0</v>
      </c>
      <c r="H55" s="10">
        <f>D55+август!H55</f>
        <v>279</v>
      </c>
      <c r="I55" s="8"/>
      <c r="J55" s="54">
        <f>F55+август!J55</f>
        <v>57</v>
      </c>
      <c r="K55" s="10">
        <f t="shared" si="4"/>
        <v>57</v>
      </c>
      <c r="L55" s="16"/>
      <c r="M55" s="220"/>
      <c r="N55" s="221"/>
      <c r="O55" s="122">
        <f t="shared" si="0"/>
        <v>-222</v>
      </c>
      <c r="P55" s="123">
        <f t="shared" si="1"/>
        <v>-79.569892473118273</v>
      </c>
      <c r="Q55" s="114"/>
      <c r="S55">
        <f t="shared" si="2"/>
        <v>155</v>
      </c>
      <c r="T55" s="44">
        <f>E55+апр!I55</f>
        <v>0</v>
      </c>
      <c r="U55" s="30">
        <f>F55+апр!J55</f>
        <v>25</v>
      </c>
    </row>
    <row r="56" spans="1:21" ht="17.25" customHeight="1">
      <c r="A56" s="8"/>
      <c r="B56" s="12" t="s">
        <v>15</v>
      </c>
      <c r="C56" s="13" t="s">
        <v>16</v>
      </c>
      <c r="D56" s="16">
        <f>D54/D55*1000</f>
        <v>251.87096774193546</v>
      </c>
      <c r="E56" s="16"/>
      <c r="F56" s="16" t="e">
        <f t="shared" ref="F56" si="35">F54/F55*1000</f>
        <v>#DIV/0!</v>
      </c>
      <c r="G56" s="10" t="e">
        <f t="shared" si="3"/>
        <v>#DIV/0!</v>
      </c>
      <c r="H56" s="16">
        <f>H54/H55*1000</f>
        <v>251.87096774193546</v>
      </c>
      <c r="I56" s="16"/>
      <c r="J56" s="16">
        <f t="shared" ref="J56" si="36">J54/J55*1000</f>
        <v>678.22807017543857</v>
      </c>
      <c r="K56" s="10">
        <f t="shared" si="4"/>
        <v>678.22807017543857</v>
      </c>
      <c r="L56" s="16"/>
      <c r="M56" s="220"/>
      <c r="N56" s="221"/>
      <c r="O56" s="122">
        <f t="shared" si="0"/>
        <v>426.35710243350309</v>
      </c>
      <c r="P56" s="123">
        <f t="shared" si="1"/>
        <v>169.27600122231809</v>
      </c>
      <c r="Q56" s="114"/>
      <c r="S56">
        <f t="shared" si="2"/>
        <v>1259.3548387096773</v>
      </c>
      <c r="T56" s="44">
        <f>E56+апр!I56</f>
        <v>0</v>
      </c>
      <c r="U56" s="30" t="e">
        <f>F56+апр!J56</f>
        <v>#DIV/0!</v>
      </c>
    </row>
    <row r="57" spans="1:21" ht="17.25" customHeight="1">
      <c r="A57" s="8"/>
      <c r="B57" s="20" t="s">
        <v>57</v>
      </c>
      <c r="C57" s="8" t="s">
        <v>4</v>
      </c>
      <c r="D57" s="10">
        <v>13.96</v>
      </c>
      <c r="E57" s="8"/>
      <c r="F57" s="55"/>
      <c r="G57" s="10">
        <f t="shared" si="3"/>
        <v>0</v>
      </c>
      <c r="H57" s="10">
        <f>D57+август!H57</f>
        <v>125.64000000000004</v>
      </c>
      <c r="I57" s="8"/>
      <c r="J57" s="54">
        <f>F57+август!J57</f>
        <v>116.25</v>
      </c>
      <c r="K57" s="10">
        <f t="shared" si="4"/>
        <v>116.25</v>
      </c>
      <c r="L57" s="16"/>
      <c r="M57" s="233" t="s">
        <v>291</v>
      </c>
      <c r="N57" s="234"/>
      <c r="O57" s="122">
        <f t="shared" si="0"/>
        <v>-9.3900000000000432</v>
      </c>
      <c r="P57" s="123">
        <f t="shared" si="1"/>
        <v>-7.4737344794651701</v>
      </c>
      <c r="Q57" s="115"/>
      <c r="S57">
        <f t="shared" si="2"/>
        <v>69.800000000000011</v>
      </c>
      <c r="T57" s="44">
        <f>E57+апр!I57</f>
        <v>0</v>
      </c>
      <c r="U57" s="30">
        <f>F57+апр!J57</f>
        <v>0</v>
      </c>
    </row>
    <row r="58" spans="1:21" ht="17.25" customHeight="1">
      <c r="A58" s="8"/>
      <c r="B58" s="12" t="s">
        <v>13</v>
      </c>
      <c r="C58" s="13" t="s">
        <v>49</v>
      </c>
      <c r="D58" s="14">
        <v>33</v>
      </c>
      <c r="E58" s="13"/>
      <c r="F58" s="8"/>
      <c r="G58" s="10">
        <f t="shared" si="3"/>
        <v>0</v>
      </c>
      <c r="H58" s="10">
        <f>D58+август!H58</f>
        <v>297</v>
      </c>
      <c r="I58" s="8"/>
      <c r="J58" s="54">
        <f>F58+август!J58</f>
        <v>300</v>
      </c>
      <c r="K58" s="10">
        <f t="shared" si="4"/>
        <v>300</v>
      </c>
      <c r="L58" s="16"/>
      <c r="M58" s="235"/>
      <c r="N58" s="236"/>
      <c r="O58" s="122">
        <f t="shared" si="0"/>
        <v>3</v>
      </c>
      <c r="P58" s="123">
        <f t="shared" si="1"/>
        <v>1.0101010101010102</v>
      </c>
      <c r="Q58" s="115"/>
      <c r="S58">
        <f t="shared" si="2"/>
        <v>165</v>
      </c>
      <c r="T58" s="44">
        <f>E58+апр!I58</f>
        <v>0</v>
      </c>
      <c r="U58" s="30">
        <f>F58+апр!J58</f>
        <v>0</v>
      </c>
    </row>
    <row r="59" spans="1:21" ht="17.25" customHeight="1">
      <c r="A59" s="8"/>
      <c r="B59" s="12" t="s">
        <v>15</v>
      </c>
      <c r="C59" s="13" t="s">
        <v>16</v>
      </c>
      <c r="D59" s="16">
        <f>D57/D58*1000</f>
        <v>423.03030303030306</v>
      </c>
      <c r="E59" s="13"/>
      <c r="F59" s="16" t="e">
        <f t="shared" ref="F59" si="37">F57/F58*1000</f>
        <v>#DIV/0!</v>
      </c>
      <c r="G59" s="10" t="e">
        <f t="shared" si="3"/>
        <v>#DIV/0!</v>
      </c>
      <c r="H59" s="16">
        <f>H57/H58*1000</f>
        <v>423.03030303030317</v>
      </c>
      <c r="I59" s="8"/>
      <c r="J59" s="13"/>
      <c r="K59" s="10">
        <f t="shared" si="4"/>
        <v>0</v>
      </c>
      <c r="L59" s="16"/>
      <c r="M59" s="220"/>
      <c r="N59" s="221"/>
      <c r="O59" s="122">
        <f t="shared" si="0"/>
        <v>-423.03030303030317</v>
      </c>
      <c r="P59" s="123">
        <f t="shared" si="1"/>
        <v>-100</v>
      </c>
      <c r="Q59" s="114"/>
      <c r="S59">
        <f t="shared" si="2"/>
        <v>2115.1515151515155</v>
      </c>
      <c r="T59" s="44">
        <f>E59+апр!I59</f>
        <v>0</v>
      </c>
      <c r="U59" s="30" t="e">
        <f>F59+апр!J59</f>
        <v>#DIV/0!</v>
      </c>
    </row>
    <row r="60" spans="1:21" ht="17.25" customHeight="1">
      <c r="A60" s="8"/>
      <c r="B60" s="20" t="s">
        <v>58</v>
      </c>
      <c r="C60" s="8" t="s">
        <v>4</v>
      </c>
      <c r="D60" s="10">
        <v>28.585000000000001</v>
      </c>
      <c r="E60" s="8"/>
      <c r="F60" s="55"/>
      <c r="G60" s="10">
        <f t="shared" si="3"/>
        <v>0</v>
      </c>
      <c r="H60" s="10">
        <f>D60+август!H60</f>
        <v>257.26500000000004</v>
      </c>
      <c r="I60" s="8"/>
      <c r="J60" s="54">
        <f>F60+август!J60</f>
        <v>268.59399999999999</v>
      </c>
      <c r="K60" s="10">
        <f t="shared" si="4"/>
        <v>268.59399999999999</v>
      </c>
      <c r="L60" s="16"/>
      <c r="M60" s="233" t="s">
        <v>291</v>
      </c>
      <c r="N60" s="234"/>
      <c r="O60" s="122">
        <f t="shared" si="0"/>
        <v>11.328999999999951</v>
      </c>
      <c r="P60" s="123">
        <f t="shared" si="1"/>
        <v>4.4036304977357776</v>
      </c>
      <c r="Q60" s="115"/>
      <c r="S60">
        <f t="shared" si="2"/>
        <v>142.92500000000001</v>
      </c>
      <c r="T60" s="44">
        <f>E60+апр!I60</f>
        <v>0</v>
      </c>
      <c r="U60" s="30">
        <f>F60+апр!J60</f>
        <v>57.375</v>
      </c>
    </row>
    <row r="61" spans="1:21" ht="17.25" customHeight="1">
      <c r="A61" s="8"/>
      <c r="B61" s="12" t="s">
        <v>13</v>
      </c>
      <c r="C61" s="13" t="s">
        <v>49</v>
      </c>
      <c r="D61" s="14">
        <v>70</v>
      </c>
      <c r="E61" s="13"/>
      <c r="F61" s="8"/>
      <c r="G61" s="10">
        <f t="shared" si="3"/>
        <v>0</v>
      </c>
      <c r="H61" s="10">
        <f>D61+август!H61</f>
        <v>630</v>
      </c>
      <c r="I61" s="8"/>
      <c r="J61" s="54">
        <f>F61+август!J61</f>
        <v>455</v>
      </c>
      <c r="K61" s="10">
        <f t="shared" si="4"/>
        <v>455</v>
      </c>
      <c r="L61" s="16"/>
      <c r="M61" s="235"/>
      <c r="N61" s="236"/>
      <c r="O61" s="122">
        <f t="shared" si="0"/>
        <v>-175</v>
      </c>
      <c r="P61" s="123">
        <f t="shared" si="1"/>
        <v>-27.777777777777779</v>
      </c>
      <c r="Q61" s="115"/>
      <c r="S61">
        <f t="shared" si="2"/>
        <v>350</v>
      </c>
      <c r="T61" s="44">
        <f>E61+апр!I61</f>
        <v>0</v>
      </c>
      <c r="U61" s="30">
        <f>F61+апр!J61</f>
        <v>108</v>
      </c>
    </row>
    <row r="62" spans="1:21" ht="17.25" customHeight="1">
      <c r="A62" s="8"/>
      <c r="B62" s="12" t="s">
        <v>15</v>
      </c>
      <c r="C62" s="13" t="s">
        <v>16</v>
      </c>
      <c r="D62" s="16">
        <f>D60/D61*1000</f>
        <v>408.35714285714289</v>
      </c>
      <c r="E62" s="16"/>
      <c r="F62" s="16" t="e">
        <f t="shared" ref="F62" si="38">F60/F61*1000</f>
        <v>#DIV/0!</v>
      </c>
      <c r="G62" s="10" t="e">
        <f t="shared" si="3"/>
        <v>#DIV/0!</v>
      </c>
      <c r="H62" s="16">
        <f>H60/H61*1000</f>
        <v>408.35714285714295</v>
      </c>
      <c r="I62" s="16"/>
      <c r="J62" s="16">
        <f t="shared" ref="J62" si="39">J60/J61*1000</f>
        <v>590.31648351648346</v>
      </c>
      <c r="K62" s="10">
        <f t="shared" si="4"/>
        <v>590.31648351648346</v>
      </c>
      <c r="L62" s="16"/>
      <c r="M62" s="220"/>
      <c r="N62" s="221"/>
      <c r="O62" s="122">
        <f t="shared" si="0"/>
        <v>181.95934065934051</v>
      </c>
      <c r="P62" s="123">
        <f t="shared" si="1"/>
        <v>44.558872996864906</v>
      </c>
      <c r="Q62" s="114"/>
      <c r="S62">
        <f t="shared" si="2"/>
        <v>2041.7857142857144</v>
      </c>
      <c r="T62" s="44">
        <f>E62+апр!I62</f>
        <v>0</v>
      </c>
      <c r="U62" s="30" t="e">
        <f>F62+апр!J62</f>
        <v>#DIV/0!</v>
      </c>
    </row>
    <row r="63" spans="1:21" ht="17.25" customHeight="1">
      <c r="A63" s="8"/>
      <c r="B63" s="20" t="s">
        <v>220</v>
      </c>
      <c r="C63" s="8" t="s">
        <v>4</v>
      </c>
      <c r="D63" s="10">
        <v>12.234</v>
      </c>
      <c r="E63" s="8"/>
      <c r="F63" s="54"/>
      <c r="G63" s="10">
        <f t="shared" si="3"/>
        <v>0</v>
      </c>
      <c r="H63" s="10">
        <f>D63+август!H63</f>
        <v>110.10599999999998</v>
      </c>
      <c r="I63" s="8"/>
      <c r="J63" s="54">
        <f>F63+август!J63</f>
        <v>52.059999999999995</v>
      </c>
      <c r="K63" s="10">
        <f t="shared" si="4"/>
        <v>52.059999999999995</v>
      </c>
      <c r="L63" s="16"/>
      <c r="M63" s="220"/>
      <c r="N63" s="221"/>
      <c r="O63" s="122">
        <f t="shared" si="0"/>
        <v>-58.045999999999985</v>
      </c>
      <c r="P63" s="123">
        <f t="shared" si="1"/>
        <v>-52.718289648157224</v>
      </c>
      <c r="Q63" s="114"/>
      <c r="S63">
        <f t="shared" si="2"/>
        <v>61.17</v>
      </c>
      <c r="T63" s="44">
        <f>E63+апр!I63</f>
        <v>0</v>
      </c>
      <c r="U63" s="30">
        <f>F63+апр!J63</f>
        <v>8.66</v>
      </c>
    </row>
    <row r="64" spans="1:21" ht="17.25" customHeight="1">
      <c r="A64" s="8"/>
      <c r="B64" s="12" t="s">
        <v>13</v>
      </c>
      <c r="C64" s="13" t="s">
        <v>49</v>
      </c>
      <c r="D64" s="14">
        <v>23</v>
      </c>
      <c r="E64" s="13"/>
      <c r="F64" s="8"/>
      <c r="G64" s="10">
        <f t="shared" si="3"/>
        <v>0</v>
      </c>
      <c r="H64" s="10">
        <f>D64+август!H64</f>
        <v>207</v>
      </c>
      <c r="I64" s="8"/>
      <c r="J64" s="54">
        <f>F64+август!J64</f>
        <v>120</v>
      </c>
      <c r="K64" s="10">
        <f t="shared" si="4"/>
        <v>120</v>
      </c>
      <c r="L64" s="16"/>
      <c r="M64" s="220"/>
      <c r="N64" s="221"/>
      <c r="O64" s="122">
        <f t="shared" si="0"/>
        <v>-87</v>
      </c>
      <c r="P64" s="123">
        <f t="shared" si="1"/>
        <v>-42.028985507246375</v>
      </c>
      <c r="Q64" s="114"/>
      <c r="S64">
        <f t="shared" si="2"/>
        <v>115</v>
      </c>
      <c r="T64" s="44">
        <f>E64+апр!I64</f>
        <v>0</v>
      </c>
      <c r="U64" s="30">
        <f>F64+апр!J64</f>
        <v>20</v>
      </c>
    </row>
    <row r="65" spans="1:21" ht="17.25" customHeight="1">
      <c r="A65" s="8"/>
      <c r="B65" s="12" t="s">
        <v>15</v>
      </c>
      <c r="C65" s="13" t="s">
        <v>16</v>
      </c>
      <c r="D65" s="16">
        <f>D63/D64*1000</f>
        <v>531.91304347826087</v>
      </c>
      <c r="E65" s="16"/>
      <c r="F65" s="16" t="e">
        <f t="shared" ref="F65" si="40">F63/F64*1000</f>
        <v>#DIV/0!</v>
      </c>
      <c r="G65" s="10" t="e">
        <f t="shared" si="3"/>
        <v>#DIV/0!</v>
      </c>
      <c r="H65" s="16">
        <f>H63/H64*1000</f>
        <v>531.91304347826076</v>
      </c>
      <c r="I65" s="16"/>
      <c r="J65" s="16">
        <f t="shared" ref="J65" si="41">J63/J64*1000</f>
        <v>433.83333333333331</v>
      </c>
      <c r="K65" s="10">
        <f t="shared" si="4"/>
        <v>433.83333333333331</v>
      </c>
      <c r="L65" s="16"/>
      <c r="M65" s="220"/>
      <c r="N65" s="221"/>
      <c r="O65" s="122">
        <f t="shared" si="0"/>
        <v>-98.079710144927446</v>
      </c>
      <c r="P65" s="123">
        <f t="shared" si="1"/>
        <v>-18.439049643071208</v>
      </c>
      <c r="Q65" s="114"/>
      <c r="S65">
        <f t="shared" si="2"/>
        <v>2659.5652173913045</v>
      </c>
      <c r="T65" s="44">
        <f>E65+апр!I65</f>
        <v>0</v>
      </c>
      <c r="U65" s="30" t="e">
        <f>F65+апр!J65</f>
        <v>#DIV/0!</v>
      </c>
    </row>
    <row r="66" spans="1:21" ht="17.25" customHeight="1">
      <c r="A66" s="8"/>
      <c r="B66" s="9" t="s">
        <v>59</v>
      </c>
      <c r="C66" s="8" t="s">
        <v>4</v>
      </c>
      <c r="D66" s="10">
        <v>2.8610000000000002</v>
      </c>
      <c r="E66" s="8"/>
      <c r="F66" s="8"/>
      <c r="G66" s="10">
        <f t="shared" si="3"/>
        <v>0</v>
      </c>
      <c r="H66" s="10">
        <f>D66+август!H66</f>
        <v>25.749000000000002</v>
      </c>
      <c r="I66" s="8"/>
      <c r="J66" s="54">
        <f>F66+август!J66</f>
        <v>0</v>
      </c>
      <c r="K66" s="10">
        <f t="shared" si="4"/>
        <v>0</v>
      </c>
      <c r="L66" s="16"/>
      <c r="M66" s="220"/>
      <c r="N66" s="221"/>
      <c r="O66" s="122">
        <f t="shared" si="0"/>
        <v>-25.749000000000002</v>
      </c>
      <c r="P66" s="123">
        <f t="shared" si="1"/>
        <v>-100</v>
      </c>
      <c r="Q66" s="114"/>
      <c r="S66">
        <f t="shared" si="2"/>
        <v>14.305000000000001</v>
      </c>
      <c r="T66" s="44">
        <f>E66+апр!I66</f>
        <v>0</v>
      </c>
      <c r="U66" s="30">
        <f>F66+апр!J66</f>
        <v>0</v>
      </c>
    </row>
    <row r="67" spans="1:21" ht="17.25" customHeight="1">
      <c r="A67" s="8"/>
      <c r="B67" s="12" t="s">
        <v>13</v>
      </c>
      <c r="C67" s="13" t="s">
        <v>49</v>
      </c>
      <c r="D67" s="14">
        <v>2</v>
      </c>
      <c r="E67" s="13"/>
      <c r="F67" s="8"/>
      <c r="G67" s="10">
        <f t="shared" si="3"/>
        <v>0</v>
      </c>
      <c r="H67" s="10">
        <f>D67+август!H67</f>
        <v>18</v>
      </c>
      <c r="I67" s="8"/>
      <c r="J67" s="54">
        <f>F67+август!J67</f>
        <v>0</v>
      </c>
      <c r="K67" s="10">
        <f t="shared" si="4"/>
        <v>0</v>
      </c>
      <c r="L67" s="16"/>
      <c r="M67" s="220"/>
      <c r="N67" s="221"/>
      <c r="O67" s="122">
        <f t="shared" si="0"/>
        <v>-18</v>
      </c>
      <c r="P67" s="123">
        <f t="shared" si="1"/>
        <v>-100</v>
      </c>
      <c r="Q67" s="114"/>
      <c r="S67">
        <f t="shared" si="2"/>
        <v>10</v>
      </c>
      <c r="T67" s="44">
        <f>E67+апр!I67</f>
        <v>0</v>
      </c>
      <c r="U67" s="30">
        <f>F67+апр!J67</f>
        <v>0</v>
      </c>
    </row>
    <row r="68" spans="1:21" ht="17.25" customHeight="1">
      <c r="A68" s="8"/>
      <c r="B68" s="12" t="s">
        <v>15</v>
      </c>
      <c r="C68" s="13" t="s">
        <v>16</v>
      </c>
      <c r="D68" s="16">
        <f>D66/D67*1000</f>
        <v>1430.5</v>
      </c>
      <c r="E68" s="13"/>
      <c r="F68" s="8"/>
      <c r="G68" s="10">
        <f t="shared" si="3"/>
        <v>0</v>
      </c>
      <c r="H68" s="16">
        <f>H66/H67*1000</f>
        <v>1430.5</v>
      </c>
      <c r="I68" s="16"/>
      <c r="J68" s="16" t="e">
        <f t="shared" ref="J68" si="42">J66/J67*1000</f>
        <v>#DIV/0!</v>
      </c>
      <c r="K68" s="10" t="e">
        <f t="shared" si="4"/>
        <v>#DIV/0!</v>
      </c>
      <c r="L68" s="16"/>
      <c r="M68" s="220"/>
      <c r="N68" s="221"/>
      <c r="O68" s="122" t="e">
        <f t="shared" si="0"/>
        <v>#DIV/0!</v>
      </c>
      <c r="P68" s="123" t="e">
        <f t="shared" si="1"/>
        <v>#DIV/0!</v>
      </c>
      <c r="Q68" s="114"/>
      <c r="S68">
        <f t="shared" si="2"/>
        <v>7152.5</v>
      </c>
      <c r="T68" s="44">
        <f>E68+апр!I68</f>
        <v>0</v>
      </c>
      <c r="U68" s="30" t="e">
        <f>F68+апр!J68</f>
        <v>#DIV/0!</v>
      </c>
    </row>
    <row r="69" spans="1:21" ht="17.25" customHeight="1">
      <c r="A69" s="8"/>
      <c r="B69" s="20" t="s">
        <v>60</v>
      </c>
      <c r="C69" s="8" t="s">
        <v>4</v>
      </c>
      <c r="D69" s="10">
        <v>10.007999999999999</v>
      </c>
      <c r="E69" s="8"/>
      <c r="F69" s="54">
        <v>50</v>
      </c>
      <c r="G69" s="10">
        <f t="shared" si="3"/>
        <v>50</v>
      </c>
      <c r="H69" s="10">
        <f>D69+август!H69</f>
        <v>90.071999999999974</v>
      </c>
      <c r="I69" s="8"/>
      <c r="J69" s="54">
        <f>F69+август!J69</f>
        <v>108.19</v>
      </c>
      <c r="K69" s="10">
        <f t="shared" si="4"/>
        <v>108.19</v>
      </c>
      <c r="L69" s="16"/>
      <c r="M69" s="233" t="s">
        <v>292</v>
      </c>
      <c r="N69" s="234"/>
      <c r="O69" s="122">
        <f t="shared" si="0"/>
        <v>18.118000000000023</v>
      </c>
      <c r="P69" s="123">
        <f t="shared" si="1"/>
        <v>20.115019095834473</v>
      </c>
      <c r="Q69" s="115"/>
      <c r="S69">
        <f t="shared" si="2"/>
        <v>50.039999999999992</v>
      </c>
      <c r="T69" s="44">
        <f>E69+апр!I69</f>
        <v>0</v>
      </c>
      <c r="U69" s="30">
        <f>F69+апр!J69</f>
        <v>91.51</v>
      </c>
    </row>
    <row r="70" spans="1:21" ht="17.25" customHeight="1">
      <c r="A70" s="8"/>
      <c r="B70" s="12" t="s">
        <v>13</v>
      </c>
      <c r="C70" s="13" t="s">
        <v>61</v>
      </c>
      <c r="D70" s="14">
        <v>18</v>
      </c>
      <c r="E70" s="13"/>
      <c r="F70" s="8"/>
      <c r="G70" s="10">
        <f t="shared" si="3"/>
        <v>0</v>
      </c>
      <c r="H70" s="10">
        <f>D70+август!H70</f>
        <v>162</v>
      </c>
      <c r="I70" s="8"/>
      <c r="J70" s="54">
        <f>F70+август!J70</f>
        <v>87.575000000000003</v>
      </c>
      <c r="K70" s="10">
        <f t="shared" si="4"/>
        <v>87.575000000000003</v>
      </c>
      <c r="L70" s="16"/>
      <c r="M70" s="235"/>
      <c r="N70" s="236"/>
      <c r="O70" s="122">
        <f t="shared" si="0"/>
        <v>-74.424999999999997</v>
      </c>
      <c r="P70" s="123">
        <f t="shared" si="1"/>
        <v>-45.941358024691361</v>
      </c>
      <c r="Q70" s="115"/>
      <c r="S70">
        <f t="shared" si="2"/>
        <v>90</v>
      </c>
      <c r="T70" s="44">
        <f>E70+апр!I70</f>
        <v>0</v>
      </c>
      <c r="U70" s="30">
        <f>F70+апр!J70</f>
        <v>66.075000000000003</v>
      </c>
    </row>
    <row r="71" spans="1:21" ht="17.25" customHeight="1">
      <c r="A71" s="8"/>
      <c r="B71" s="12" t="s">
        <v>15</v>
      </c>
      <c r="C71" s="13" t="s">
        <v>16</v>
      </c>
      <c r="D71" s="16">
        <f>D69/D70*1000</f>
        <v>555.99999999999989</v>
      </c>
      <c r="E71" s="16"/>
      <c r="F71" s="16" t="e">
        <f t="shared" ref="F71" si="43">F69/F70*1000</f>
        <v>#DIV/0!</v>
      </c>
      <c r="G71" s="10" t="e">
        <f t="shared" si="3"/>
        <v>#DIV/0!</v>
      </c>
      <c r="H71" s="16">
        <f>H69/H70*1000</f>
        <v>555.99999999999977</v>
      </c>
      <c r="I71" s="16"/>
      <c r="J71" s="16">
        <f t="shared" ref="J71" si="44">J69/J70*1000</f>
        <v>1235.3982300884957</v>
      </c>
      <c r="K71" s="10">
        <f t="shared" si="4"/>
        <v>1235.3982300884957</v>
      </c>
      <c r="L71" s="16"/>
      <c r="M71" s="220"/>
      <c r="N71" s="221"/>
      <c r="O71" s="122">
        <f t="shared" si="0"/>
        <v>679.39823008849589</v>
      </c>
      <c r="P71" s="123">
        <f t="shared" si="1"/>
        <v>122.19392627490939</v>
      </c>
      <c r="Q71" s="114"/>
      <c r="S71">
        <f t="shared" si="2"/>
        <v>2779.9999999999995</v>
      </c>
      <c r="T71" s="44">
        <f>E71+апр!I71</f>
        <v>0</v>
      </c>
      <c r="U71" s="30" t="e">
        <f>F71+апр!J71</f>
        <v>#DIV/0!</v>
      </c>
    </row>
    <row r="72" spans="1:21" ht="17.25" customHeight="1">
      <c r="A72" s="18" t="s">
        <v>62</v>
      </c>
      <c r="B72" s="20" t="s">
        <v>63</v>
      </c>
      <c r="C72" s="8" t="s">
        <v>4</v>
      </c>
      <c r="D72" s="10">
        <f>D73</f>
        <v>26517.671000000002</v>
      </c>
      <c r="E72" s="8">
        <v>24306.667000000001</v>
      </c>
      <c r="F72" s="10">
        <f>F73</f>
        <v>25772.413</v>
      </c>
      <c r="G72" s="10">
        <f t="shared" si="3"/>
        <v>1465.7459999999992</v>
      </c>
      <c r="H72" s="10">
        <f>H73</f>
        <v>238659.03899999999</v>
      </c>
      <c r="I72" s="8">
        <f>E72+август!I72</f>
        <v>218760.00300000003</v>
      </c>
      <c r="J72" s="54">
        <f>F72+август!J72</f>
        <v>252275.04399999999</v>
      </c>
      <c r="K72" s="10">
        <f t="shared" si="4"/>
        <v>33515.040999999968</v>
      </c>
      <c r="L72" s="16">
        <f t="shared" si="5"/>
        <v>15.320461025958188</v>
      </c>
      <c r="M72" s="220"/>
      <c r="N72" s="221"/>
      <c r="O72" s="122">
        <f t="shared" si="0"/>
        <v>13616.005000000005</v>
      </c>
      <c r="P72" s="123">
        <f t="shared" si="1"/>
        <v>5.7052123636515626</v>
      </c>
      <c r="Q72" s="114"/>
      <c r="S72">
        <f t="shared" si="2"/>
        <v>132588.35500000001</v>
      </c>
      <c r="T72" s="44">
        <f>E72+апр!I72</f>
        <v>121533.33500000001</v>
      </c>
      <c r="U72" s="30">
        <f>F72+апр!J72</f>
        <v>131984.99100000001</v>
      </c>
    </row>
    <row r="73" spans="1:21" ht="17.25" customHeight="1">
      <c r="A73" s="8"/>
      <c r="B73" s="28" t="s">
        <v>64</v>
      </c>
      <c r="C73" s="8" t="s">
        <v>4</v>
      </c>
      <c r="D73" s="10">
        <f>D75+D78+D81+D84</f>
        <v>26517.671000000002</v>
      </c>
      <c r="E73" s="10">
        <f t="shared" ref="E73:F73" si="45">E75+E78+E81+E84</f>
        <v>0</v>
      </c>
      <c r="F73" s="54">
        <f t="shared" si="45"/>
        <v>25772.413</v>
      </c>
      <c r="G73" s="10">
        <f t="shared" si="3"/>
        <v>25772.413</v>
      </c>
      <c r="H73" s="10">
        <f>H75+H78+H81+H84</f>
        <v>238659.03899999999</v>
      </c>
      <c r="I73" s="10">
        <f t="shared" ref="I73:J74" si="46">I75+I78+I81+I84</f>
        <v>0</v>
      </c>
      <c r="J73" s="10">
        <f t="shared" si="46"/>
        <v>225042.951</v>
      </c>
      <c r="K73" s="10">
        <f t="shared" si="4"/>
        <v>225042.951</v>
      </c>
      <c r="L73" s="16"/>
      <c r="M73" s="220"/>
      <c r="N73" s="221"/>
      <c r="O73" s="122">
        <f t="shared" ref="O73:O87" si="47">J73-H73</f>
        <v>-13616.087999999989</v>
      </c>
      <c r="P73" s="123">
        <f t="shared" ref="P73:P87" si="48">O73/H73*100</f>
        <v>-5.7052471412993455</v>
      </c>
      <c r="Q73" s="114"/>
      <c r="S73">
        <f t="shared" ref="S73:S136" si="49">D73*5</f>
        <v>132588.35500000001</v>
      </c>
      <c r="T73" s="44">
        <f>E73+апр!I73</f>
        <v>0</v>
      </c>
      <c r="U73" s="30">
        <f>F73+апр!J73</f>
        <v>104752.898</v>
      </c>
    </row>
    <row r="74" spans="1:21" ht="17.25" customHeight="1">
      <c r="A74" s="8"/>
      <c r="B74" s="28" t="s">
        <v>65</v>
      </c>
      <c r="C74" s="22" t="s">
        <v>66</v>
      </c>
      <c r="D74" s="14">
        <f t="shared" ref="D74:F74" si="50">D76+D79+D82+D85</f>
        <v>1280770</v>
      </c>
      <c r="E74" s="14">
        <f t="shared" si="50"/>
        <v>0</v>
      </c>
      <c r="F74" s="14">
        <f t="shared" si="50"/>
        <v>0</v>
      </c>
      <c r="G74" s="14">
        <f t="shared" si="3"/>
        <v>0</v>
      </c>
      <c r="H74" s="14">
        <f t="shared" ref="H74" si="51">H76+H79+H82+H85</f>
        <v>11526930</v>
      </c>
      <c r="I74" s="59"/>
      <c r="J74" s="14">
        <f t="shared" si="46"/>
        <v>8181135.54</v>
      </c>
      <c r="K74" s="10">
        <f t="shared" si="4"/>
        <v>8181135.54</v>
      </c>
      <c r="L74" s="16"/>
      <c r="M74" s="220"/>
      <c r="N74" s="221"/>
      <c r="O74" s="122">
        <f t="shared" si="47"/>
        <v>-3345794.46</v>
      </c>
      <c r="P74" s="123">
        <f t="shared" si="48"/>
        <v>-29.025893798261983</v>
      </c>
      <c r="Q74" s="114"/>
      <c r="S74">
        <f t="shared" si="49"/>
        <v>6403850</v>
      </c>
      <c r="T74" s="44">
        <f>E74+апр!I74</f>
        <v>0</v>
      </c>
      <c r="U74" s="30">
        <f>F74+апр!J74</f>
        <v>3853106.19</v>
      </c>
    </row>
    <row r="75" spans="1:21" ht="36" customHeight="1">
      <c r="A75" s="8"/>
      <c r="B75" s="12" t="s">
        <v>67</v>
      </c>
      <c r="C75" s="8" t="s">
        <v>4</v>
      </c>
      <c r="D75" s="10">
        <v>1338.4829999999999</v>
      </c>
      <c r="E75" s="8"/>
      <c r="F75" s="55">
        <v>25772.413</v>
      </c>
      <c r="G75" s="10">
        <f t="shared" ref="G75:G144" si="52">F75-E75</f>
        <v>25772.413</v>
      </c>
      <c r="H75" s="10">
        <f>D75+август!H75</f>
        <v>12046.347</v>
      </c>
      <c r="I75" s="8"/>
      <c r="J75" s="54">
        <f>F75+август!J75</f>
        <v>39880.235999999997</v>
      </c>
      <c r="K75" s="10">
        <f t="shared" ref="K75:K145" si="53">J75-I75</f>
        <v>39880.235999999997</v>
      </c>
      <c r="L75" s="16"/>
      <c r="M75" s="220"/>
      <c r="N75" s="221"/>
      <c r="O75" s="122">
        <f t="shared" si="47"/>
        <v>27833.888999999996</v>
      </c>
      <c r="P75" s="123">
        <f t="shared" si="48"/>
        <v>231.05667635176039</v>
      </c>
      <c r="Q75" s="114"/>
      <c r="S75">
        <f t="shared" si="49"/>
        <v>6692.415</v>
      </c>
      <c r="T75" s="44">
        <f>E75+апр!I75</f>
        <v>0</v>
      </c>
      <c r="U75" s="30">
        <f>F75+апр!J75</f>
        <v>32399.587</v>
      </c>
    </row>
    <row r="76" spans="1:21" ht="17.25" customHeight="1">
      <c r="A76" s="8"/>
      <c r="B76" s="12" t="s">
        <v>68</v>
      </c>
      <c r="C76" s="22" t="s">
        <v>66</v>
      </c>
      <c r="D76" s="14">
        <v>68465</v>
      </c>
      <c r="E76" s="22"/>
      <c r="F76" s="59"/>
      <c r="G76" s="14">
        <f t="shared" si="52"/>
        <v>0</v>
      </c>
      <c r="H76" s="10">
        <f>D76+август!H76</f>
        <v>616185</v>
      </c>
      <c r="I76" s="59"/>
      <c r="J76" s="54">
        <f>F76+август!J76</f>
        <v>654748.54</v>
      </c>
      <c r="K76" s="10">
        <f t="shared" si="53"/>
        <v>654748.54</v>
      </c>
      <c r="L76" s="16"/>
      <c r="M76" s="220"/>
      <c r="N76" s="221"/>
      <c r="O76" s="122">
        <f t="shared" si="47"/>
        <v>38563.540000000037</v>
      </c>
      <c r="P76" s="123">
        <f t="shared" si="48"/>
        <v>6.2584353724936568</v>
      </c>
      <c r="Q76" s="114"/>
      <c r="S76">
        <f t="shared" si="49"/>
        <v>342325</v>
      </c>
      <c r="T76" s="44">
        <f>E76+апр!I76</f>
        <v>0</v>
      </c>
      <c r="U76" s="30">
        <f>F76+апр!J76</f>
        <v>345435.19</v>
      </c>
    </row>
    <row r="77" spans="1:21" ht="17.25" customHeight="1">
      <c r="A77" s="8"/>
      <c r="B77" s="12" t="s">
        <v>15</v>
      </c>
      <c r="C77" s="13" t="s">
        <v>16</v>
      </c>
      <c r="D77" s="16">
        <f>D75/D76*1000</f>
        <v>19.54988680347623</v>
      </c>
      <c r="E77" s="16"/>
      <c r="F77" s="16" t="e">
        <f t="shared" ref="F77" si="54">F75/F76*1000</f>
        <v>#DIV/0!</v>
      </c>
      <c r="G77" s="10" t="e">
        <f t="shared" si="52"/>
        <v>#DIV/0!</v>
      </c>
      <c r="H77" s="16">
        <f>H75/H76*1000</f>
        <v>19.54988680347623</v>
      </c>
      <c r="I77" s="8"/>
      <c r="J77" s="13"/>
      <c r="K77" s="10">
        <f t="shared" si="53"/>
        <v>0</v>
      </c>
      <c r="L77" s="16"/>
      <c r="M77" s="220"/>
      <c r="N77" s="221"/>
      <c r="O77" s="122">
        <f t="shared" si="47"/>
        <v>-19.54988680347623</v>
      </c>
      <c r="P77" s="123">
        <f t="shared" si="48"/>
        <v>-100</v>
      </c>
      <c r="Q77" s="114"/>
      <c r="S77">
        <f t="shared" si="49"/>
        <v>97.749434017381148</v>
      </c>
      <c r="T77" s="44">
        <f>E77+апр!I77</f>
        <v>0</v>
      </c>
      <c r="U77" s="30" t="e">
        <f>F77+апр!J77</f>
        <v>#DIV/0!</v>
      </c>
    </row>
    <row r="78" spans="1:21" ht="55.5" customHeight="1">
      <c r="A78" s="8"/>
      <c r="B78" s="12" t="s">
        <v>69</v>
      </c>
      <c r="C78" s="8" t="s">
        <v>4</v>
      </c>
      <c r="D78" s="10">
        <v>1253.6469999999999</v>
      </c>
      <c r="E78" s="8"/>
      <c r="F78" s="54"/>
      <c r="G78" s="10">
        <f t="shared" si="52"/>
        <v>0</v>
      </c>
      <c r="H78" s="10">
        <f>D78+август!H78</f>
        <v>11282.823</v>
      </c>
      <c r="I78" s="8"/>
      <c r="J78" s="54">
        <f>F78+август!J78</f>
        <v>12540.125</v>
      </c>
      <c r="K78" s="10">
        <f t="shared" si="53"/>
        <v>12540.125</v>
      </c>
      <c r="L78" s="16"/>
      <c r="M78" s="220"/>
      <c r="N78" s="221"/>
      <c r="O78" s="122">
        <f t="shared" si="47"/>
        <v>1257.3019999999997</v>
      </c>
      <c r="P78" s="123">
        <f t="shared" si="48"/>
        <v>11.143505486171321</v>
      </c>
      <c r="Q78" s="114"/>
      <c r="S78">
        <f t="shared" si="49"/>
        <v>6268.2349999999997</v>
      </c>
      <c r="T78" s="44">
        <f>E78+апр!I78</f>
        <v>0</v>
      </c>
      <c r="U78" s="30">
        <f>F78+апр!J78</f>
        <v>5054.1839999999993</v>
      </c>
    </row>
    <row r="79" spans="1:21" ht="17.25" customHeight="1">
      <c r="A79" s="8"/>
      <c r="B79" s="12" t="s">
        <v>68</v>
      </c>
      <c r="C79" s="22" t="s">
        <v>66</v>
      </c>
      <c r="D79" s="14">
        <v>63799</v>
      </c>
      <c r="E79" s="22"/>
      <c r="F79" s="59"/>
      <c r="G79" s="14">
        <f t="shared" si="52"/>
        <v>0</v>
      </c>
      <c r="H79" s="10">
        <f>D79+август!H79</f>
        <v>574191</v>
      </c>
      <c r="I79" s="59"/>
      <c r="J79" s="54">
        <f>F79+август!J79</f>
        <v>581324</v>
      </c>
      <c r="K79" s="10">
        <f t="shared" si="53"/>
        <v>581324</v>
      </c>
      <c r="L79" s="16"/>
      <c r="M79" s="220"/>
      <c r="N79" s="221"/>
      <c r="O79" s="122">
        <f t="shared" si="47"/>
        <v>7133</v>
      </c>
      <c r="P79" s="123">
        <f t="shared" si="48"/>
        <v>1.242269558387366</v>
      </c>
      <c r="Q79" s="114"/>
      <c r="S79">
        <f t="shared" si="49"/>
        <v>318995</v>
      </c>
      <c r="T79" s="44">
        <f>E79+апр!I79</f>
        <v>0</v>
      </c>
      <c r="U79" s="30">
        <f>F79+апр!J79</f>
        <v>255996</v>
      </c>
    </row>
    <row r="80" spans="1:21" ht="17.25" customHeight="1">
      <c r="A80" s="8"/>
      <c r="B80" s="12" t="s">
        <v>15</v>
      </c>
      <c r="C80" s="13" t="s">
        <v>16</v>
      </c>
      <c r="D80" s="16">
        <f>D78/D79*1000</f>
        <v>19.649947491339987</v>
      </c>
      <c r="E80" s="16"/>
      <c r="F80" s="16" t="e">
        <f t="shared" ref="F80" si="55">F78/F79*1000</f>
        <v>#DIV/0!</v>
      </c>
      <c r="G80" s="10" t="e">
        <f t="shared" si="52"/>
        <v>#DIV/0!</v>
      </c>
      <c r="H80" s="16">
        <f>H78/H79*1000</f>
        <v>19.64994749133999</v>
      </c>
      <c r="I80" s="8"/>
      <c r="J80" s="13"/>
      <c r="K80" s="10">
        <f t="shared" si="53"/>
        <v>0</v>
      </c>
      <c r="L80" s="16"/>
      <c r="M80" s="220"/>
      <c r="N80" s="221"/>
      <c r="O80" s="122">
        <f t="shared" si="47"/>
        <v>-19.64994749133999</v>
      </c>
      <c r="P80" s="123">
        <f t="shared" si="48"/>
        <v>-100</v>
      </c>
      <c r="Q80" s="114"/>
      <c r="S80">
        <f t="shared" si="49"/>
        <v>98.249737456699933</v>
      </c>
      <c r="T80" s="44">
        <f>E80+апр!I80</f>
        <v>0</v>
      </c>
      <c r="U80" s="30" t="e">
        <f>F80+апр!J80</f>
        <v>#DIV/0!</v>
      </c>
    </row>
    <row r="81" spans="1:21" ht="36" customHeight="1">
      <c r="A81" s="8"/>
      <c r="B81" s="12" t="s">
        <v>70</v>
      </c>
      <c r="C81" s="8" t="s">
        <v>4</v>
      </c>
      <c r="D81" s="10">
        <v>3651.203</v>
      </c>
      <c r="E81" s="8"/>
      <c r="F81" s="55"/>
      <c r="G81" s="10">
        <f t="shared" si="52"/>
        <v>0</v>
      </c>
      <c r="H81" s="10">
        <f>D81+август!H81</f>
        <v>32860.827000000005</v>
      </c>
      <c r="I81" s="8"/>
      <c r="J81" s="54">
        <f>F81+август!J81</f>
        <v>25405.175999999999</v>
      </c>
      <c r="K81" s="10">
        <f t="shared" si="53"/>
        <v>25405.175999999999</v>
      </c>
      <c r="L81" s="16"/>
      <c r="M81" s="220"/>
      <c r="N81" s="221"/>
      <c r="O81" s="122">
        <f t="shared" si="47"/>
        <v>-7455.6510000000053</v>
      </c>
      <c r="P81" s="123">
        <f t="shared" si="48"/>
        <v>-22.688567758809004</v>
      </c>
      <c r="Q81" s="114"/>
      <c r="S81">
        <f t="shared" si="49"/>
        <v>18256.014999999999</v>
      </c>
      <c r="T81" s="44">
        <f>E81+апр!I81</f>
        <v>0</v>
      </c>
      <c r="U81" s="30">
        <f>F81+апр!J81</f>
        <v>12694.096</v>
      </c>
    </row>
    <row r="82" spans="1:21" ht="17.25" customHeight="1">
      <c r="A82" s="8"/>
      <c r="B82" s="12" t="s">
        <v>68</v>
      </c>
      <c r="C82" s="22" t="s">
        <v>66</v>
      </c>
      <c r="D82" s="14">
        <v>185812</v>
      </c>
      <c r="E82" s="22"/>
      <c r="F82" s="59"/>
      <c r="G82" s="14">
        <v>5230.0569999999998</v>
      </c>
      <c r="H82" s="10">
        <f>D82+август!H82</f>
        <v>1672308</v>
      </c>
      <c r="I82" s="59"/>
      <c r="J82" s="54">
        <f>F82+август!J82</f>
        <v>1097895</v>
      </c>
      <c r="K82" s="10">
        <f t="shared" si="53"/>
        <v>1097895</v>
      </c>
      <c r="L82" s="16"/>
      <c r="M82" s="220"/>
      <c r="N82" s="221"/>
      <c r="O82" s="122">
        <f t="shared" si="47"/>
        <v>-574413</v>
      </c>
      <c r="P82" s="123">
        <f t="shared" si="48"/>
        <v>-34.34851713918728</v>
      </c>
      <c r="Q82" s="114"/>
      <c r="S82">
        <f t="shared" si="49"/>
        <v>929060</v>
      </c>
      <c r="T82" s="44">
        <f>E82+апр!I82</f>
        <v>0</v>
      </c>
      <c r="U82" s="30">
        <f>F82+апр!J82</f>
        <v>642739</v>
      </c>
    </row>
    <row r="83" spans="1:21" ht="17.25" customHeight="1">
      <c r="A83" s="8"/>
      <c r="B83" s="12" t="s">
        <v>15</v>
      </c>
      <c r="C83" s="13" t="s">
        <v>16</v>
      </c>
      <c r="D83" s="16">
        <f>D81/D82*1000</f>
        <v>19.64998493100553</v>
      </c>
      <c r="E83" s="16"/>
      <c r="F83" s="16" t="e">
        <f t="shared" ref="F83" si="56">F81/F82*1000</f>
        <v>#DIV/0!</v>
      </c>
      <c r="G83" s="10" t="e">
        <f t="shared" si="52"/>
        <v>#DIV/0!</v>
      </c>
      <c r="H83" s="16">
        <f>H81/H82*1000</f>
        <v>19.649984931005534</v>
      </c>
      <c r="I83" s="8"/>
      <c r="J83" s="13"/>
      <c r="K83" s="10">
        <f t="shared" si="53"/>
        <v>0</v>
      </c>
      <c r="L83" s="16"/>
      <c r="M83" s="220"/>
      <c r="N83" s="221"/>
      <c r="O83" s="122">
        <f t="shared" si="47"/>
        <v>-19.649984931005534</v>
      </c>
      <c r="P83" s="123">
        <f t="shared" si="48"/>
        <v>-100</v>
      </c>
      <c r="Q83" s="114"/>
      <c r="S83">
        <f t="shared" si="49"/>
        <v>98.249924655027655</v>
      </c>
      <c r="T83" s="44">
        <f>E83+апр!I83</f>
        <v>0</v>
      </c>
      <c r="U83" s="30" t="e">
        <f>F83+апр!J83</f>
        <v>#DIV/0!</v>
      </c>
    </row>
    <row r="84" spans="1:21" ht="17.25" customHeight="1">
      <c r="A84" s="8"/>
      <c r="B84" s="12" t="s">
        <v>71</v>
      </c>
      <c r="C84" s="8" t="s">
        <v>4</v>
      </c>
      <c r="D84" s="10">
        <v>20274.338</v>
      </c>
      <c r="E84" s="8"/>
      <c r="F84" s="55"/>
      <c r="G84" s="10">
        <f t="shared" si="52"/>
        <v>0</v>
      </c>
      <c r="H84" s="10">
        <f>D84+август!H84</f>
        <v>182469.04199999999</v>
      </c>
      <c r="I84" s="8"/>
      <c r="J84" s="54">
        <f>F84+август!J84</f>
        <v>147217.41400000002</v>
      </c>
      <c r="K84" s="10">
        <f t="shared" si="53"/>
        <v>147217.41400000002</v>
      </c>
      <c r="L84" s="16"/>
      <c r="M84" s="233" t="s">
        <v>297</v>
      </c>
      <c r="N84" s="234"/>
      <c r="O84" s="122">
        <f t="shared" si="47"/>
        <v>-35251.627999999968</v>
      </c>
      <c r="P84" s="123">
        <f t="shared" si="48"/>
        <v>-19.31923772581651</v>
      </c>
      <c r="Q84" s="115"/>
      <c r="S84">
        <f t="shared" si="49"/>
        <v>101371.69</v>
      </c>
      <c r="T84" s="44">
        <f>E84+апр!I84</f>
        <v>0</v>
      </c>
      <c r="U84" s="30">
        <f>F84+апр!J84</f>
        <v>54605.031000000003</v>
      </c>
    </row>
    <row r="85" spans="1:21" ht="26.25" customHeight="1">
      <c r="A85" s="8"/>
      <c r="B85" s="12" t="s">
        <v>68</v>
      </c>
      <c r="C85" s="22" t="s">
        <v>66</v>
      </c>
      <c r="D85" s="14">
        <v>962694</v>
      </c>
      <c r="E85" s="22"/>
      <c r="F85" s="59"/>
      <c r="G85" s="14">
        <f t="shared" si="52"/>
        <v>0</v>
      </c>
      <c r="H85" s="10">
        <f>D85+август!H85</f>
        <v>8664246</v>
      </c>
      <c r="I85" s="59"/>
      <c r="J85" s="54">
        <f>F85+август!J85</f>
        <v>5847168</v>
      </c>
      <c r="K85" s="10">
        <f t="shared" si="53"/>
        <v>5847168</v>
      </c>
      <c r="L85" s="16"/>
      <c r="M85" s="235"/>
      <c r="N85" s="236"/>
      <c r="O85" s="122">
        <f t="shared" si="47"/>
        <v>-2817078</v>
      </c>
      <c r="P85" s="123">
        <f t="shared" si="48"/>
        <v>-32.513827515977731</v>
      </c>
      <c r="Q85" s="115"/>
      <c r="S85">
        <f t="shared" si="49"/>
        <v>4813470</v>
      </c>
      <c r="T85" s="44">
        <f>E85+апр!I85</f>
        <v>0</v>
      </c>
      <c r="U85" s="30">
        <f>F85+апр!J85</f>
        <v>2608936</v>
      </c>
    </row>
    <row r="86" spans="1:21" ht="17.25" customHeight="1">
      <c r="A86" s="8"/>
      <c r="B86" s="12" t="s">
        <v>15</v>
      </c>
      <c r="C86" s="13" t="s">
        <v>16</v>
      </c>
      <c r="D86" s="16">
        <f>D84/D85*1000</f>
        <v>21.06000245145394</v>
      </c>
      <c r="E86" s="16"/>
      <c r="F86" s="16" t="e">
        <f t="shared" ref="F86" si="57">F84/F85*1000</f>
        <v>#DIV/0!</v>
      </c>
      <c r="G86" s="10" t="e">
        <f t="shared" si="52"/>
        <v>#DIV/0!</v>
      </c>
      <c r="H86" s="16">
        <f>H84/H85*1000</f>
        <v>21.060002451453936</v>
      </c>
      <c r="I86" s="8"/>
      <c r="J86" s="13"/>
      <c r="K86" s="10">
        <f t="shared" si="53"/>
        <v>0</v>
      </c>
      <c r="L86" s="16"/>
      <c r="M86" s="220"/>
      <c r="N86" s="221"/>
      <c r="O86" s="122">
        <f t="shared" si="47"/>
        <v>-21.060002451453936</v>
      </c>
      <c r="P86" s="123">
        <f t="shared" si="48"/>
        <v>-100</v>
      </c>
      <c r="Q86" s="114"/>
      <c r="S86">
        <f t="shared" si="49"/>
        <v>105.3000122572697</v>
      </c>
      <c r="T86" s="44">
        <f>E86+апр!I86</f>
        <v>0</v>
      </c>
      <c r="U86" s="30" t="e">
        <f>F86+апр!J86</f>
        <v>#DIV/0!</v>
      </c>
    </row>
    <row r="87" spans="1:21" ht="17.25" customHeight="1">
      <c r="A87" s="169" t="s">
        <v>72</v>
      </c>
      <c r="B87" s="6" t="s">
        <v>73</v>
      </c>
      <c r="C87" s="169" t="s">
        <v>4</v>
      </c>
      <c r="D87" s="7">
        <f>D88+D89+D90</f>
        <v>22015.745000000003</v>
      </c>
      <c r="E87" s="21">
        <f>E88+E89+E90+E91</f>
        <v>20888.748999999996</v>
      </c>
      <c r="F87" s="7">
        <f>F88+F89+F90+F91+F92</f>
        <v>31881.407999999999</v>
      </c>
      <c r="G87" s="16">
        <f t="shared" si="52"/>
        <v>10992.659000000003</v>
      </c>
      <c r="H87" s="7">
        <f>H88+H89+H90</f>
        <v>198141.70499999999</v>
      </c>
      <c r="I87" s="7">
        <f>I88+I89+I90+I91</f>
        <v>187998.74099999998</v>
      </c>
      <c r="J87" s="7">
        <f>J88+J89+J90+J91+J92</f>
        <v>190840.78799999997</v>
      </c>
      <c r="K87" s="10">
        <f t="shared" si="53"/>
        <v>2842.0469999999914</v>
      </c>
      <c r="L87" s="16">
        <f t="shared" ref="L87:L157" si="58">K87/I87*100</f>
        <v>1.5117372514744616</v>
      </c>
      <c r="M87" s="220"/>
      <c r="N87" s="221"/>
      <c r="O87" s="122">
        <f t="shared" si="47"/>
        <v>-7300.9170000000158</v>
      </c>
      <c r="P87" s="123">
        <f t="shared" si="48"/>
        <v>-3.6846947491443141</v>
      </c>
      <c r="Q87" s="114"/>
      <c r="R87" s="30">
        <f>F88+март!J88+F92+F98+март!J92+март!J98</f>
        <v>87155.042000000001</v>
      </c>
      <c r="S87">
        <f t="shared" si="49"/>
        <v>110078.72500000001</v>
      </c>
      <c r="T87" s="44">
        <f>E87+апр!I87</f>
        <v>104443.74499999998</v>
      </c>
      <c r="U87" s="30">
        <f>F87+апр!J87</f>
        <v>112459.08899999999</v>
      </c>
    </row>
    <row r="88" spans="1:21" ht="17.25" customHeight="1">
      <c r="A88" s="8" t="s">
        <v>74</v>
      </c>
      <c r="B88" s="9" t="s">
        <v>75</v>
      </c>
      <c r="C88" s="8" t="s">
        <v>4</v>
      </c>
      <c r="D88" s="10">
        <v>20032.525000000001</v>
      </c>
      <c r="E88" s="8">
        <v>18751.082999999999</v>
      </c>
      <c r="F88" s="54">
        <f>29561.069-F92-F98</f>
        <v>28997.937999999998</v>
      </c>
      <c r="G88" s="16">
        <f t="shared" si="52"/>
        <v>10246.855</v>
      </c>
      <c r="H88" s="10">
        <f>D88+август!H88</f>
        <v>180292.72499999998</v>
      </c>
      <c r="I88" s="8">
        <f>E88+август!I88</f>
        <v>168759.74699999997</v>
      </c>
      <c r="J88" s="54">
        <f>F88+август!J88</f>
        <v>172637.745</v>
      </c>
      <c r="K88" s="10">
        <f t="shared" si="53"/>
        <v>3877.9980000000214</v>
      </c>
      <c r="L88" s="16">
        <f>K88/I88*100</f>
        <v>2.2979401598652678</v>
      </c>
      <c r="M88" s="227"/>
      <c r="N88" s="228"/>
      <c r="O88" s="122">
        <f>J88-H88</f>
        <v>-7654.9799999999814</v>
      </c>
      <c r="P88" s="123">
        <f>O88/H88*100</f>
        <v>-4.245861833859343</v>
      </c>
      <c r="Q88" s="116"/>
      <c r="R88" s="30">
        <f>J88+J92+J98</f>
        <v>178911.21599999999</v>
      </c>
      <c r="S88">
        <f t="shared" si="49"/>
        <v>100162.625</v>
      </c>
      <c r="T88" s="44">
        <f>E88+апр!I88</f>
        <v>93755.414999999994</v>
      </c>
      <c r="U88" s="30">
        <f>F88+апр!J88</f>
        <v>101572.81099999999</v>
      </c>
    </row>
    <row r="89" spans="1:21" ht="17.25" customHeight="1">
      <c r="A89" s="8" t="s">
        <v>76</v>
      </c>
      <c r="B89" s="9" t="s">
        <v>77</v>
      </c>
      <c r="C89" s="8" t="s">
        <v>4</v>
      </c>
      <c r="D89" s="10">
        <v>1101.788</v>
      </c>
      <c r="E89" s="8">
        <v>1012.583</v>
      </c>
      <c r="F89" s="54">
        <v>1605.008</v>
      </c>
      <c r="G89" s="10">
        <f t="shared" si="52"/>
        <v>592.42500000000007</v>
      </c>
      <c r="H89" s="10">
        <f>D89+август!H89</f>
        <v>9916.0920000000024</v>
      </c>
      <c r="I89" s="8">
        <f>E89+август!I89</f>
        <v>9113.2469999999994</v>
      </c>
      <c r="J89" s="54">
        <f>F89+август!J89</f>
        <v>9402.1409999999996</v>
      </c>
      <c r="K89" s="10">
        <f t="shared" si="53"/>
        <v>288.89400000000023</v>
      </c>
      <c r="L89" s="16">
        <f t="shared" si="58"/>
        <v>3.1700446613594502</v>
      </c>
      <c r="M89" s="227"/>
      <c r="N89" s="228"/>
      <c r="O89" s="122">
        <f t="shared" ref="O89:O150" si="59">J89-H89</f>
        <v>-513.95100000000275</v>
      </c>
      <c r="P89" s="123">
        <f t="shared" ref="P89:P150" si="60">O89/H89*100</f>
        <v>-5.1829995123078998</v>
      </c>
      <c r="Q89" s="116"/>
      <c r="S89">
        <f t="shared" si="49"/>
        <v>5508.9400000000005</v>
      </c>
      <c r="T89" s="44">
        <f>E89+апр!I89</f>
        <v>5062.915</v>
      </c>
      <c r="U89" s="30">
        <f>F89+апр!J89</f>
        <v>5686.2060000000001</v>
      </c>
    </row>
    <row r="90" spans="1:21" ht="17.25" customHeight="1">
      <c r="A90" s="8" t="s">
        <v>308</v>
      </c>
      <c r="B90" s="9" t="s">
        <v>307</v>
      </c>
      <c r="C90" s="8" t="s">
        <v>4</v>
      </c>
      <c r="D90" s="10">
        <v>881.43200000000002</v>
      </c>
      <c r="E90" s="8">
        <v>843.83299999999997</v>
      </c>
      <c r="F90" s="55">
        <v>865.89800000000002</v>
      </c>
      <c r="G90" s="10">
        <f t="shared" si="52"/>
        <v>22.065000000000055</v>
      </c>
      <c r="H90" s="10">
        <f>D90+август!H90</f>
        <v>7932.887999999999</v>
      </c>
      <c r="I90" s="8">
        <f>E90+август!I90</f>
        <v>7594.4969999999985</v>
      </c>
      <c r="J90" s="54">
        <f>F90+август!J90</f>
        <v>5107.5120000000006</v>
      </c>
      <c r="K90" s="10">
        <f t="shared" si="53"/>
        <v>-2486.9849999999979</v>
      </c>
      <c r="L90" s="16">
        <f t="shared" si="58"/>
        <v>-32.747198399051292</v>
      </c>
      <c r="M90" s="166"/>
      <c r="N90" s="167"/>
      <c r="O90" s="122">
        <f t="shared" si="59"/>
        <v>-2825.3759999999984</v>
      </c>
      <c r="P90" s="123">
        <f t="shared" si="60"/>
        <v>-35.615982476999534</v>
      </c>
      <c r="Q90" s="116"/>
      <c r="S90">
        <f t="shared" si="49"/>
        <v>4407.16</v>
      </c>
      <c r="T90" s="44">
        <f>E90+апр!I90</f>
        <v>4219.165</v>
      </c>
      <c r="U90" s="30">
        <f>F90+апр!J90</f>
        <v>3097.8500000000004</v>
      </c>
    </row>
    <row r="91" spans="1:21" ht="17.25" customHeight="1">
      <c r="A91" s="8" t="s">
        <v>309</v>
      </c>
      <c r="B91" s="9" t="s">
        <v>310</v>
      </c>
      <c r="C91" s="8" t="s">
        <v>4</v>
      </c>
      <c r="D91" s="10"/>
      <c r="E91" s="8">
        <v>281.25</v>
      </c>
      <c r="F91" s="55">
        <v>412.56400000000002</v>
      </c>
      <c r="G91" s="10">
        <f t="shared" si="52"/>
        <v>131.31400000000002</v>
      </c>
      <c r="H91" s="10">
        <f>D91+август!H91</f>
        <v>0</v>
      </c>
      <c r="I91" s="8">
        <f>E91+август!I91</f>
        <v>2531.25</v>
      </c>
      <c r="J91" s="54">
        <f>F91+август!J91</f>
        <v>2420.7559999999999</v>
      </c>
      <c r="K91" s="10">
        <f t="shared" si="53"/>
        <v>-110.49400000000014</v>
      </c>
      <c r="L91" s="16">
        <f t="shared" si="58"/>
        <v>-4.3651950617284001</v>
      </c>
      <c r="M91" s="166"/>
      <c r="N91" s="167"/>
      <c r="O91" s="122">
        <f t="shared" si="59"/>
        <v>2420.7559999999999</v>
      </c>
      <c r="P91" s="123" t="e">
        <f t="shared" si="60"/>
        <v>#DIV/0!</v>
      </c>
      <c r="Q91" s="116"/>
      <c r="S91">
        <f t="shared" si="49"/>
        <v>0</v>
      </c>
      <c r="T91" s="44">
        <f>E91+апр!I91</f>
        <v>1406.25</v>
      </c>
      <c r="U91" s="30">
        <f>F91+апр!J91</f>
        <v>1471.3100000000002</v>
      </c>
    </row>
    <row r="92" spans="1:21" ht="17.25" customHeight="1">
      <c r="A92" s="8"/>
      <c r="B92" s="9" t="s">
        <v>316</v>
      </c>
      <c r="C92" s="8" t="s">
        <v>4</v>
      </c>
      <c r="D92" s="10"/>
      <c r="E92" s="8"/>
      <c r="F92" s="54"/>
      <c r="G92" s="10"/>
      <c r="H92" s="10">
        <f>D92+август!H92</f>
        <v>0</v>
      </c>
      <c r="I92" s="8">
        <f>E92+август!I92</f>
        <v>0</v>
      </c>
      <c r="J92" s="54">
        <f>F92+август!J92</f>
        <v>1272.634</v>
      </c>
      <c r="K92" s="10"/>
      <c r="L92" s="16"/>
      <c r="M92" s="166"/>
      <c r="N92" s="167"/>
      <c r="O92" s="122">
        <f t="shared" si="59"/>
        <v>1272.634</v>
      </c>
      <c r="P92" s="123" t="e">
        <f t="shared" si="60"/>
        <v>#DIV/0!</v>
      </c>
      <c r="Q92" s="116"/>
      <c r="S92">
        <f t="shared" si="49"/>
        <v>0</v>
      </c>
      <c r="T92" s="44">
        <f>E92+апр!I92</f>
        <v>0</v>
      </c>
      <c r="U92" s="30">
        <f>F92+апр!J92</f>
        <v>630.91199999999992</v>
      </c>
    </row>
    <row r="93" spans="1:21" ht="17.25" customHeight="1">
      <c r="A93" s="169" t="s">
        <v>78</v>
      </c>
      <c r="B93" s="6" t="s">
        <v>79</v>
      </c>
      <c r="C93" s="169" t="s">
        <v>4</v>
      </c>
      <c r="D93" s="7">
        <f>D94</f>
        <v>12258.85</v>
      </c>
      <c r="E93" s="21">
        <f>E94</f>
        <v>12219.75</v>
      </c>
      <c r="F93" s="7">
        <f>F94</f>
        <v>15385.446</v>
      </c>
      <c r="G93" s="10">
        <f t="shared" si="52"/>
        <v>3165.6959999999999</v>
      </c>
      <c r="H93" s="7">
        <f>H94</f>
        <v>110329.65000000002</v>
      </c>
      <c r="I93" s="21">
        <f>I94</f>
        <v>109977.75</v>
      </c>
      <c r="J93" s="7">
        <f>J94</f>
        <v>119652.98199999999</v>
      </c>
      <c r="K93" s="10">
        <f t="shared" si="53"/>
        <v>9675.2319999999891</v>
      </c>
      <c r="L93" s="16">
        <f t="shared" si="58"/>
        <v>8.7974449377260306</v>
      </c>
      <c r="M93" s="220"/>
      <c r="N93" s="221"/>
      <c r="O93" s="122">
        <f t="shared" si="59"/>
        <v>9323.3319999999658</v>
      </c>
      <c r="P93" s="123">
        <f t="shared" si="60"/>
        <v>8.4504319555078471</v>
      </c>
      <c r="Q93" s="114"/>
      <c r="S93">
        <f t="shared" si="49"/>
        <v>61294.25</v>
      </c>
      <c r="T93" s="44">
        <f>E93+апр!I93</f>
        <v>61098.75</v>
      </c>
      <c r="U93" s="30">
        <f>F93+апр!J93</f>
        <v>59759.133999999991</v>
      </c>
    </row>
    <row r="94" spans="1:21" ht="17.25" customHeight="1">
      <c r="A94" s="23" t="s">
        <v>80</v>
      </c>
      <c r="B94" s="9" t="s">
        <v>81</v>
      </c>
      <c r="C94" s="8" t="s">
        <v>4</v>
      </c>
      <c r="D94" s="10">
        <v>12258.85</v>
      </c>
      <c r="E94" s="8">
        <v>12219.75</v>
      </c>
      <c r="F94" s="55">
        <v>15385.446</v>
      </c>
      <c r="G94" s="10">
        <f t="shared" si="52"/>
        <v>3165.6959999999999</v>
      </c>
      <c r="H94" s="10">
        <f>D94+август!H94</f>
        <v>110329.65000000002</v>
      </c>
      <c r="I94" s="8">
        <f>E94+август!I94</f>
        <v>109977.75</v>
      </c>
      <c r="J94" s="54">
        <f>F94+август!J94</f>
        <v>119652.98199999999</v>
      </c>
      <c r="K94" s="10">
        <f t="shared" si="53"/>
        <v>9675.2319999999891</v>
      </c>
      <c r="L94" s="16">
        <f t="shared" si="58"/>
        <v>8.7974449377260306</v>
      </c>
      <c r="M94" s="220"/>
      <c r="N94" s="221"/>
      <c r="O94" s="122">
        <f t="shared" si="59"/>
        <v>9323.3319999999658</v>
      </c>
      <c r="P94" s="123">
        <f t="shared" si="60"/>
        <v>8.4504319555078471</v>
      </c>
      <c r="Q94" s="114"/>
      <c r="S94">
        <f t="shared" si="49"/>
        <v>61294.25</v>
      </c>
      <c r="T94" s="44">
        <f>E94+апр!I94</f>
        <v>61098.75</v>
      </c>
      <c r="U94" s="30">
        <f>F94+апр!J94</f>
        <v>59759.133999999991</v>
      </c>
    </row>
    <row r="95" spans="1:21" ht="17.25" customHeight="1">
      <c r="A95" s="169" t="s">
        <v>82</v>
      </c>
      <c r="B95" s="6" t="s">
        <v>83</v>
      </c>
      <c r="C95" s="169" t="s">
        <v>4</v>
      </c>
      <c r="D95" s="7">
        <f t="shared" ref="D95:J95" si="61">D96</f>
        <v>588.22500000000002</v>
      </c>
      <c r="E95" s="7">
        <f t="shared" si="61"/>
        <v>291.66699999999997</v>
      </c>
      <c r="F95" s="7">
        <f>F96</f>
        <v>46.616999999999997</v>
      </c>
      <c r="G95" s="10">
        <f t="shared" si="52"/>
        <v>-245.04999999999998</v>
      </c>
      <c r="H95" s="7">
        <f t="shared" si="61"/>
        <v>5294.0250000000005</v>
      </c>
      <c r="I95" s="7">
        <f t="shared" si="61"/>
        <v>2625.0029999999997</v>
      </c>
      <c r="J95" s="7">
        <f t="shared" si="61"/>
        <v>272.53000000000003</v>
      </c>
      <c r="K95" s="10">
        <f t="shared" si="53"/>
        <v>-2352.4729999999995</v>
      </c>
      <c r="L95" s="16">
        <f t="shared" si="58"/>
        <v>-89.61791662714289</v>
      </c>
      <c r="M95" s="220"/>
      <c r="N95" s="221"/>
      <c r="O95" s="122">
        <f t="shared" si="59"/>
        <v>-5021.4950000000008</v>
      </c>
      <c r="P95" s="123">
        <f t="shared" si="60"/>
        <v>-94.852121023229017</v>
      </c>
      <c r="Q95" s="114"/>
      <c r="S95">
        <f t="shared" si="49"/>
        <v>2941.125</v>
      </c>
      <c r="T95" s="44">
        <f>E95+апр!I95</f>
        <v>1458.3349999999998</v>
      </c>
      <c r="U95" s="30">
        <f>F95+апр!J95</f>
        <v>47.385999999999996</v>
      </c>
    </row>
    <row r="96" spans="1:21" ht="54" customHeight="1">
      <c r="A96" s="8" t="s">
        <v>84</v>
      </c>
      <c r="B96" s="9" t="s">
        <v>85</v>
      </c>
      <c r="C96" s="8" t="s">
        <v>4</v>
      </c>
      <c r="D96" s="10">
        <v>588.22500000000002</v>
      </c>
      <c r="E96" s="8">
        <v>291.66699999999997</v>
      </c>
      <c r="F96" s="55">
        <v>46.616999999999997</v>
      </c>
      <c r="G96" s="10">
        <f t="shared" si="52"/>
        <v>-245.04999999999998</v>
      </c>
      <c r="H96" s="10">
        <f>D96+август!H96</f>
        <v>5294.0250000000005</v>
      </c>
      <c r="I96" s="8">
        <f>E96+август!I96</f>
        <v>2625.0029999999997</v>
      </c>
      <c r="J96" s="54">
        <f>F96+август!J96</f>
        <v>272.53000000000003</v>
      </c>
      <c r="K96" s="10">
        <f t="shared" si="53"/>
        <v>-2352.4729999999995</v>
      </c>
      <c r="L96" s="16">
        <f t="shared" si="58"/>
        <v>-89.61791662714289</v>
      </c>
      <c r="M96" s="227" t="s">
        <v>299</v>
      </c>
      <c r="N96" s="228"/>
      <c r="O96" s="122">
        <f t="shared" si="59"/>
        <v>-5021.4950000000008</v>
      </c>
      <c r="P96" s="123">
        <f t="shared" si="60"/>
        <v>-94.852121023229017</v>
      </c>
      <c r="Q96" s="116"/>
      <c r="S96">
        <f t="shared" si="49"/>
        <v>2941.125</v>
      </c>
      <c r="T96" s="44">
        <f>E96+апр!I96</f>
        <v>1458.3349999999998</v>
      </c>
      <c r="U96" s="30">
        <f>F96+апр!J96</f>
        <v>47.385999999999996</v>
      </c>
    </row>
    <row r="97" spans="1:21" ht="17.25" customHeight="1">
      <c r="A97" s="169" t="s">
        <v>86</v>
      </c>
      <c r="B97" s="6" t="s">
        <v>87</v>
      </c>
      <c r="C97" s="169" t="s">
        <v>4</v>
      </c>
      <c r="D97" s="7">
        <f t="shared" ref="D97" si="62">D98+D99+D103+D104+D109+D110</f>
        <v>2575.1889999999999</v>
      </c>
      <c r="E97" s="7">
        <f>E98+E99+E103+E104+E109+E110</f>
        <v>2562.3330000000001</v>
      </c>
      <c r="F97" s="7">
        <f>F98+F99+F103+F104+F109+F110</f>
        <v>3773.33</v>
      </c>
      <c r="G97" s="10">
        <f t="shared" si="52"/>
        <v>1210.9969999999998</v>
      </c>
      <c r="H97" s="7">
        <f t="shared" ref="H97" si="63">H98+H99+H103+H104+H109+H110</f>
        <v>23176.701000000001</v>
      </c>
      <c r="I97" s="7">
        <f>I98+I99+I103+I104+I109+I110</f>
        <v>23059.664000000001</v>
      </c>
      <c r="J97" s="7">
        <f>J98+J99+J103+J104+J109+J110</f>
        <v>23742.031499999997</v>
      </c>
      <c r="K97" s="10">
        <f t="shared" si="53"/>
        <v>682.36749999999665</v>
      </c>
      <c r="L97" s="16">
        <f t="shared" si="58"/>
        <v>2.9591389536291448</v>
      </c>
      <c r="M97" s="220"/>
      <c r="N97" s="221"/>
      <c r="O97" s="122">
        <f t="shared" si="59"/>
        <v>565.33049999999639</v>
      </c>
      <c r="P97" s="123">
        <f t="shared" si="60"/>
        <v>2.4392190243123744</v>
      </c>
      <c r="Q97" s="114"/>
      <c r="S97">
        <f t="shared" si="49"/>
        <v>12875.945</v>
      </c>
      <c r="T97" s="44">
        <f>E97+апр!I97</f>
        <v>12811.665000000001</v>
      </c>
      <c r="U97" s="30">
        <f>F97+апр!J97</f>
        <v>13665.622499999999</v>
      </c>
    </row>
    <row r="98" spans="1:21" ht="17.25" customHeight="1">
      <c r="A98" s="8" t="s">
        <v>88</v>
      </c>
      <c r="B98" s="9" t="s">
        <v>89</v>
      </c>
      <c r="C98" s="8" t="s">
        <v>4</v>
      </c>
      <c r="D98" s="10">
        <v>626.41700000000003</v>
      </c>
      <c r="E98" s="8">
        <v>543.08299999999997</v>
      </c>
      <c r="F98" s="54">
        <v>563.13099999999997</v>
      </c>
      <c r="G98" s="10">
        <f t="shared" si="52"/>
        <v>20.048000000000002</v>
      </c>
      <c r="H98" s="10">
        <f>D98+август!H98</f>
        <v>5637.7530000000006</v>
      </c>
      <c r="I98" s="8">
        <f>E98+август!I98</f>
        <v>4887.7469999999994</v>
      </c>
      <c r="J98" s="54">
        <f>F98+август!J98</f>
        <v>5000.8370000000004</v>
      </c>
      <c r="K98" s="10">
        <f t="shared" si="53"/>
        <v>113.09000000000106</v>
      </c>
      <c r="L98" s="16">
        <f t="shared" si="58"/>
        <v>2.3137449626586868</v>
      </c>
      <c r="M98" s="227" t="s">
        <v>298</v>
      </c>
      <c r="N98" s="228"/>
      <c r="O98" s="122">
        <f t="shared" si="59"/>
        <v>-636.91600000000017</v>
      </c>
      <c r="P98" s="123">
        <f t="shared" si="60"/>
        <v>-11.297337786880696</v>
      </c>
      <c r="Q98" s="116"/>
      <c r="S98">
        <f t="shared" si="49"/>
        <v>3132.085</v>
      </c>
      <c r="T98" s="44">
        <f>E98+апр!I98</f>
        <v>2715.415</v>
      </c>
      <c r="U98" s="30">
        <f>F98+апр!J98</f>
        <v>2853.5329999999999</v>
      </c>
    </row>
    <row r="99" spans="1:21" ht="53.25" customHeight="1">
      <c r="A99" s="8" t="s">
        <v>90</v>
      </c>
      <c r="B99" s="20" t="s">
        <v>242</v>
      </c>
      <c r="C99" s="8" t="s">
        <v>4</v>
      </c>
      <c r="D99" s="10">
        <f t="shared" ref="D99" si="64">D100+D101+D102</f>
        <v>107.703</v>
      </c>
      <c r="E99" s="8">
        <v>107.667</v>
      </c>
      <c r="F99" s="10">
        <f>F100+F101+F102</f>
        <v>379.98899999999998</v>
      </c>
      <c r="G99" s="10">
        <f t="shared" si="52"/>
        <v>272.322</v>
      </c>
      <c r="H99" s="10">
        <f t="shared" ref="H99" si="65">H100+H101+H102</f>
        <v>969.32700000000011</v>
      </c>
      <c r="I99" s="8">
        <f>E99+август!I99</f>
        <v>969.00300000000016</v>
      </c>
      <c r="J99" s="10">
        <f t="shared" ref="J99" si="66">J100+J101+J102</f>
        <v>379.98899999999998</v>
      </c>
      <c r="K99" s="10">
        <f t="shared" si="53"/>
        <v>-589.01400000000012</v>
      </c>
      <c r="L99" s="16">
        <f t="shared" si="58"/>
        <v>-60.785570323311703</v>
      </c>
      <c r="M99" s="220"/>
      <c r="N99" s="221"/>
      <c r="O99" s="122">
        <f t="shared" si="59"/>
        <v>-589.33800000000019</v>
      </c>
      <c r="P99" s="123">
        <f t="shared" si="60"/>
        <v>-60.798677845556767</v>
      </c>
      <c r="Q99" s="114"/>
      <c r="S99">
        <f t="shared" si="49"/>
        <v>538.51499999999999</v>
      </c>
      <c r="T99" s="44">
        <f>E99+апр!I99</f>
        <v>538.33500000000004</v>
      </c>
      <c r="U99" s="30">
        <f>F99+апр!J99</f>
        <v>379.98899999999998</v>
      </c>
    </row>
    <row r="100" spans="1:21" ht="17.25" customHeight="1">
      <c r="A100" s="8" t="s">
        <v>91</v>
      </c>
      <c r="B100" s="20" t="s">
        <v>92</v>
      </c>
      <c r="C100" s="8" t="s">
        <v>4</v>
      </c>
      <c r="D100" s="10">
        <v>45.448999999999998</v>
      </c>
      <c r="E100" s="8"/>
      <c r="F100" s="55"/>
      <c r="G100" s="10">
        <f t="shared" si="52"/>
        <v>0</v>
      </c>
      <c r="H100" s="10">
        <f>D100+август!H100</f>
        <v>409.04100000000005</v>
      </c>
      <c r="I100" s="8"/>
      <c r="J100" s="54">
        <f>F100+август!J100</f>
        <v>0</v>
      </c>
      <c r="K100" s="10">
        <f t="shared" si="53"/>
        <v>0</v>
      </c>
      <c r="L100" s="16"/>
      <c r="M100" s="220"/>
      <c r="N100" s="221"/>
      <c r="O100" s="122">
        <f t="shared" si="59"/>
        <v>-409.04100000000005</v>
      </c>
      <c r="P100" s="123">
        <f t="shared" si="60"/>
        <v>-100</v>
      </c>
      <c r="Q100" s="114"/>
      <c r="S100">
        <f t="shared" si="49"/>
        <v>227.245</v>
      </c>
      <c r="T100" s="44">
        <f>E100+апр!I100</f>
        <v>0</v>
      </c>
      <c r="U100" s="30">
        <f>F100+апр!J100</f>
        <v>0</v>
      </c>
    </row>
    <row r="101" spans="1:21" ht="33.75" customHeight="1">
      <c r="A101" s="8" t="s">
        <v>93</v>
      </c>
      <c r="B101" s="20" t="s">
        <v>94</v>
      </c>
      <c r="C101" s="8" t="s">
        <v>4</v>
      </c>
      <c r="D101" s="10">
        <v>62.253999999999998</v>
      </c>
      <c r="E101" s="8"/>
      <c r="F101" s="55">
        <v>379.98899999999998</v>
      </c>
      <c r="G101" s="10">
        <f t="shared" si="52"/>
        <v>379.98899999999998</v>
      </c>
      <c r="H101" s="10">
        <f>D101+август!H101</f>
        <v>560.28600000000006</v>
      </c>
      <c r="I101" s="8"/>
      <c r="J101" s="54">
        <f>F101+август!J101</f>
        <v>379.98899999999998</v>
      </c>
      <c r="K101" s="10">
        <f t="shared" si="53"/>
        <v>379.98899999999998</v>
      </c>
      <c r="L101" s="16"/>
      <c r="M101" s="220"/>
      <c r="N101" s="221"/>
      <c r="O101" s="122">
        <f t="shared" si="59"/>
        <v>-180.29700000000008</v>
      </c>
      <c r="P101" s="123">
        <f t="shared" si="60"/>
        <v>-32.179458348057963</v>
      </c>
      <c r="Q101" s="114"/>
      <c r="S101">
        <f t="shared" si="49"/>
        <v>311.27</v>
      </c>
      <c r="T101" s="44">
        <f>E101+апр!I101</f>
        <v>0</v>
      </c>
      <c r="U101" s="30">
        <f>F101+апр!J101</f>
        <v>379.98899999999998</v>
      </c>
    </row>
    <row r="102" spans="1:21" ht="33.75" customHeight="1">
      <c r="A102" s="8" t="s">
        <v>95</v>
      </c>
      <c r="B102" s="20" t="s">
        <v>96</v>
      </c>
      <c r="C102" s="8" t="s">
        <v>4</v>
      </c>
      <c r="D102" s="10"/>
      <c r="E102" s="8"/>
      <c r="F102" s="55"/>
      <c r="G102" s="10">
        <f t="shared" si="52"/>
        <v>0</v>
      </c>
      <c r="H102" s="10">
        <f>D102+август!H102</f>
        <v>0</v>
      </c>
      <c r="I102" s="8"/>
      <c r="J102" s="54">
        <f>F102+август!J102</f>
        <v>0</v>
      </c>
      <c r="K102" s="10">
        <f t="shared" si="53"/>
        <v>0</v>
      </c>
      <c r="L102" s="16"/>
      <c r="M102" s="220"/>
      <c r="N102" s="221"/>
      <c r="O102" s="122">
        <f t="shared" si="59"/>
        <v>0</v>
      </c>
      <c r="P102" s="123" t="e">
        <f t="shared" si="60"/>
        <v>#DIV/0!</v>
      </c>
      <c r="Q102" s="114"/>
      <c r="S102">
        <f t="shared" si="49"/>
        <v>0</v>
      </c>
      <c r="T102" s="44">
        <f>E102+апр!I102</f>
        <v>0</v>
      </c>
      <c r="U102" s="30">
        <f>F102+апр!J102</f>
        <v>0</v>
      </c>
    </row>
    <row r="103" spans="1:21" ht="17.25" customHeight="1">
      <c r="A103" s="8" t="s">
        <v>97</v>
      </c>
      <c r="B103" s="20" t="s">
        <v>98</v>
      </c>
      <c r="C103" s="8" t="s">
        <v>4</v>
      </c>
      <c r="D103" s="10">
        <v>1.3089999999999999</v>
      </c>
      <c r="E103" s="8">
        <v>1.333</v>
      </c>
      <c r="F103" s="55"/>
      <c r="G103" s="10">
        <f t="shared" si="52"/>
        <v>-1.333</v>
      </c>
      <c r="H103" s="10">
        <f>D103+август!H103</f>
        <v>11.780999999999999</v>
      </c>
      <c r="I103" s="8">
        <f>E103+август!I103</f>
        <v>10.664</v>
      </c>
      <c r="J103" s="54">
        <f>F103+август!J103</f>
        <v>0</v>
      </c>
      <c r="K103" s="10">
        <f t="shared" si="53"/>
        <v>-10.664</v>
      </c>
      <c r="L103" s="16">
        <f t="shared" si="58"/>
        <v>-100</v>
      </c>
      <c r="M103" s="220"/>
      <c r="N103" s="221"/>
      <c r="O103" s="122">
        <f t="shared" si="59"/>
        <v>-11.780999999999999</v>
      </c>
      <c r="P103" s="123">
        <f t="shared" si="60"/>
        <v>-100</v>
      </c>
      <c r="Q103" s="114"/>
      <c r="S103">
        <f t="shared" si="49"/>
        <v>6.5449999999999999</v>
      </c>
      <c r="T103" s="44">
        <f>E103+апр!I103</f>
        <v>6.665</v>
      </c>
      <c r="U103" s="30">
        <f>F103+апр!J103</f>
        <v>0</v>
      </c>
    </row>
    <row r="104" spans="1:21" ht="36" customHeight="1">
      <c r="A104" s="18" t="s">
        <v>105</v>
      </c>
      <c r="B104" s="20" t="s">
        <v>99</v>
      </c>
      <c r="C104" s="8" t="s">
        <v>4</v>
      </c>
      <c r="D104" s="10">
        <f t="shared" ref="D104:F104" si="67">D105+D106+D107+D108</f>
        <v>186.095</v>
      </c>
      <c r="E104" s="10">
        <f t="shared" si="67"/>
        <v>152.833</v>
      </c>
      <c r="F104" s="10">
        <f t="shared" si="67"/>
        <v>141.51300000000001</v>
      </c>
      <c r="G104" s="10">
        <f t="shared" si="52"/>
        <v>-11.319999999999993</v>
      </c>
      <c r="H104" s="10">
        <f t="shared" ref="H104:J104" si="68">H105+H106+H107+H108</f>
        <v>1674.8550000000005</v>
      </c>
      <c r="I104" s="8">
        <f>E104+август!I104</f>
        <v>1375.4970000000001</v>
      </c>
      <c r="J104" s="10">
        <f t="shared" si="68"/>
        <v>2348.0329999999994</v>
      </c>
      <c r="K104" s="10">
        <f t="shared" si="53"/>
        <v>972.53599999999938</v>
      </c>
      <c r="L104" s="16">
        <f t="shared" si="58"/>
        <v>70.704334506000336</v>
      </c>
      <c r="M104" s="220"/>
      <c r="N104" s="221"/>
      <c r="O104" s="122">
        <f t="shared" si="59"/>
        <v>673.17799999999897</v>
      </c>
      <c r="P104" s="123">
        <f t="shared" si="60"/>
        <v>40.193210755557871</v>
      </c>
      <c r="Q104" s="114"/>
      <c r="S104">
        <f t="shared" si="49"/>
        <v>930.47500000000002</v>
      </c>
      <c r="T104" s="44">
        <f>E104+апр!I104</f>
        <v>764.16499999999996</v>
      </c>
      <c r="U104" s="30">
        <f>F104+апр!J104</f>
        <v>940.49700000000007</v>
      </c>
    </row>
    <row r="105" spans="1:21" ht="17.25" customHeight="1">
      <c r="A105" s="24" t="s">
        <v>243</v>
      </c>
      <c r="B105" s="20" t="s">
        <v>100</v>
      </c>
      <c r="C105" s="8" t="s">
        <v>4</v>
      </c>
      <c r="D105" s="10">
        <v>43.570999999999998</v>
      </c>
      <c r="E105" s="8">
        <v>43.582999999999998</v>
      </c>
      <c r="F105" s="8"/>
      <c r="G105" s="10">
        <f t="shared" si="52"/>
        <v>-43.582999999999998</v>
      </c>
      <c r="H105" s="10">
        <f>D105+август!H105</f>
        <v>392.13900000000001</v>
      </c>
      <c r="I105" s="8">
        <f>E105+август!I105</f>
        <v>392.24699999999996</v>
      </c>
      <c r="J105" s="54">
        <f>F105+август!J105</f>
        <v>887.529</v>
      </c>
      <c r="K105" s="10">
        <f t="shared" si="53"/>
        <v>495.28200000000004</v>
      </c>
      <c r="L105" s="16">
        <f t="shared" si="58"/>
        <v>126.26788732609813</v>
      </c>
      <c r="M105" s="220"/>
      <c r="N105" s="221"/>
      <c r="O105" s="122">
        <f t="shared" si="59"/>
        <v>495.39</v>
      </c>
      <c r="P105" s="123">
        <f t="shared" si="60"/>
        <v>126.33020434080773</v>
      </c>
      <c r="Q105" s="114"/>
      <c r="S105">
        <f t="shared" si="49"/>
        <v>217.85499999999999</v>
      </c>
      <c r="T105" s="44">
        <f>E105+апр!I105</f>
        <v>217.91499999999999</v>
      </c>
      <c r="U105" s="30">
        <f>F105+апр!J105</f>
        <v>221.631</v>
      </c>
    </row>
    <row r="106" spans="1:21" ht="28.5" customHeight="1">
      <c r="A106" s="8" t="s">
        <v>244</v>
      </c>
      <c r="B106" s="20" t="s">
        <v>101</v>
      </c>
      <c r="C106" s="8" t="s">
        <v>4</v>
      </c>
      <c r="D106" s="10">
        <v>116.209</v>
      </c>
      <c r="E106" s="8">
        <v>82.917000000000002</v>
      </c>
      <c r="F106" s="55">
        <v>77.813000000000002</v>
      </c>
      <c r="G106" s="10">
        <f t="shared" si="52"/>
        <v>-5.1039999999999992</v>
      </c>
      <c r="H106" s="10">
        <f>D106+август!H106</f>
        <v>1045.8810000000003</v>
      </c>
      <c r="I106" s="8">
        <f>E106+август!I106</f>
        <v>746.25300000000016</v>
      </c>
      <c r="J106" s="54">
        <f>F106+август!J106</f>
        <v>875.05299999999988</v>
      </c>
      <c r="K106" s="10">
        <f t="shared" si="53"/>
        <v>128.79999999999973</v>
      </c>
      <c r="L106" s="16">
        <f t="shared" si="58"/>
        <v>17.259562105612936</v>
      </c>
      <c r="M106" s="222" t="s">
        <v>287</v>
      </c>
      <c r="N106" s="223"/>
      <c r="O106" s="122">
        <f t="shared" si="59"/>
        <v>-170.82800000000043</v>
      </c>
      <c r="P106" s="123">
        <f t="shared" si="60"/>
        <v>-16.333406955475851</v>
      </c>
      <c r="Q106" s="115"/>
      <c r="S106">
        <f t="shared" si="49"/>
        <v>581.04500000000007</v>
      </c>
      <c r="T106" s="44">
        <f>E106+апр!I106</f>
        <v>414.58500000000004</v>
      </c>
      <c r="U106" s="30">
        <f>F106+апр!J106</f>
        <v>531.41300000000001</v>
      </c>
    </row>
    <row r="107" spans="1:21" ht="37.5" customHeight="1">
      <c r="A107" s="8" t="s">
        <v>245</v>
      </c>
      <c r="B107" s="20" t="s">
        <v>102</v>
      </c>
      <c r="C107" s="8" t="s">
        <v>4</v>
      </c>
      <c r="D107" s="10">
        <v>26.315000000000001</v>
      </c>
      <c r="E107" s="8">
        <v>26.332999999999998</v>
      </c>
      <c r="F107" s="54"/>
      <c r="G107" s="10">
        <f t="shared" si="52"/>
        <v>-26.332999999999998</v>
      </c>
      <c r="H107" s="10">
        <f>D107+август!H107</f>
        <v>236.83500000000001</v>
      </c>
      <c r="I107" s="8">
        <f>E107+август!I107</f>
        <v>236.99699999999999</v>
      </c>
      <c r="J107" s="54">
        <f>F107+август!J107</f>
        <v>521.75099999999998</v>
      </c>
      <c r="K107" s="10">
        <f t="shared" si="53"/>
        <v>284.75400000000002</v>
      </c>
      <c r="L107" s="16">
        <f t="shared" si="58"/>
        <v>120.15088798592389</v>
      </c>
      <c r="M107" s="220"/>
      <c r="N107" s="221"/>
      <c r="O107" s="122">
        <f t="shared" si="59"/>
        <v>284.91599999999994</v>
      </c>
      <c r="P107" s="123">
        <f t="shared" si="60"/>
        <v>120.30147571093796</v>
      </c>
      <c r="Q107" s="114"/>
      <c r="S107">
        <f t="shared" si="49"/>
        <v>131.57500000000002</v>
      </c>
      <c r="T107" s="44">
        <f>E107+апр!I107</f>
        <v>131.66499999999999</v>
      </c>
      <c r="U107" s="30">
        <f>F107+апр!J107</f>
        <v>123.75300000000001</v>
      </c>
    </row>
    <row r="108" spans="1:21" ht="35.25" customHeight="1">
      <c r="A108" s="8" t="s">
        <v>103</v>
      </c>
      <c r="B108" s="20" t="s">
        <v>104</v>
      </c>
      <c r="C108" s="8" t="s">
        <v>4</v>
      </c>
      <c r="D108" s="10">
        <v>0</v>
      </c>
      <c r="E108" s="8"/>
      <c r="F108" s="8">
        <v>63.7</v>
      </c>
      <c r="G108" s="10">
        <f t="shared" si="52"/>
        <v>63.7</v>
      </c>
      <c r="H108" s="10">
        <f>D108+апр!H108</f>
        <v>0</v>
      </c>
      <c r="I108" s="8">
        <f>E108+март!I108</f>
        <v>0</v>
      </c>
      <c r="J108" s="54">
        <f>F108+август!J108</f>
        <v>63.7</v>
      </c>
      <c r="K108" s="10">
        <f t="shared" si="53"/>
        <v>63.7</v>
      </c>
      <c r="L108" s="16" t="e">
        <f t="shared" si="58"/>
        <v>#DIV/0!</v>
      </c>
      <c r="M108" s="220"/>
      <c r="N108" s="221"/>
      <c r="O108" s="122">
        <f t="shared" si="59"/>
        <v>63.7</v>
      </c>
      <c r="P108" s="123" t="e">
        <f t="shared" si="60"/>
        <v>#DIV/0!</v>
      </c>
      <c r="Q108" s="114"/>
      <c r="S108">
        <f t="shared" si="49"/>
        <v>0</v>
      </c>
      <c r="T108" s="44">
        <f>E108+апр!I108</f>
        <v>0</v>
      </c>
      <c r="U108" s="30">
        <f>F108+апр!J108</f>
        <v>63.7</v>
      </c>
    </row>
    <row r="109" spans="1:21" ht="17.25" customHeight="1">
      <c r="A109" s="18" t="s">
        <v>246</v>
      </c>
      <c r="B109" s="20" t="s">
        <v>106</v>
      </c>
      <c r="C109" s="8" t="s">
        <v>4</v>
      </c>
      <c r="D109" s="10">
        <v>91.483999999999995</v>
      </c>
      <c r="E109" s="8">
        <v>58.167000000000002</v>
      </c>
      <c r="F109" s="55">
        <f>7.603+17.616+4.781</f>
        <v>30</v>
      </c>
      <c r="G109" s="10">
        <f t="shared" si="52"/>
        <v>-28.167000000000002</v>
      </c>
      <c r="H109" s="10">
        <f>D109+август!H109</f>
        <v>823.35600000000011</v>
      </c>
      <c r="I109" s="8">
        <f>E109+август!I109</f>
        <v>523.50300000000016</v>
      </c>
      <c r="J109" s="54">
        <f>F109+август!J109</f>
        <v>344.08399999999995</v>
      </c>
      <c r="K109" s="10">
        <f t="shared" si="53"/>
        <v>-179.41900000000021</v>
      </c>
      <c r="L109" s="16">
        <f t="shared" si="58"/>
        <v>-34.272773986013483</v>
      </c>
      <c r="M109" s="220"/>
      <c r="N109" s="221"/>
      <c r="O109" s="122">
        <f t="shared" si="59"/>
        <v>-479.27200000000016</v>
      </c>
      <c r="P109" s="123">
        <f t="shared" si="60"/>
        <v>-58.209571558353865</v>
      </c>
      <c r="Q109" s="114"/>
      <c r="S109">
        <f t="shared" si="49"/>
        <v>457.41999999999996</v>
      </c>
      <c r="T109" s="44">
        <f>E109+апр!I109</f>
        <v>290.83500000000004</v>
      </c>
      <c r="U109" s="30">
        <f>F109+апр!J109</f>
        <v>176.83699999999999</v>
      </c>
    </row>
    <row r="110" spans="1:21" ht="17.25" customHeight="1">
      <c r="A110" s="17" t="s">
        <v>247</v>
      </c>
      <c r="B110" s="6" t="s">
        <v>107</v>
      </c>
      <c r="C110" s="8" t="s">
        <v>4</v>
      </c>
      <c r="D110" s="10">
        <f>D111+D115+D119+D123+D124+D125+D126+D127+D128+D129+D130+D131+D132+D133+D134+D135</f>
        <v>1562.1809999999998</v>
      </c>
      <c r="E110" s="10">
        <f>E111+E115+E119+E123+E124+E125+E126+E127+E128+E129+E130+E131+E132+E133+E134+E135+E136+E137</f>
        <v>1699.25</v>
      </c>
      <c r="F110" s="10">
        <f>F111+F115+F119+F123+F124+F125+F126+F127+F128+F129+F130+F131+F132+F133+F134+F135+F136+F137+F138+F139+F140+F141+F142</f>
        <v>2658.6970000000001</v>
      </c>
      <c r="G110" s="10">
        <f t="shared" si="52"/>
        <v>959.44700000000012</v>
      </c>
      <c r="H110" s="10">
        <f>H111+H115+H119+H123+H124+H125+H126+H127+H128+H129+H130+H131+H132+H133+H134+H135</f>
        <v>14059.629000000001</v>
      </c>
      <c r="I110" s="10">
        <f>I111+I115+I119+I123+I124+I125+I126+I127+I128+I129+I130+I131+I132+I133+I134+I135+I136+I137</f>
        <v>15293.25</v>
      </c>
      <c r="J110" s="10">
        <f>J111+J115+J119+J123+J124+J125+J126+J127+J128+J129+J130+J131+J132+J133+J134+J135+J136+J137</f>
        <v>15669.088499999998</v>
      </c>
      <c r="K110" s="10">
        <f t="shared" si="53"/>
        <v>375.83849999999802</v>
      </c>
      <c r="L110" s="16">
        <f t="shared" si="58"/>
        <v>2.4575449953410691</v>
      </c>
      <c r="M110" s="226"/>
      <c r="N110" s="221"/>
      <c r="O110" s="122">
        <f t="shared" si="59"/>
        <v>1609.4594999999972</v>
      </c>
      <c r="P110" s="123">
        <f t="shared" si="60"/>
        <v>11.447382430930411</v>
      </c>
      <c r="Q110" s="114"/>
      <c r="S110">
        <f t="shared" si="49"/>
        <v>7810.9049999999988</v>
      </c>
      <c r="T110" s="44">
        <f>E110+апр!I110</f>
        <v>8496.25</v>
      </c>
      <c r="U110" s="30">
        <f>F110+апр!J110</f>
        <v>9314.7665000000015</v>
      </c>
    </row>
    <row r="111" spans="1:21" ht="18" customHeight="1">
      <c r="A111" s="18" t="s">
        <v>248</v>
      </c>
      <c r="B111" s="9" t="s">
        <v>108</v>
      </c>
      <c r="C111" s="8" t="s">
        <v>4</v>
      </c>
      <c r="D111" s="10">
        <v>431.38099999999997</v>
      </c>
      <c r="E111" s="8">
        <v>431.41699999999997</v>
      </c>
      <c r="F111" s="10">
        <f>F112+F113+F114</f>
        <v>606.01</v>
      </c>
      <c r="G111" s="10">
        <f t="shared" si="52"/>
        <v>174.59300000000002</v>
      </c>
      <c r="H111" s="10">
        <f>D111+август!H111</f>
        <v>3882.4289999999992</v>
      </c>
      <c r="I111" s="8">
        <f>E111+август!I111</f>
        <v>3882.7529999999997</v>
      </c>
      <c r="J111" s="10">
        <f>J112+J113+J114</f>
        <v>3367.08</v>
      </c>
      <c r="K111" s="10">
        <f t="shared" si="53"/>
        <v>-515.67299999999977</v>
      </c>
      <c r="L111" s="16">
        <f t="shared" si="58"/>
        <v>-13.28111780481529</v>
      </c>
      <c r="M111" s="231"/>
      <c r="N111" s="232"/>
      <c r="O111" s="122">
        <f t="shared" si="59"/>
        <v>-515.34899999999925</v>
      </c>
      <c r="P111" s="123">
        <f t="shared" si="60"/>
        <v>-13.273880861697648</v>
      </c>
      <c r="Q111" s="117"/>
      <c r="S111">
        <f t="shared" si="49"/>
        <v>2156.9049999999997</v>
      </c>
      <c r="T111" s="44">
        <f>E111+апр!I111</f>
        <v>2157.085</v>
      </c>
      <c r="U111" s="30">
        <f>F111+апр!J111</f>
        <v>1794.6409999999998</v>
      </c>
    </row>
    <row r="112" spans="1:21" ht="17.25" customHeight="1">
      <c r="A112" s="18"/>
      <c r="B112" s="9" t="s">
        <v>221</v>
      </c>
      <c r="C112" s="8" t="s">
        <v>4</v>
      </c>
      <c r="D112" s="10"/>
      <c r="E112" s="8"/>
      <c r="F112" s="54">
        <v>582.01</v>
      </c>
      <c r="G112" s="10">
        <f t="shared" si="52"/>
        <v>582.01</v>
      </c>
      <c r="H112" s="10">
        <f>D112+август!H112</f>
        <v>0</v>
      </c>
      <c r="I112" s="8"/>
      <c r="J112" s="54">
        <f>F112+август!J112</f>
        <v>3089.259</v>
      </c>
      <c r="K112" s="10">
        <f t="shared" si="53"/>
        <v>3089.259</v>
      </c>
      <c r="L112" s="16"/>
      <c r="M112" s="220"/>
      <c r="N112" s="221"/>
      <c r="O112" s="122">
        <f t="shared" si="59"/>
        <v>3089.259</v>
      </c>
      <c r="P112" s="123" t="e">
        <f t="shared" si="60"/>
        <v>#DIV/0!</v>
      </c>
      <c r="Q112" s="114"/>
      <c r="S112">
        <f t="shared" si="49"/>
        <v>0</v>
      </c>
      <c r="T112" s="44">
        <f>E112+апр!I112</f>
        <v>0</v>
      </c>
      <c r="U112" s="30">
        <f>F112+апр!J112</f>
        <v>1548.82</v>
      </c>
    </row>
    <row r="113" spans="1:21" ht="36" customHeight="1">
      <c r="A113" s="18"/>
      <c r="B113" s="9" t="s">
        <v>222</v>
      </c>
      <c r="C113" s="8" t="s">
        <v>4</v>
      </c>
      <c r="D113" s="10"/>
      <c r="E113" s="8"/>
      <c r="F113" s="10">
        <v>24</v>
      </c>
      <c r="G113" s="10">
        <f t="shared" si="52"/>
        <v>24</v>
      </c>
      <c r="H113" s="10">
        <f>D113+август!H113</f>
        <v>0</v>
      </c>
      <c r="I113" s="8"/>
      <c r="J113" s="54">
        <f>F113+август!J113</f>
        <v>277.82100000000003</v>
      </c>
      <c r="K113" s="10">
        <f t="shared" si="53"/>
        <v>277.82100000000003</v>
      </c>
      <c r="L113" s="16"/>
      <c r="M113" s="220"/>
      <c r="N113" s="221"/>
      <c r="O113" s="122">
        <f t="shared" si="59"/>
        <v>277.82100000000003</v>
      </c>
      <c r="P113" s="123" t="e">
        <f t="shared" si="60"/>
        <v>#DIV/0!</v>
      </c>
      <c r="Q113" s="114"/>
      <c r="S113">
        <f t="shared" si="49"/>
        <v>0</v>
      </c>
      <c r="T113" s="44">
        <f>E113+апр!I113</f>
        <v>0</v>
      </c>
      <c r="U113" s="30">
        <f>F113+апр!J113</f>
        <v>245.821</v>
      </c>
    </row>
    <row r="114" spans="1:21" ht="17.25" customHeight="1">
      <c r="A114" s="18"/>
      <c r="B114" s="9" t="s">
        <v>223</v>
      </c>
      <c r="C114" s="8" t="s">
        <v>4</v>
      </c>
      <c r="D114" s="10"/>
      <c r="E114" s="8"/>
      <c r="F114" s="8"/>
      <c r="G114" s="10">
        <f t="shared" si="52"/>
        <v>0</v>
      </c>
      <c r="H114" s="10">
        <f>D114+август!H114</f>
        <v>0</v>
      </c>
      <c r="I114" s="8"/>
      <c r="J114" s="54">
        <f>F114+август!J114</f>
        <v>0</v>
      </c>
      <c r="K114" s="10">
        <f t="shared" si="53"/>
        <v>0</v>
      </c>
      <c r="L114" s="16"/>
      <c r="M114" s="220"/>
      <c r="N114" s="221"/>
      <c r="O114" s="122">
        <f t="shared" si="59"/>
        <v>0</v>
      </c>
      <c r="P114" s="123" t="e">
        <f t="shared" si="60"/>
        <v>#DIV/0!</v>
      </c>
      <c r="Q114" s="114"/>
      <c r="S114">
        <f t="shared" si="49"/>
        <v>0</v>
      </c>
      <c r="T114" s="44">
        <f>E114+апр!I114</f>
        <v>0</v>
      </c>
      <c r="U114" s="30">
        <f>F114+апр!J114</f>
        <v>0</v>
      </c>
    </row>
    <row r="115" spans="1:21" ht="17.25" customHeight="1">
      <c r="A115" s="18" t="s">
        <v>249</v>
      </c>
      <c r="B115" s="9" t="s">
        <v>109</v>
      </c>
      <c r="C115" s="8" t="s">
        <v>4</v>
      </c>
      <c r="D115" s="10">
        <f t="shared" ref="D115" si="69">D116+D117+D118</f>
        <v>121.34400000000001</v>
      </c>
      <c r="E115" s="10">
        <v>121.333</v>
      </c>
      <c r="F115" s="10"/>
      <c r="G115" s="10">
        <f t="shared" si="52"/>
        <v>-121.333</v>
      </c>
      <c r="H115" s="10">
        <f t="shared" ref="H115" si="70">H116+H117+H118</f>
        <v>1092.096</v>
      </c>
      <c r="I115" s="8">
        <f>E115+август!I115</f>
        <v>1091.9969999999998</v>
      </c>
      <c r="J115" s="10">
        <f t="shared" ref="J115" si="71">J116+J117+J118</f>
        <v>0</v>
      </c>
      <c r="K115" s="10">
        <f t="shared" si="53"/>
        <v>-1091.9969999999998</v>
      </c>
      <c r="L115" s="16">
        <f t="shared" si="58"/>
        <v>-100</v>
      </c>
      <c r="M115" s="220"/>
      <c r="N115" s="221"/>
      <c r="O115" s="122">
        <f t="shared" si="59"/>
        <v>-1092.096</v>
      </c>
      <c r="P115" s="123">
        <f t="shared" si="60"/>
        <v>-100</v>
      </c>
      <c r="Q115" s="114"/>
      <c r="S115">
        <f t="shared" si="49"/>
        <v>606.72</v>
      </c>
      <c r="T115" s="44">
        <f>E115+апр!I115</f>
        <v>606.66499999999996</v>
      </c>
      <c r="U115" s="30">
        <f>F115+апр!J115</f>
        <v>0</v>
      </c>
    </row>
    <row r="116" spans="1:21" ht="36" customHeight="1">
      <c r="A116" s="8" t="s">
        <v>250</v>
      </c>
      <c r="B116" s="9" t="s">
        <v>240</v>
      </c>
      <c r="C116" s="8" t="s">
        <v>4</v>
      </c>
      <c r="D116" s="10">
        <v>86.322000000000003</v>
      </c>
      <c r="E116" s="8"/>
      <c r="F116" s="8"/>
      <c r="G116" s="10">
        <f t="shared" si="52"/>
        <v>0</v>
      </c>
      <c r="H116" s="10">
        <f>D116+август!H116</f>
        <v>776.89800000000002</v>
      </c>
      <c r="I116" s="8"/>
      <c r="J116" s="54">
        <f>F116+август!J116</f>
        <v>0</v>
      </c>
      <c r="K116" s="10">
        <f t="shared" si="53"/>
        <v>0</v>
      </c>
      <c r="L116" s="16"/>
      <c r="M116" s="220"/>
      <c r="N116" s="221"/>
      <c r="O116" s="122">
        <f t="shared" si="59"/>
        <v>-776.89800000000002</v>
      </c>
      <c r="P116" s="123">
        <f t="shared" si="60"/>
        <v>-100</v>
      </c>
      <c r="Q116" s="114"/>
      <c r="S116">
        <f t="shared" si="49"/>
        <v>431.61</v>
      </c>
      <c r="T116" s="44">
        <f>E116+апр!I116</f>
        <v>0</v>
      </c>
      <c r="U116" s="30">
        <f>F116+апр!J116</f>
        <v>0</v>
      </c>
    </row>
    <row r="117" spans="1:21" ht="42.75" customHeight="1">
      <c r="A117" s="8" t="s">
        <v>251</v>
      </c>
      <c r="B117" s="9" t="s">
        <v>241</v>
      </c>
      <c r="C117" s="8" t="s">
        <v>4</v>
      </c>
      <c r="D117" s="10">
        <v>31.76</v>
      </c>
      <c r="E117" s="8"/>
      <c r="F117" s="8"/>
      <c r="G117" s="10">
        <f t="shared" si="52"/>
        <v>0</v>
      </c>
      <c r="H117" s="10">
        <f>D117+август!H117</f>
        <v>285.83999999999997</v>
      </c>
      <c r="I117" s="8"/>
      <c r="J117" s="54">
        <f>F117+август!J117</f>
        <v>0</v>
      </c>
      <c r="K117" s="10">
        <f t="shared" si="53"/>
        <v>0</v>
      </c>
      <c r="L117" s="16"/>
      <c r="M117" s="220"/>
      <c r="N117" s="221"/>
      <c r="O117" s="122">
        <f t="shared" si="59"/>
        <v>-285.83999999999997</v>
      </c>
      <c r="P117" s="123">
        <f t="shared" si="60"/>
        <v>-100</v>
      </c>
      <c r="Q117" s="114"/>
      <c r="S117">
        <f t="shared" si="49"/>
        <v>158.80000000000001</v>
      </c>
      <c r="T117" s="44">
        <f>E117+апр!I117</f>
        <v>0</v>
      </c>
      <c r="U117" s="30">
        <f>F117+апр!J117</f>
        <v>0</v>
      </c>
    </row>
    <row r="118" spans="1:21" ht="17.25" customHeight="1">
      <c r="A118" s="8" t="s">
        <v>252</v>
      </c>
      <c r="B118" s="9" t="s">
        <v>110</v>
      </c>
      <c r="C118" s="8" t="s">
        <v>4</v>
      </c>
      <c r="D118" s="10">
        <v>3.262</v>
      </c>
      <c r="E118" s="8"/>
      <c r="F118" s="8"/>
      <c r="G118" s="10">
        <f t="shared" si="52"/>
        <v>0</v>
      </c>
      <c r="H118" s="10">
        <f>D118+август!H118</f>
        <v>29.358000000000001</v>
      </c>
      <c r="I118" s="8"/>
      <c r="J118" s="54">
        <f>F118+август!J118</f>
        <v>0</v>
      </c>
      <c r="K118" s="10">
        <f t="shared" si="53"/>
        <v>0</v>
      </c>
      <c r="L118" s="16"/>
      <c r="M118" s="220"/>
      <c r="N118" s="221"/>
      <c r="O118" s="122">
        <f t="shared" si="59"/>
        <v>-29.358000000000001</v>
      </c>
      <c r="P118" s="123">
        <f t="shared" si="60"/>
        <v>-100</v>
      </c>
      <c r="Q118" s="114"/>
      <c r="S118">
        <f t="shared" si="49"/>
        <v>16.309999999999999</v>
      </c>
      <c r="T118" s="44">
        <f>E118+апр!I118</f>
        <v>0</v>
      </c>
      <c r="U118" s="30">
        <f>F118+апр!J118</f>
        <v>0</v>
      </c>
    </row>
    <row r="119" spans="1:21" ht="34.5" customHeight="1">
      <c r="A119" s="18" t="s">
        <v>253</v>
      </c>
      <c r="B119" s="9" t="s">
        <v>111</v>
      </c>
      <c r="C119" s="8" t="s">
        <v>4</v>
      </c>
      <c r="D119" s="10">
        <f>D120</f>
        <v>380.84899999999999</v>
      </c>
      <c r="E119" s="10">
        <v>356.5</v>
      </c>
      <c r="F119" s="10">
        <f>F120</f>
        <v>499.91500000000002</v>
      </c>
      <c r="G119" s="10">
        <f t="shared" si="52"/>
        <v>143.41500000000002</v>
      </c>
      <c r="H119" s="10">
        <f>H120</f>
        <v>3427.6410000000005</v>
      </c>
      <c r="I119" s="8">
        <f>E119+август!I119</f>
        <v>3208.5</v>
      </c>
      <c r="J119" s="10">
        <f>J120</f>
        <v>3483.8015</v>
      </c>
      <c r="K119" s="10">
        <f t="shared" si="53"/>
        <v>275.30150000000003</v>
      </c>
      <c r="L119" s="16">
        <f t="shared" si="58"/>
        <v>8.5803802399875337</v>
      </c>
      <c r="M119" s="220"/>
      <c r="N119" s="221"/>
      <c r="O119" s="122">
        <f t="shared" si="59"/>
        <v>56.160499999999502</v>
      </c>
      <c r="P119" s="123">
        <f t="shared" si="60"/>
        <v>1.6384592202042014</v>
      </c>
      <c r="Q119" s="114"/>
      <c r="S119">
        <f t="shared" si="49"/>
        <v>1904.2449999999999</v>
      </c>
      <c r="T119" s="44">
        <f>E119+апр!I119</f>
        <v>1782.5</v>
      </c>
      <c r="U119" s="30">
        <f>F119+апр!J119</f>
        <v>1826.7565</v>
      </c>
    </row>
    <row r="120" spans="1:21" ht="17.25" customHeight="1">
      <c r="A120" s="8"/>
      <c r="B120" s="25" t="s">
        <v>112</v>
      </c>
      <c r="C120" s="8" t="s">
        <v>113</v>
      </c>
      <c r="D120" s="10">
        <v>380.84899999999999</v>
      </c>
      <c r="E120" s="10">
        <f>E122*E121</f>
        <v>356.5</v>
      </c>
      <c r="F120" s="54">
        <f>F122*F121</f>
        <v>499.91500000000002</v>
      </c>
      <c r="G120" s="10">
        <f t="shared" si="52"/>
        <v>143.41500000000002</v>
      </c>
      <c r="H120" s="10">
        <f>D120+август!H120</f>
        <v>3427.6410000000005</v>
      </c>
      <c r="I120" s="8">
        <f>E120+август!I120</f>
        <v>3208.5</v>
      </c>
      <c r="J120" s="54">
        <f>F120+август!J120</f>
        <v>3483.8015</v>
      </c>
      <c r="K120" s="10">
        <f t="shared" si="53"/>
        <v>275.30150000000003</v>
      </c>
      <c r="L120" s="16">
        <f t="shared" si="58"/>
        <v>8.5803802399875337</v>
      </c>
      <c r="M120" s="220"/>
      <c r="N120" s="221"/>
      <c r="O120" s="122">
        <f t="shared" si="59"/>
        <v>56.160499999999502</v>
      </c>
      <c r="P120" s="123">
        <f t="shared" si="60"/>
        <v>1.6384592202042014</v>
      </c>
      <c r="Q120" s="114"/>
      <c r="S120">
        <f t="shared" si="49"/>
        <v>1904.2449999999999</v>
      </c>
      <c r="T120" s="44">
        <f>E120+апр!I120</f>
        <v>1782.5</v>
      </c>
      <c r="U120" s="30">
        <f>F120+апр!J120</f>
        <v>1826.7565</v>
      </c>
    </row>
    <row r="121" spans="1:21" ht="17.25" customHeight="1">
      <c r="A121" s="8"/>
      <c r="B121" s="12" t="s">
        <v>13</v>
      </c>
      <c r="C121" s="13" t="s">
        <v>114</v>
      </c>
      <c r="D121" s="10">
        <v>761.69899999999996</v>
      </c>
      <c r="E121" s="16">
        <f>E119/E122</f>
        <v>713</v>
      </c>
      <c r="F121" s="10">
        <f>F217</f>
        <v>999.83</v>
      </c>
      <c r="G121" s="10">
        <f t="shared" si="52"/>
        <v>286.83000000000004</v>
      </c>
      <c r="H121" s="10">
        <f>D121+август!H121</f>
        <v>6855.2909999999983</v>
      </c>
      <c r="I121" s="8">
        <f>E121+август!I121</f>
        <v>6417</v>
      </c>
      <c r="J121" s="54">
        <f>F121+август!J121</f>
        <v>6967.6019999999999</v>
      </c>
      <c r="K121" s="10">
        <f t="shared" si="53"/>
        <v>550.60199999999986</v>
      </c>
      <c r="L121" s="16">
        <f t="shared" si="58"/>
        <v>8.5803646563814837</v>
      </c>
      <c r="M121" s="220"/>
      <c r="N121" s="221"/>
      <c r="O121" s="122">
        <f t="shared" si="59"/>
        <v>112.31100000000151</v>
      </c>
      <c r="P121" s="123">
        <f t="shared" si="60"/>
        <v>1.6383111964175052</v>
      </c>
      <c r="Q121" s="114"/>
      <c r="S121">
        <f t="shared" si="49"/>
        <v>3808.4949999999999</v>
      </c>
      <c r="T121" s="44">
        <f>E121+апр!I121</f>
        <v>3565</v>
      </c>
      <c r="U121" s="30">
        <f>F121+апр!J121</f>
        <v>3653.5120000000002</v>
      </c>
    </row>
    <row r="122" spans="1:21" ht="17.25" customHeight="1">
      <c r="A122" s="8"/>
      <c r="B122" s="12" t="s">
        <v>15</v>
      </c>
      <c r="C122" s="13" t="s">
        <v>16</v>
      </c>
      <c r="D122" s="11">
        <v>0.5</v>
      </c>
      <c r="E122" s="11">
        <v>0.5</v>
      </c>
      <c r="F122" s="11">
        <v>0.5</v>
      </c>
      <c r="G122" s="10">
        <f t="shared" si="52"/>
        <v>0</v>
      </c>
      <c r="H122" s="10">
        <f>D122+август!H122</f>
        <v>2.5</v>
      </c>
      <c r="I122" s="11">
        <v>0.5</v>
      </c>
      <c r="J122" s="11">
        <v>0.5</v>
      </c>
      <c r="K122" s="10">
        <f t="shared" si="53"/>
        <v>0</v>
      </c>
      <c r="L122" s="16">
        <f t="shared" si="58"/>
        <v>0</v>
      </c>
      <c r="M122" s="220"/>
      <c r="N122" s="221"/>
      <c r="O122" s="122">
        <f t="shared" si="59"/>
        <v>-2</v>
      </c>
      <c r="P122" s="123">
        <f t="shared" si="60"/>
        <v>-80</v>
      </c>
      <c r="Q122" s="114"/>
      <c r="S122">
        <f t="shared" si="49"/>
        <v>2.5</v>
      </c>
      <c r="T122" s="44">
        <f>E122+апр!I122</f>
        <v>1</v>
      </c>
      <c r="U122" s="30">
        <f>F122+апр!J122</f>
        <v>1</v>
      </c>
    </row>
    <row r="123" spans="1:21" ht="17.25" customHeight="1">
      <c r="A123" s="18" t="s">
        <v>254</v>
      </c>
      <c r="B123" s="9" t="s">
        <v>115</v>
      </c>
      <c r="C123" s="8" t="s">
        <v>4</v>
      </c>
      <c r="D123" s="10">
        <v>1.1120000000000001</v>
      </c>
      <c r="E123" s="8">
        <v>1.083</v>
      </c>
      <c r="F123" s="8"/>
      <c r="G123" s="10">
        <f t="shared" si="52"/>
        <v>-1.083</v>
      </c>
      <c r="H123" s="10">
        <f>D123+август!H123</f>
        <v>10.008000000000001</v>
      </c>
      <c r="I123" s="8">
        <f>E123+август!I123</f>
        <v>9.7469999999999999</v>
      </c>
      <c r="J123" s="54">
        <f>F123+август!J123</f>
        <v>0</v>
      </c>
      <c r="K123" s="10">
        <f t="shared" si="53"/>
        <v>-9.7469999999999999</v>
      </c>
      <c r="L123" s="16">
        <f t="shared" si="58"/>
        <v>-100</v>
      </c>
      <c r="M123" s="220"/>
      <c r="N123" s="221"/>
      <c r="O123" s="122">
        <f t="shared" si="59"/>
        <v>-10.008000000000001</v>
      </c>
      <c r="P123" s="123">
        <f t="shared" si="60"/>
        <v>-100</v>
      </c>
      <c r="Q123" s="114"/>
      <c r="S123">
        <f t="shared" si="49"/>
        <v>5.5600000000000005</v>
      </c>
      <c r="T123" s="44">
        <f>E123+апр!I123</f>
        <v>5.415</v>
      </c>
      <c r="U123" s="30">
        <f>F123+апр!J123</f>
        <v>0</v>
      </c>
    </row>
    <row r="124" spans="1:21" ht="36" customHeight="1">
      <c r="A124" s="18" t="s">
        <v>255</v>
      </c>
      <c r="B124" s="9" t="s">
        <v>116</v>
      </c>
      <c r="C124" s="8" t="s">
        <v>4</v>
      </c>
      <c r="D124" s="10">
        <v>53.17</v>
      </c>
      <c r="E124" s="8">
        <v>52.167000000000002</v>
      </c>
      <c r="F124" s="54">
        <v>45</v>
      </c>
      <c r="G124" s="10">
        <f t="shared" si="52"/>
        <v>-7.1670000000000016</v>
      </c>
      <c r="H124" s="10">
        <f>D124+август!H124</f>
        <v>478.53000000000009</v>
      </c>
      <c r="I124" s="8">
        <f>E124+август!I124</f>
        <v>469.50300000000016</v>
      </c>
      <c r="J124" s="54">
        <f>F124+август!J124</f>
        <v>405</v>
      </c>
      <c r="K124" s="10">
        <f t="shared" si="53"/>
        <v>-64.503000000000156</v>
      </c>
      <c r="L124" s="16">
        <f t="shared" si="58"/>
        <v>-13.738570360572805</v>
      </c>
      <c r="M124" s="220"/>
      <c r="N124" s="221"/>
      <c r="O124" s="122">
        <f t="shared" si="59"/>
        <v>-73.530000000000086</v>
      </c>
      <c r="P124" s="123">
        <f t="shared" si="60"/>
        <v>-15.365807786345698</v>
      </c>
      <c r="Q124" s="114"/>
      <c r="S124">
        <f t="shared" si="49"/>
        <v>265.85000000000002</v>
      </c>
      <c r="T124" s="44">
        <f>E124+апр!I124</f>
        <v>260.83500000000004</v>
      </c>
      <c r="U124" s="30">
        <f>F124+апр!J124</f>
        <v>225</v>
      </c>
    </row>
    <row r="125" spans="1:21" ht="41.25" customHeight="1">
      <c r="A125" s="18" t="s">
        <v>256</v>
      </c>
      <c r="B125" s="9" t="s">
        <v>117</v>
      </c>
      <c r="C125" s="8" t="s">
        <v>4</v>
      </c>
      <c r="D125" s="10">
        <v>411.35</v>
      </c>
      <c r="E125" s="8">
        <v>411.33300000000003</v>
      </c>
      <c r="F125" s="55">
        <f>254.739+180.113</f>
        <v>434.85199999999998</v>
      </c>
      <c r="G125" s="10">
        <f t="shared" si="52"/>
        <v>23.518999999999949</v>
      </c>
      <c r="H125" s="10">
        <f>D125+август!H125</f>
        <v>3702.1499999999996</v>
      </c>
      <c r="I125" s="8">
        <f>E125+август!I125</f>
        <v>3701.9970000000003</v>
      </c>
      <c r="J125" s="54">
        <f>F125+август!J125</f>
        <v>4513.674</v>
      </c>
      <c r="K125" s="10">
        <f t="shared" si="53"/>
        <v>811.67699999999968</v>
      </c>
      <c r="L125" s="16">
        <f t="shared" si="58"/>
        <v>21.925382435480085</v>
      </c>
      <c r="M125" s="222" t="s">
        <v>294</v>
      </c>
      <c r="N125" s="223"/>
      <c r="O125" s="122">
        <f t="shared" si="59"/>
        <v>811.52400000000034</v>
      </c>
      <c r="P125" s="123">
        <f t="shared" si="60"/>
        <v>21.920343584133555</v>
      </c>
      <c r="Q125" s="115"/>
      <c r="S125">
        <f t="shared" si="49"/>
        <v>2056.75</v>
      </c>
      <c r="T125" s="44">
        <f>E125+апр!I125</f>
        <v>2056.665</v>
      </c>
      <c r="U125" s="30">
        <f>F125+апр!J125</f>
        <v>2662.2280000000001</v>
      </c>
    </row>
    <row r="126" spans="1:21" ht="55.5" customHeight="1">
      <c r="A126" s="18" t="s">
        <v>257</v>
      </c>
      <c r="B126" s="9" t="s">
        <v>118</v>
      </c>
      <c r="C126" s="8" t="s">
        <v>4</v>
      </c>
      <c r="D126" s="10">
        <v>48.704000000000001</v>
      </c>
      <c r="E126" s="8">
        <v>48.667000000000002</v>
      </c>
      <c r="F126" s="54"/>
      <c r="G126" s="10">
        <f t="shared" si="52"/>
        <v>-48.667000000000002</v>
      </c>
      <c r="H126" s="10">
        <f>D126+август!H126</f>
        <v>438.33600000000001</v>
      </c>
      <c r="I126" s="8">
        <f>E126+август!I126</f>
        <v>438.00300000000004</v>
      </c>
      <c r="J126" s="54">
        <f>F126+август!J126</f>
        <v>424.74</v>
      </c>
      <c r="K126" s="10">
        <f t="shared" si="53"/>
        <v>-13.263000000000034</v>
      </c>
      <c r="L126" s="16">
        <f t="shared" si="58"/>
        <v>-3.0280614516339002</v>
      </c>
      <c r="M126" s="220"/>
      <c r="N126" s="221"/>
      <c r="O126" s="122">
        <f t="shared" si="59"/>
        <v>-13.596000000000004</v>
      </c>
      <c r="P126" s="123">
        <f t="shared" si="60"/>
        <v>-3.1017301795882619</v>
      </c>
      <c r="Q126" s="114"/>
      <c r="S126">
        <f t="shared" si="49"/>
        <v>243.52</v>
      </c>
      <c r="T126" s="44">
        <f>E126+апр!I126</f>
        <v>243.33500000000001</v>
      </c>
      <c r="U126" s="30">
        <f>F126+апр!J126</f>
        <v>212.34</v>
      </c>
    </row>
    <row r="127" spans="1:21" ht="17.25" customHeight="1">
      <c r="A127" s="18" t="s">
        <v>258</v>
      </c>
      <c r="B127" s="9" t="s">
        <v>119</v>
      </c>
      <c r="C127" s="8" t="s">
        <v>4</v>
      </c>
      <c r="D127" s="10">
        <v>38.012999999999998</v>
      </c>
      <c r="E127" s="8">
        <v>38</v>
      </c>
      <c r="F127" s="54"/>
      <c r="G127" s="10">
        <f t="shared" si="52"/>
        <v>-38</v>
      </c>
      <c r="H127" s="10">
        <f>D127+август!H127</f>
        <v>342.11699999999996</v>
      </c>
      <c r="I127" s="8">
        <f>E127+август!I127</f>
        <v>342</v>
      </c>
      <c r="J127" s="54">
        <f>F127+август!J127</f>
        <v>210</v>
      </c>
      <c r="K127" s="10">
        <f t="shared" si="53"/>
        <v>-132</v>
      </c>
      <c r="L127" s="16">
        <f t="shared" si="58"/>
        <v>-38.596491228070171</v>
      </c>
      <c r="M127" s="220"/>
      <c r="N127" s="221"/>
      <c r="O127" s="122">
        <f t="shared" si="59"/>
        <v>-132.11699999999996</v>
      </c>
      <c r="P127" s="123">
        <f t="shared" si="60"/>
        <v>-38.617490507633349</v>
      </c>
      <c r="Q127" s="114"/>
      <c r="S127">
        <f t="shared" si="49"/>
        <v>190.065</v>
      </c>
      <c r="T127" s="44">
        <f>E127+апр!I127</f>
        <v>190</v>
      </c>
      <c r="U127" s="30">
        <f>F127+апр!J127</f>
        <v>105</v>
      </c>
    </row>
    <row r="128" spans="1:21" ht="54" customHeight="1">
      <c r="A128" s="18" t="s">
        <v>259</v>
      </c>
      <c r="B128" s="9" t="s">
        <v>120</v>
      </c>
      <c r="C128" s="8" t="s">
        <v>4</v>
      </c>
      <c r="D128" s="10"/>
      <c r="E128" s="8"/>
      <c r="F128" s="8"/>
      <c r="G128" s="10">
        <f t="shared" si="52"/>
        <v>0</v>
      </c>
      <c r="H128" s="10">
        <f>D128+август!H128</f>
        <v>0</v>
      </c>
      <c r="I128" s="8">
        <f>E128+август!I128</f>
        <v>0</v>
      </c>
      <c r="J128" s="54">
        <f>F128+август!J128</f>
        <v>640.45500000000004</v>
      </c>
      <c r="K128" s="10">
        <f t="shared" si="53"/>
        <v>640.45500000000004</v>
      </c>
      <c r="L128" s="16" t="e">
        <f t="shared" si="58"/>
        <v>#DIV/0!</v>
      </c>
      <c r="M128" s="220"/>
      <c r="N128" s="221"/>
      <c r="O128" s="122">
        <f t="shared" si="59"/>
        <v>640.45500000000004</v>
      </c>
      <c r="P128" s="123" t="e">
        <f t="shared" si="60"/>
        <v>#DIV/0!</v>
      </c>
      <c r="Q128" s="114"/>
      <c r="S128">
        <f t="shared" si="49"/>
        <v>0</v>
      </c>
      <c r="T128" s="44">
        <f>E128+апр!I128</f>
        <v>0</v>
      </c>
      <c r="U128" s="30">
        <f>F128+апр!J128</f>
        <v>640.45500000000004</v>
      </c>
    </row>
    <row r="129" spans="1:21" ht="34.5" hidden="1" customHeight="1">
      <c r="A129" s="18" t="s">
        <v>121</v>
      </c>
      <c r="B129" s="9" t="s">
        <v>218</v>
      </c>
      <c r="C129" s="8" t="s">
        <v>4</v>
      </c>
      <c r="D129" s="10">
        <v>0</v>
      </c>
      <c r="E129" s="8"/>
      <c r="F129" s="8"/>
      <c r="G129" s="10">
        <f t="shared" si="52"/>
        <v>0</v>
      </c>
      <c r="H129" s="10">
        <f>D129+апр!H129</f>
        <v>0</v>
      </c>
      <c r="I129" s="8">
        <f>E129+апр!I129</f>
        <v>0</v>
      </c>
      <c r="J129" s="10">
        <f>F129+апр!J129</f>
        <v>0</v>
      </c>
      <c r="K129" s="10">
        <f t="shared" si="53"/>
        <v>0</v>
      </c>
      <c r="L129" s="16" t="e">
        <f t="shared" si="58"/>
        <v>#DIV/0!</v>
      </c>
      <c r="M129" s="220"/>
      <c r="N129" s="221"/>
      <c r="O129" s="122">
        <f t="shared" si="59"/>
        <v>0</v>
      </c>
      <c r="P129" s="123" t="e">
        <f t="shared" si="60"/>
        <v>#DIV/0!</v>
      </c>
      <c r="Q129" s="114"/>
      <c r="S129">
        <f t="shared" si="49"/>
        <v>0</v>
      </c>
      <c r="T129" s="44">
        <f>E129+апр!I129</f>
        <v>0</v>
      </c>
      <c r="U129" s="30">
        <f>F129+апр!J129</f>
        <v>0</v>
      </c>
    </row>
    <row r="130" spans="1:21" ht="33" customHeight="1">
      <c r="A130" s="18" t="s">
        <v>260</v>
      </c>
      <c r="B130" s="9" t="s">
        <v>263</v>
      </c>
      <c r="C130" s="8" t="s">
        <v>4</v>
      </c>
      <c r="D130" s="10"/>
      <c r="E130" s="8"/>
      <c r="F130" s="55">
        <f>18+180+300</f>
        <v>498</v>
      </c>
      <c r="G130" s="10">
        <f t="shared" si="52"/>
        <v>498</v>
      </c>
      <c r="H130" s="10">
        <f>D130+август!H130</f>
        <v>0</v>
      </c>
      <c r="I130" s="8">
        <f>E130+август!I130</f>
        <v>0</v>
      </c>
      <c r="J130" s="54">
        <f>F130+август!J130</f>
        <v>538</v>
      </c>
      <c r="K130" s="10">
        <f t="shared" si="53"/>
        <v>538</v>
      </c>
      <c r="L130" s="16" t="e">
        <f t="shared" si="58"/>
        <v>#DIV/0!</v>
      </c>
      <c r="M130" s="222" t="s">
        <v>288</v>
      </c>
      <c r="N130" s="223"/>
      <c r="O130" s="122">
        <f t="shared" si="59"/>
        <v>538</v>
      </c>
      <c r="P130" s="123" t="e">
        <f t="shared" si="60"/>
        <v>#DIV/0!</v>
      </c>
      <c r="Q130" s="115"/>
      <c r="S130">
        <f t="shared" si="49"/>
        <v>0</v>
      </c>
      <c r="T130" s="44">
        <f>E130+апр!I130</f>
        <v>0</v>
      </c>
      <c r="U130" s="30">
        <f>F130+апр!J130</f>
        <v>498</v>
      </c>
    </row>
    <row r="131" spans="1:21" ht="17.25" customHeight="1">
      <c r="A131" s="18" t="s">
        <v>261</v>
      </c>
      <c r="B131" s="9" t="s">
        <v>122</v>
      </c>
      <c r="C131" s="8" t="s">
        <v>4</v>
      </c>
      <c r="D131" s="10">
        <v>69.783000000000001</v>
      </c>
      <c r="E131" s="8">
        <v>69.75</v>
      </c>
      <c r="F131" s="54">
        <v>208.75</v>
      </c>
      <c r="G131" s="10">
        <f t="shared" si="52"/>
        <v>139</v>
      </c>
      <c r="H131" s="10">
        <f>D131+август!H131</f>
        <v>628.04700000000003</v>
      </c>
      <c r="I131" s="8">
        <f>E131+август!I131</f>
        <v>627.75</v>
      </c>
      <c r="J131" s="54">
        <f>F131+август!J131</f>
        <v>626.25</v>
      </c>
      <c r="K131" s="10">
        <f t="shared" si="53"/>
        <v>-1.5</v>
      </c>
      <c r="L131" s="16">
        <f t="shared" si="58"/>
        <v>-0.23894862604540024</v>
      </c>
      <c r="M131" s="220"/>
      <c r="N131" s="221"/>
      <c r="O131" s="122">
        <f t="shared" si="59"/>
        <v>-1.7970000000000255</v>
      </c>
      <c r="P131" s="123">
        <f t="shared" si="60"/>
        <v>-0.28612508299538497</v>
      </c>
      <c r="Q131" s="114"/>
      <c r="S131">
        <f t="shared" si="49"/>
        <v>348.91500000000002</v>
      </c>
      <c r="T131" s="44">
        <f>E131+апр!I131</f>
        <v>348.75</v>
      </c>
      <c r="U131" s="30">
        <f>F131+апр!J131</f>
        <v>417.5</v>
      </c>
    </row>
    <row r="132" spans="1:21" ht="54.75" customHeight="1">
      <c r="A132" s="18" t="s">
        <v>262</v>
      </c>
      <c r="B132" s="9" t="s">
        <v>123</v>
      </c>
      <c r="C132" s="8" t="s">
        <v>4</v>
      </c>
      <c r="D132" s="10"/>
      <c r="E132" s="8"/>
      <c r="F132" s="8"/>
      <c r="G132" s="10">
        <f t="shared" si="52"/>
        <v>0</v>
      </c>
      <c r="H132" s="10">
        <f>D132+август!H132</f>
        <v>0</v>
      </c>
      <c r="I132" s="8">
        <f>E132+август!I132</f>
        <v>0</v>
      </c>
      <c r="J132" s="54">
        <f>F132+август!J132</f>
        <v>0</v>
      </c>
      <c r="K132" s="10">
        <f t="shared" si="53"/>
        <v>0</v>
      </c>
      <c r="L132" s="16"/>
      <c r="M132" s="220"/>
      <c r="N132" s="221"/>
      <c r="O132" s="122">
        <f t="shared" si="59"/>
        <v>0</v>
      </c>
      <c r="P132" s="123" t="e">
        <f t="shared" si="60"/>
        <v>#DIV/0!</v>
      </c>
      <c r="Q132" s="114"/>
      <c r="S132">
        <f t="shared" si="49"/>
        <v>0</v>
      </c>
      <c r="T132" s="44">
        <f>E132+апр!I132</f>
        <v>0</v>
      </c>
      <c r="U132" s="30">
        <f>F132+апр!J132</f>
        <v>0</v>
      </c>
    </row>
    <row r="133" spans="1:21" ht="54" customHeight="1">
      <c r="A133" s="18" t="s">
        <v>264</v>
      </c>
      <c r="B133" s="9" t="s">
        <v>124</v>
      </c>
      <c r="C133" s="8" t="s">
        <v>4</v>
      </c>
      <c r="D133" s="10"/>
      <c r="E133" s="8"/>
      <c r="F133" s="8"/>
      <c r="G133" s="10">
        <f t="shared" si="52"/>
        <v>0</v>
      </c>
      <c r="H133" s="10">
        <f>D133+август!H133</f>
        <v>0</v>
      </c>
      <c r="I133" s="8">
        <f>E133+август!I133</f>
        <v>0</v>
      </c>
      <c r="J133" s="54">
        <f>F133+август!J133</f>
        <v>0</v>
      </c>
      <c r="K133" s="10">
        <f t="shared" si="53"/>
        <v>0</v>
      </c>
      <c r="L133" s="16"/>
      <c r="M133" s="220"/>
      <c r="N133" s="221"/>
      <c r="O133" s="122">
        <f t="shared" si="59"/>
        <v>0</v>
      </c>
      <c r="P133" s="123" t="e">
        <f t="shared" si="60"/>
        <v>#DIV/0!</v>
      </c>
      <c r="Q133" s="114"/>
      <c r="S133">
        <f t="shared" si="49"/>
        <v>0</v>
      </c>
      <c r="T133" s="44">
        <f>E133+апр!I133</f>
        <v>0</v>
      </c>
      <c r="U133" s="30">
        <f>F133+апр!J133</f>
        <v>0</v>
      </c>
    </row>
    <row r="134" spans="1:21" ht="17.25" customHeight="1">
      <c r="A134" s="18" t="s">
        <v>265</v>
      </c>
      <c r="B134" s="26" t="s">
        <v>125</v>
      </c>
      <c r="C134" s="8" t="s">
        <v>4</v>
      </c>
      <c r="D134" s="10">
        <v>6.4749999999999996</v>
      </c>
      <c r="E134" s="8">
        <v>6.5</v>
      </c>
      <c r="F134" s="55">
        <v>37</v>
      </c>
      <c r="G134" s="10">
        <f t="shared" si="52"/>
        <v>30.5</v>
      </c>
      <c r="H134" s="10">
        <f>D134+август!H134</f>
        <v>58.275000000000006</v>
      </c>
      <c r="I134" s="8">
        <f>E134+август!I134</f>
        <v>58.5</v>
      </c>
      <c r="J134" s="54">
        <f>F134+август!J134</f>
        <v>76.731999999999999</v>
      </c>
      <c r="K134" s="10">
        <f t="shared" si="53"/>
        <v>18.231999999999999</v>
      </c>
      <c r="L134" s="16">
        <f t="shared" si="58"/>
        <v>31.165811965811962</v>
      </c>
      <c r="M134" s="220"/>
      <c r="N134" s="221"/>
      <c r="O134" s="122">
        <f t="shared" si="59"/>
        <v>18.456999999999994</v>
      </c>
      <c r="P134" s="123">
        <f t="shared" si="60"/>
        <v>31.67224367224366</v>
      </c>
      <c r="Q134" s="114"/>
      <c r="S134">
        <f t="shared" si="49"/>
        <v>32.375</v>
      </c>
      <c r="T134" s="44">
        <f>E134+апр!I134</f>
        <v>32.5</v>
      </c>
      <c r="U134" s="30">
        <f>F134+апр!J134</f>
        <v>37</v>
      </c>
    </row>
    <row r="135" spans="1:21" ht="17.25" customHeight="1">
      <c r="A135" s="18" t="s">
        <v>266</v>
      </c>
      <c r="B135" s="26" t="s">
        <v>232</v>
      </c>
      <c r="C135" s="8" t="s">
        <v>4</v>
      </c>
      <c r="D135" s="10"/>
      <c r="E135" s="8"/>
      <c r="F135" s="8"/>
      <c r="G135" s="10">
        <f t="shared" si="52"/>
        <v>0</v>
      </c>
      <c r="H135" s="10">
        <f>D135+август!H135</f>
        <v>0</v>
      </c>
      <c r="I135" s="8">
        <f>E135+август!I135</f>
        <v>0</v>
      </c>
      <c r="J135" s="54">
        <f>F135+август!J135</f>
        <v>0</v>
      </c>
      <c r="K135" s="10">
        <f t="shared" si="53"/>
        <v>0</v>
      </c>
      <c r="L135" s="16"/>
      <c r="M135" s="220"/>
      <c r="N135" s="221"/>
      <c r="O135" s="122">
        <f t="shared" si="59"/>
        <v>0</v>
      </c>
      <c r="P135" s="123" t="e">
        <f t="shared" si="60"/>
        <v>#DIV/0!</v>
      </c>
      <c r="Q135" s="114"/>
      <c r="S135">
        <f t="shared" si="49"/>
        <v>0</v>
      </c>
      <c r="T135" s="44">
        <f>E135+апр!I135</f>
        <v>0</v>
      </c>
      <c r="U135" s="30">
        <f>F135+апр!J135</f>
        <v>0</v>
      </c>
    </row>
    <row r="136" spans="1:21" ht="55.5" customHeight="1">
      <c r="A136" s="18"/>
      <c r="B136" s="26" t="s">
        <v>311</v>
      </c>
      <c r="C136" s="8" t="s">
        <v>4</v>
      </c>
      <c r="D136" s="10"/>
      <c r="E136" s="8">
        <v>79.167000000000002</v>
      </c>
      <c r="F136" s="54">
        <v>79.17</v>
      </c>
      <c r="G136" s="10">
        <f t="shared" si="52"/>
        <v>3.0000000000001137E-3</v>
      </c>
      <c r="H136" s="10">
        <f>D136+август!H136</f>
        <v>0</v>
      </c>
      <c r="I136" s="8">
        <f>E136+август!I136</f>
        <v>712.50300000000016</v>
      </c>
      <c r="J136" s="54">
        <f>F136+август!J136</f>
        <v>633.35599999999999</v>
      </c>
      <c r="K136" s="10">
        <f t="shared" si="53"/>
        <v>-79.147000000000162</v>
      </c>
      <c r="L136" s="16">
        <f t="shared" si="58"/>
        <v>-11.108304105386244</v>
      </c>
      <c r="M136" s="161"/>
      <c r="N136" s="162"/>
      <c r="O136" s="122">
        <f t="shared" si="59"/>
        <v>633.35599999999999</v>
      </c>
      <c r="P136" s="123" t="e">
        <f t="shared" si="60"/>
        <v>#DIV/0!</v>
      </c>
      <c r="Q136" s="114"/>
      <c r="S136">
        <f t="shared" si="49"/>
        <v>0</v>
      </c>
      <c r="T136" s="44">
        <f>E136+апр!I136</f>
        <v>395.83500000000004</v>
      </c>
      <c r="U136" s="30">
        <f>F136+апр!J136</f>
        <v>395.84600000000006</v>
      </c>
    </row>
    <row r="137" spans="1:21" ht="55.5" customHeight="1">
      <c r="A137" s="18"/>
      <c r="B137" s="26" t="s">
        <v>312</v>
      </c>
      <c r="C137" s="8" t="s">
        <v>4</v>
      </c>
      <c r="D137" s="10"/>
      <c r="E137" s="8">
        <v>83.332999999999998</v>
      </c>
      <c r="F137" s="54">
        <v>250</v>
      </c>
      <c r="G137" s="10">
        <f t="shared" si="52"/>
        <v>166.667</v>
      </c>
      <c r="H137" s="10">
        <f>D137+август!H137</f>
        <v>0</v>
      </c>
      <c r="I137" s="8">
        <f>E137+август!I137</f>
        <v>749.99699999999984</v>
      </c>
      <c r="J137" s="54">
        <f>F137+август!J137</f>
        <v>750</v>
      </c>
      <c r="K137" s="10">
        <f t="shared" si="53"/>
        <v>3.0000000001564331E-3</v>
      </c>
      <c r="L137" s="16">
        <f t="shared" si="58"/>
        <v>4.0000160002725795E-4</v>
      </c>
      <c r="M137" s="161"/>
      <c r="N137" s="162"/>
      <c r="O137" s="122">
        <f t="shared" si="59"/>
        <v>750</v>
      </c>
      <c r="P137" s="123" t="e">
        <f t="shared" si="60"/>
        <v>#DIV/0!</v>
      </c>
      <c r="Q137" s="114"/>
      <c r="R137" s="30">
        <f>F144-R144</f>
        <v>403.71199999999953</v>
      </c>
      <c r="S137">
        <f t="shared" ref="S137:S206" si="72">D137*5</f>
        <v>0</v>
      </c>
      <c r="T137" s="44">
        <f>E137+апр!I137</f>
        <v>416.66499999999996</v>
      </c>
      <c r="U137" s="30">
        <f>F137+апр!J137</f>
        <v>500</v>
      </c>
    </row>
    <row r="138" spans="1:21" ht="55.5" customHeight="1">
      <c r="A138" s="18"/>
      <c r="B138" s="26" t="s">
        <v>327</v>
      </c>
      <c r="C138" s="8" t="s">
        <v>4</v>
      </c>
      <c r="D138" s="10"/>
      <c r="E138" s="8"/>
      <c r="F138" s="54"/>
      <c r="G138" s="10"/>
      <c r="H138" s="10">
        <f>D138+август!H138</f>
        <v>0</v>
      </c>
      <c r="I138" s="8"/>
      <c r="J138" s="54">
        <f>F138+август!J138</f>
        <v>241.268</v>
      </c>
      <c r="K138" s="10"/>
      <c r="L138" s="16"/>
      <c r="M138" s="161"/>
      <c r="N138" s="162"/>
      <c r="O138" s="122">
        <f t="shared" si="59"/>
        <v>241.268</v>
      </c>
      <c r="P138" s="123" t="e">
        <f t="shared" si="60"/>
        <v>#DIV/0!</v>
      </c>
      <c r="Q138" s="114"/>
      <c r="R138" s="30"/>
      <c r="T138" s="44"/>
      <c r="U138" s="30"/>
    </row>
    <row r="139" spans="1:21" ht="55.5" customHeight="1">
      <c r="A139" s="18"/>
      <c r="B139" s="26" t="s">
        <v>328</v>
      </c>
      <c r="C139" s="8" t="s">
        <v>4</v>
      </c>
      <c r="D139" s="10"/>
      <c r="E139" s="8"/>
      <c r="F139" s="54"/>
      <c r="G139" s="10"/>
      <c r="H139" s="10">
        <f>D139+август!H139</f>
        <v>0</v>
      </c>
      <c r="I139" s="8"/>
      <c r="J139" s="54">
        <f>F139+август!J139</f>
        <v>27.808</v>
      </c>
      <c r="K139" s="10"/>
      <c r="L139" s="16"/>
      <c r="M139" s="161"/>
      <c r="N139" s="162"/>
      <c r="O139" s="122">
        <f t="shared" si="59"/>
        <v>27.808</v>
      </c>
      <c r="P139" s="123" t="e">
        <f t="shared" si="60"/>
        <v>#DIV/0!</v>
      </c>
      <c r="Q139" s="114"/>
      <c r="R139" s="30"/>
      <c r="T139" s="44"/>
      <c r="U139" s="30"/>
    </row>
    <row r="140" spans="1:21" ht="55.5" customHeight="1">
      <c r="A140" s="18"/>
      <c r="B140" s="26" t="s">
        <v>336</v>
      </c>
      <c r="C140" s="8" t="s">
        <v>4</v>
      </c>
      <c r="D140" s="10"/>
      <c r="E140" s="8"/>
      <c r="F140" s="54"/>
      <c r="G140" s="10"/>
      <c r="H140" s="10">
        <f>D140+август!H140</f>
        <v>0</v>
      </c>
      <c r="I140" s="8"/>
      <c r="J140" s="10"/>
      <c r="K140" s="10">
        <f t="shared" ref="K140" si="73">J140-I140</f>
        <v>0</v>
      </c>
      <c r="L140" s="16" t="e">
        <f t="shared" ref="L140:L143" si="74">K140/I140*100</f>
        <v>#DIV/0!</v>
      </c>
      <c r="M140" s="161"/>
      <c r="N140" s="162"/>
      <c r="O140" s="122">
        <f t="shared" si="59"/>
        <v>0</v>
      </c>
      <c r="P140" s="123" t="e">
        <f t="shared" si="60"/>
        <v>#DIV/0!</v>
      </c>
      <c r="Q140" s="114"/>
      <c r="R140" s="30"/>
      <c r="T140" s="44"/>
      <c r="U140" s="30"/>
    </row>
    <row r="141" spans="1:21" ht="83.25" customHeight="1">
      <c r="A141" s="18"/>
      <c r="B141" s="26" t="s">
        <v>337</v>
      </c>
      <c r="C141" s="8" t="s">
        <v>4</v>
      </c>
      <c r="D141" s="10"/>
      <c r="E141" s="8"/>
      <c r="F141" s="54"/>
      <c r="G141" s="10"/>
      <c r="H141" s="10">
        <f>D141+август!H141</f>
        <v>0</v>
      </c>
      <c r="I141" s="8"/>
      <c r="J141" s="10"/>
      <c r="K141" s="10">
        <f t="shared" ref="K141:K143" si="75">J141-I141</f>
        <v>0</v>
      </c>
      <c r="L141" s="16" t="e">
        <f t="shared" si="74"/>
        <v>#DIV/0!</v>
      </c>
      <c r="M141" s="161"/>
      <c r="N141" s="162"/>
      <c r="O141" s="122">
        <f t="shared" si="59"/>
        <v>0</v>
      </c>
      <c r="P141" s="123" t="e">
        <f t="shared" si="60"/>
        <v>#DIV/0!</v>
      </c>
      <c r="Q141" s="114"/>
      <c r="R141" s="30"/>
      <c r="T141" s="44"/>
      <c r="U141" s="30"/>
    </row>
    <row r="142" spans="1:21" ht="90.75" customHeight="1">
      <c r="A142" s="18"/>
      <c r="B142" s="26" t="s">
        <v>338</v>
      </c>
      <c r="C142" s="8" t="s">
        <v>4</v>
      </c>
      <c r="D142" s="10"/>
      <c r="E142" s="8"/>
      <c r="F142" s="54"/>
      <c r="G142" s="10"/>
      <c r="H142" s="10">
        <f>D142+август!H142</f>
        <v>0</v>
      </c>
      <c r="I142" s="8"/>
      <c r="J142" s="10"/>
      <c r="K142" s="10">
        <f t="shared" si="75"/>
        <v>0</v>
      </c>
      <c r="L142" s="16" t="e">
        <f t="shared" si="74"/>
        <v>#DIV/0!</v>
      </c>
      <c r="M142" s="161"/>
      <c r="N142" s="162"/>
      <c r="O142" s="122">
        <f t="shared" si="59"/>
        <v>0</v>
      </c>
      <c r="P142" s="123" t="e">
        <f t="shared" si="60"/>
        <v>#DIV/0!</v>
      </c>
      <c r="Q142" s="114"/>
      <c r="R142" s="30"/>
      <c r="T142" s="44"/>
      <c r="U142" s="30"/>
    </row>
    <row r="143" spans="1:21" ht="33.75" customHeight="1">
      <c r="A143" s="18"/>
      <c r="B143" s="26" t="s">
        <v>340</v>
      </c>
      <c r="C143" s="8" t="s">
        <v>4</v>
      </c>
      <c r="D143" s="10"/>
      <c r="E143" s="8"/>
      <c r="F143" s="54">
        <v>1657.973</v>
      </c>
      <c r="G143" s="10"/>
      <c r="H143" s="10"/>
      <c r="I143" s="8"/>
      <c r="J143" s="10"/>
      <c r="K143" s="10">
        <f t="shared" si="75"/>
        <v>0</v>
      </c>
      <c r="L143" s="16" t="e">
        <f t="shared" si="74"/>
        <v>#DIV/0!</v>
      </c>
      <c r="M143" s="171"/>
      <c r="N143" s="172"/>
      <c r="O143" s="122">
        <f t="shared" si="59"/>
        <v>0</v>
      </c>
      <c r="P143" s="123" t="e">
        <f t="shared" si="60"/>
        <v>#DIV/0!</v>
      </c>
      <c r="Q143" s="114"/>
      <c r="R143" s="30"/>
      <c r="T143" s="44"/>
      <c r="U143" s="30"/>
    </row>
    <row r="144" spans="1:21" ht="17.25" customHeight="1">
      <c r="A144" s="169" t="s">
        <v>126</v>
      </c>
      <c r="B144" s="6" t="s">
        <v>127</v>
      </c>
      <c r="C144" s="8" t="s">
        <v>4</v>
      </c>
      <c r="D144" s="7">
        <f t="shared" ref="D144:J144" si="76">D145</f>
        <v>3385.116</v>
      </c>
      <c r="E144" s="7">
        <f t="shared" si="76"/>
        <v>2989.2490000000003</v>
      </c>
      <c r="F144" s="7">
        <f t="shared" si="76"/>
        <v>2828.0949999999993</v>
      </c>
      <c r="G144" s="10">
        <f t="shared" si="52"/>
        <v>-161.15400000000091</v>
      </c>
      <c r="H144" s="7">
        <f t="shared" si="76"/>
        <v>38594.777173229209</v>
      </c>
      <c r="I144" s="7">
        <f t="shared" si="76"/>
        <v>25502.304780617673</v>
      </c>
      <c r="J144" s="7">
        <f t="shared" si="76"/>
        <v>23211.474000000002</v>
      </c>
      <c r="K144" s="10">
        <f t="shared" si="53"/>
        <v>-2290.8307806176708</v>
      </c>
      <c r="L144" s="16">
        <f t="shared" si="58"/>
        <v>-8.9828382192293219</v>
      </c>
      <c r="M144" s="220"/>
      <c r="N144" s="221"/>
      <c r="O144" s="122">
        <f t="shared" si="59"/>
        <v>-15383.303173229207</v>
      </c>
      <c r="P144" s="123">
        <f t="shared" si="60"/>
        <v>-39.858510140329678</v>
      </c>
      <c r="Q144" s="114"/>
      <c r="R144">
        <v>2424.3829999999998</v>
      </c>
      <c r="S144">
        <f t="shared" si="72"/>
        <v>16925.580000000002</v>
      </c>
      <c r="T144" s="44">
        <f>E144+апр!I138</f>
        <v>14946.245000000001</v>
      </c>
      <c r="U144" s="30">
        <f>F144+апр!J138</f>
        <v>12001.291000000001</v>
      </c>
    </row>
    <row r="145" spans="1:21" ht="17.25" customHeight="1">
      <c r="A145" s="169">
        <v>6</v>
      </c>
      <c r="B145" s="6" t="s">
        <v>128</v>
      </c>
      <c r="C145" s="169" t="s">
        <v>4</v>
      </c>
      <c r="D145" s="7">
        <f>D146+D151+D152+D153+D154+D155+D156+D157+D160+D162+D178+D182+D183+D185+D190+D189+D194</f>
        <v>3385.116</v>
      </c>
      <c r="E145" s="7">
        <f t="shared" ref="E145:F145" si="77">E146+E151+E152+E153+E154+E155+E156+E157+E160+E162+E178+E182+E183+E185+E190+E189+E194</f>
        <v>2989.2490000000003</v>
      </c>
      <c r="F145" s="7">
        <f t="shared" si="77"/>
        <v>2828.0949999999993</v>
      </c>
      <c r="G145" s="10">
        <f>F145-E145</f>
        <v>-161.15400000000091</v>
      </c>
      <c r="H145" s="7">
        <f>H146+H151+H152+H153+H154+H155+H156+H157+H160+H162+H178+H182+H183+H185+H190+H189+H194</f>
        <v>38594.777173229209</v>
      </c>
      <c r="I145" s="7">
        <f t="shared" ref="I145:J145" si="78">I146+I151+I152+I153+I154+I155+I156+I157+I160+I162+I178+I182+I183+I185+I190+I189+I194</f>
        <v>25502.304780617673</v>
      </c>
      <c r="J145" s="89">
        <f t="shared" si="78"/>
        <v>23211.474000000002</v>
      </c>
      <c r="K145" s="10">
        <f t="shared" si="53"/>
        <v>-2290.8307806176708</v>
      </c>
      <c r="L145" s="16">
        <f t="shared" si="58"/>
        <v>-8.9828382192293219</v>
      </c>
      <c r="M145" s="220"/>
      <c r="N145" s="221"/>
      <c r="O145" s="122">
        <f t="shared" si="59"/>
        <v>-15383.303173229207</v>
      </c>
      <c r="P145" s="123">
        <f t="shared" si="60"/>
        <v>-39.858510140329678</v>
      </c>
      <c r="Q145" s="114"/>
      <c r="S145">
        <f t="shared" si="72"/>
        <v>16925.580000000002</v>
      </c>
      <c r="T145" s="44">
        <f>E145+апр!I139</f>
        <v>14946.245000000001</v>
      </c>
      <c r="U145" s="30">
        <f>F145+апр!J139</f>
        <v>12001.291000000001</v>
      </c>
    </row>
    <row r="146" spans="1:21" ht="17.25" customHeight="1">
      <c r="A146" s="169" t="s">
        <v>129</v>
      </c>
      <c r="B146" s="6" t="s">
        <v>130</v>
      </c>
      <c r="C146" s="169" t="s">
        <v>4</v>
      </c>
      <c r="D146" s="7">
        <f t="shared" ref="D146:F146" si="79">D147+D148</f>
        <v>97.608999999999995</v>
      </c>
      <c r="E146" s="7">
        <f t="shared" si="79"/>
        <v>97.582999999999998</v>
      </c>
      <c r="F146" s="7">
        <f t="shared" si="79"/>
        <v>76.066000000000003</v>
      </c>
      <c r="G146" s="10">
        <f t="shared" ref="G146:G210" si="80">F146-E146</f>
        <v>-21.516999999999996</v>
      </c>
      <c r="H146" s="7">
        <f t="shared" ref="H146:J146" si="81">H147+H148</f>
        <v>622.74750656254355</v>
      </c>
      <c r="I146" s="7">
        <f t="shared" si="81"/>
        <v>622.38578061767839</v>
      </c>
      <c r="J146" s="7">
        <f t="shared" si="81"/>
        <v>602.38200000000006</v>
      </c>
      <c r="K146" s="10">
        <f t="shared" ref="K146:K210" si="82">J146-I146</f>
        <v>-20.003780617678331</v>
      </c>
      <c r="L146" s="16">
        <f t="shared" si="58"/>
        <v>-3.2140484632900588</v>
      </c>
      <c r="M146" s="220"/>
      <c r="N146" s="221"/>
      <c r="O146" s="122">
        <f t="shared" si="59"/>
        <v>-20.365506562543487</v>
      </c>
      <c r="P146" s="123">
        <f t="shared" si="60"/>
        <v>-3.2702670581464859</v>
      </c>
      <c r="Q146" s="114"/>
      <c r="S146">
        <f t="shared" si="72"/>
        <v>488.04499999999996</v>
      </c>
      <c r="T146" s="44">
        <f>E146+апр!I140</f>
        <v>487.91499999999996</v>
      </c>
      <c r="U146" s="30">
        <f>F146+апр!J140</f>
        <v>369.06400000000008</v>
      </c>
    </row>
    <row r="147" spans="1:21" ht="37.5">
      <c r="A147" s="8" t="s">
        <v>131</v>
      </c>
      <c r="B147" s="9" t="s">
        <v>132</v>
      </c>
      <c r="C147" s="8" t="s">
        <v>4</v>
      </c>
      <c r="D147" s="10">
        <v>42.552999999999997</v>
      </c>
      <c r="E147" s="10">
        <v>42.5</v>
      </c>
      <c r="F147" s="10">
        <v>42.49</v>
      </c>
      <c r="G147" s="10">
        <f t="shared" si="80"/>
        <v>-9.9999999999980105E-3</v>
      </c>
      <c r="H147" s="10">
        <f>D147+август!H146</f>
        <v>382.97699999999998</v>
      </c>
      <c r="I147" s="8">
        <f>E147+август!I146</f>
        <v>382.5</v>
      </c>
      <c r="J147" s="54">
        <f>F147+август!J146</f>
        <v>366.95400000000006</v>
      </c>
      <c r="K147" s="10">
        <f t="shared" si="82"/>
        <v>-15.545999999999935</v>
      </c>
      <c r="L147" s="16">
        <f t="shared" si="58"/>
        <v>-4.0643137254901793</v>
      </c>
      <c r="M147" s="220"/>
      <c r="N147" s="221"/>
      <c r="O147" s="122">
        <f t="shared" si="59"/>
        <v>-16.022999999999911</v>
      </c>
      <c r="P147" s="123">
        <f t="shared" si="60"/>
        <v>-4.1838021604430322</v>
      </c>
      <c r="Q147" s="114"/>
      <c r="S147">
        <f t="shared" si="72"/>
        <v>212.76499999999999</v>
      </c>
      <c r="T147" s="44">
        <f>E147+апр!I141</f>
        <v>212.5</v>
      </c>
      <c r="U147" s="30">
        <f>F147+апр!J141</f>
        <v>199.53500000000003</v>
      </c>
    </row>
    <row r="148" spans="1:21" ht="17.25" customHeight="1">
      <c r="A148" s="8" t="s">
        <v>133</v>
      </c>
      <c r="B148" s="9" t="s">
        <v>63</v>
      </c>
      <c r="C148" s="8" t="s">
        <v>4</v>
      </c>
      <c r="D148" s="10">
        <v>55.055999999999997</v>
      </c>
      <c r="E148" s="8">
        <v>55.082999999999998</v>
      </c>
      <c r="F148" s="8">
        <v>33.576000000000001</v>
      </c>
      <c r="G148" s="10">
        <f t="shared" si="80"/>
        <v>-21.506999999999998</v>
      </c>
      <c r="H148" s="10">
        <f>D148+август!H147</f>
        <v>239.77050656254357</v>
      </c>
      <c r="I148" s="8">
        <f>E148+август!I147</f>
        <v>239.88578061767839</v>
      </c>
      <c r="J148" s="54">
        <f>F148+август!J147</f>
        <v>235.42799999999997</v>
      </c>
      <c r="K148" s="10">
        <f t="shared" si="82"/>
        <v>-4.4577806176784236</v>
      </c>
      <c r="L148" s="16">
        <f t="shared" si="58"/>
        <v>-1.8582929785167548</v>
      </c>
      <c r="M148" s="220"/>
      <c r="N148" s="221"/>
      <c r="O148" s="122">
        <f t="shared" si="59"/>
        <v>-4.3425065625436048</v>
      </c>
      <c r="P148" s="123">
        <f t="shared" si="60"/>
        <v>-1.811109558385519</v>
      </c>
      <c r="Q148" s="114"/>
      <c r="S148">
        <f t="shared" si="72"/>
        <v>275.27999999999997</v>
      </c>
      <c r="T148" s="44">
        <f>E148+апр!I142</f>
        <v>275.41499999999996</v>
      </c>
      <c r="U148" s="30">
        <f>F148+апр!J142</f>
        <v>169.529</v>
      </c>
    </row>
    <row r="149" spans="1:21" s="144" customFormat="1" ht="17.25" customHeight="1">
      <c r="A149" s="55"/>
      <c r="B149" s="136" t="s">
        <v>68</v>
      </c>
      <c r="C149" s="137" t="s">
        <v>66</v>
      </c>
      <c r="D149" s="138">
        <v>2816.6669999999999</v>
      </c>
      <c r="E149" s="139">
        <v>2817</v>
      </c>
      <c r="F149" s="139"/>
      <c r="G149" s="54">
        <f t="shared" si="80"/>
        <v>-2817</v>
      </c>
      <c r="H149" s="10">
        <f>D149+август!H148</f>
        <v>18021.790999999997</v>
      </c>
      <c r="I149" s="8">
        <f>E149+август!I148</f>
        <v>18350.084999999999</v>
      </c>
      <c r="J149" s="54">
        <f>F149+август!J148</f>
        <v>552</v>
      </c>
      <c r="K149" s="54">
        <f t="shared" si="82"/>
        <v>-17798.084999999999</v>
      </c>
      <c r="L149" s="140"/>
      <c r="M149" s="259"/>
      <c r="N149" s="260"/>
      <c r="O149" s="141">
        <f t="shared" si="59"/>
        <v>-17469.790999999997</v>
      </c>
      <c r="P149" s="142">
        <f t="shared" si="60"/>
        <v>-96.937041385065442</v>
      </c>
      <c r="Q149" s="143"/>
      <c r="S149" s="144">
        <f t="shared" si="72"/>
        <v>14083.334999999999</v>
      </c>
      <c r="T149" s="145">
        <f>E149+апр!I143</f>
        <v>2817</v>
      </c>
      <c r="U149" s="146">
        <f>F149+апр!J143</f>
        <v>552</v>
      </c>
    </row>
    <row r="150" spans="1:21" ht="17.25" customHeight="1">
      <c r="A150" s="8"/>
      <c r="B150" s="12" t="s">
        <v>15</v>
      </c>
      <c r="C150" s="13" t="s">
        <v>16</v>
      </c>
      <c r="D150" s="16">
        <f t="shared" ref="D150:F150" si="83">D148/D149*1000</f>
        <v>19.546506562543602</v>
      </c>
      <c r="E150" s="16">
        <f t="shared" si="83"/>
        <v>19.553780617678381</v>
      </c>
      <c r="F150" s="16" t="e">
        <f t="shared" si="83"/>
        <v>#DIV/0!</v>
      </c>
      <c r="G150" s="10" t="e">
        <f t="shared" si="80"/>
        <v>#DIV/0!</v>
      </c>
      <c r="H150" s="16">
        <f t="shared" ref="H150:I150" si="84">H148/H149*1000</f>
        <v>13.30447715005371</v>
      </c>
      <c r="I150" s="16">
        <f t="shared" si="84"/>
        <v>13.072734029170896</v>
      </c>
      <c r="J150" s="16">
        <f>J148/J149*1000</f>
        <v>426.49999999999994</v>
      </c>
      <c r="K150" s="10">
        <f t="shared" si="82"/>
        <v>413.42726597082907</v>
      </c>
      <c r="L150" s="16"/>
      <c r="M150" s="220"/>
      <c r="N150" s="221"/>
      <c r="O150" s="122">
        <f t="shared" si="59"/>
        <v>413.19552284994626</v>
      </c>
      <c r="P150" s="123">
        <f t="shared" si="60"/>
        <v>3105.6877935881771</v>
      </c>
      <c r="Q150" s="114"/>
      <c r="S150">
        <f t="shared" si="72"/>
        <v>97.732532812718006</v>
      </c>
      <c r="T150" s="44">
        <f>E150+апр!I144</f>
        <v>19.553780617678381</v>
      </c>
      <c r="U150" s="30" t="e">
        <f>F150+апр!J144</f>
        <v>#DIV/0!</v>
      </c>
    </row>
    <row r="151" spans="1:21" ht="32.25" customHeight="1">
      <c r="A151" s="8" t="s">
        <v>134</v>
      </c>
      <c r="B151" s="9" t="s">
        <v>135</v>
      </c>
      <c r="C151" s="8" t="s">
        <v>4</v>
      </c>
      <c r="D151" s="10">
        <v>1914.3579999999999</v>
      </c>
      <c r="E151" s="8">
        <v>1416.4169999999999</v>
      </c>
      <c r="F151" s="54">
        <v>2202.9459999999999</v>
      </c>
      <c r="G151" s="10">
        <f t="shared" si="80"/>
        <v>786.529</v>
      </c>
      <c r="H151" s="10">
        <f>D151+август!H150</f>
        <v>17229.221999999998</v>
      </c>
      <c r="I151" s="8">
        <f>E151+август!I150</f>
        <v>12747.752999999997</v>
      </c>
      <c r="J151" s="54">
        <f>F151+август!J150</f>
        <v>12867.378000000001</v>
      </c>
      <c r="K151" s="10">
        <f t="shared" si="82"/>
        <v>119.62500000000364</v>
      </c>
      <c r="L151" s="16">
        <f>K151/I151*100</f>
        <v>0.93840067343635913</v>
      </c>
      <c r="M151" s="227"/>
      <c r="N151" s="228"/>
      <c r="O151" s="122">
        <f>J151-H151</f>
        <v>-4361.8439999999973</v>
      </c>
      <c r="P151" s="123">
        <f>O151/H151*100</f>
        <v>-25.316546504537452</v>
      </c>
      <c r="Q151" s="116"/>
      <c r="S151">
        <f t="shared" si="72"/>
        <v>9571.7899999999991</v>
      </c>
      <c r="T151" s="44">
        <f>E151+апр!I145</f>
        <v>7082.0849999999991</v>
      </c>
      <c r="U151" s="30">
        <f>F151+апр!J145</f>
        <v>7620.9949999999999</v>
      </c>
    </row>
    <row r="152" spans="1:21" ht="17.25" customHeight="1">
      <c r="A152" s="8" t="s">
        <v>136</v>
      </c>
      <c r="B152" s="9" t="s">
        <v>77</v>
      </c>
      <c r="C152" s="8" t="s">
        <v>4</v>
      </c>
      <c r="D152" s="10">
        <v>105.29</v>
      </c>
      <c r="E152" s="10">
        <v>76.5</v>
      </c>
      <c r="F152" s="55">
        <v>126.682</v>
      </c>
      <c r="G152" s="10">
        <f t="shared" si="80"/>
        <v>50.182000000000002</v>
      </c>
      <c r="H152" s="10">
        <f>D152+август!H151</f>
        <v>421.16</v>
      </c>
      <c r="I152" s="8">
        <f>E152+август!I151</f>
        <v>688.5</v>
      </c>
      <c r="J152" s="54">
        <f>F152+август!J151</f>
        <v>759.76400000000001</v>
      </c>
      <c r="K152" s="10">
        <f t="shared" si="82"/>
        <v>71.26400000000001</v>
      </c>
      <c r="L152" s="16">
        <f t="shared" si="58"/>
        <v>10.350617283950619</v>
      </c>
      <c r="M152" s="227"/>
      <c r="N152" s="228"/>
      <c r="O152" s="122">
        <f t="shared" ref="O152:O216" si="85">J152-H152</f>
        <v>338.60399999999998</v>
      </c>
      <c r="P152" s="123">
        <f t="shared" ref="P152:P216" si="86">O152/H152*100</f>
        <v>80.397948523126601</v>
      </c>
      <c r="Q152" s="116"/>
      <c r="S152">
        <f t="shared" si="72"/>
        <v>526.45000000000005</v>
      </c>
      <c r="T152" s="44">
        <f>E152+апр!I146</f>
        <v>382.5</v>
      </c>
      <c r="U152" s="30">
        <f>F152+апр!J146</f>
        <v>449.101</v>
      </c>
    </row>
    <row r="153" spans="1:21" ht="17.25" customHeight="1">
      <c r="A153" s="8"/>
      <c r="B153" s="9" t="s">
        <v>307</v>
      </c>
      <c r="C153" s="8" t="s">
        <v>4</v>
      </c>
      <c r="D153" s="10">
        <v>84.231999999999999</v>
      </c>
      <c r="E153" s="10">
        <v>63.75</v>
      </c>
      <c r="F153" s="55">
        <v>62.116</v>
      </c>
      <c r="G153" s="10">
        <f t="shared" si="80"/>
        <v>-1.6340000000000003</v>
      </c>
      <c r="H153" s="10">
        <f>D153+август!H152</f>
        <v>336.928</v>
      </c>
      <c r="I153" s="8">
        <f>E153+август!I152</f>
        <v>573.75</v>
      </c>
      <c r="J153" s="54">
        <f>F153+август!J152</f>
        <v>357.06799999999993</v>
      </c>
      <c r="K153" s="10">
        <f t="shared" si="82"/>
        <v>-216.68200000000007</v>
      </c>
      <c r="L153" s="16">
        <f t="shared" si="58"/>
        <v>-37.765925925925934</v>
      </c>
      <c r="M153" s="166"/>
      <c r="N153" s="167"/>
      <c r="O153" s="122">
        <f t="shared" si="85"/>
        <v>20.13999999999993</v>
      </c>
      <c r="P153" s="123">
        <f t="shared" si="86"/>
        <v>5.9775382277519027</v>
      </c>
      <c r="Q153" s="116"/>
      <c r="S153">
        <f t="shared" si="72"/>
        <v>421.15999999999997</v>
      </c>
      <c r="T153" s="44">
        <f>E153+апр!I147</f>
        <v>318.75</v>
      </c>
      <c r="U153" s="30">
        <f>F153+апр!J147</f>
        <v>213.60999999999996</v>
      </c>
    </row>
    <row r="154" spans="1:21" ht="17.25" customHeight="1">
      <c r="A154" s="8"/>
      <c r="B154" s="9" t="s">
        <v>310</v>
      </c>
      <c r="C154" s="8" t="s">
        <v>4</v>
      </c>
      <c r="D154" s="10"/>
      <c r="E154" s="10">
        <v>21.25</v>
      </c>
      <c r="F154" s="55">
        <v>31.167000000000002</v>
      </c>
      <c r="G154" s="10">
        <f t="shared" si="80"/>
        <v>9.9170000000000016</v>
      </c>
      <c r="H154" s="10">
        <f>D154+август!H153</f>
        <v>387.9</v>
      </c>
      <c r="I154" s="8">
        <f>E154+август!I153</f>
        <v>170</v>
      </c>
      <c r="J154" s="54">
        <f>F154+август!J153</f>
        <v>169.31</v>
      </c>
      <c r="K154" s="10">
        <f t="shared" si="82"/>
        <v>-0.68999999999999773</v>
      </c>
      <c r="L154" s="16">
        <f t="shared" si="58"/>
        <v>-0.40588235294117508</v>
      </c>
      <c r="M154" s="166"/>
      <c r="N154" s="167"/>
      <c r="O154" s="122">
        <f t="shared" si="85"/>
        <v>-218.58999999999997</v>
      </c>
      <c r="P154" s="123">
        <f t="shared" si="86"/>
        <v>-56.352152616653775</v>
      </c>
      <c r="Q154" s="116"/>
      <c r="S154">
        <f t="shared" si="72"/>
        <v>0</v>
      </c>
      <c r="T154" s="44">
        <f>E154+апр!I148</f>
        <v>106.25</v>
      </c>
      <c r="U154" s="30">
        <f>F154+апр!J148</f>
        <v>100.5</v>
      </c>
    </row>
    <row r="155" spans="1:21" ht="17.25" customHeight="1">
      <c r="A155" s="8"/>
      <c r="B155" s="9" t="s">
        <v>315</v>
      </c>
      <c r="C155" s="8" t="s">
        <v>4</v>
      </c>
      <c r="D155" s="10"/>
      <c r="E155" s="10"/>
      <c r="F155" s="10"/>
      <c r="G155" s="10">
        <f t="shared" si="80"/>
        <v>0</v>
      </c>
      <c r="H155" s="10">
        <f>D155+август!H154</f>
        <v>1195.7449999999999</v>
      </c>
      <c r="I155" s="8">
        <f>E155+август!I154</f>
        <v>0</v>
      </c>
      <c r="J155" s="54">
        <f>F155+август!J154</f>
        <v>211.14000000000004</v>
      </c>
      <c r="K155" s="10"/>
      <c r="L155" s="16"/>
      <c r="M155" s="166"/>
      <c r="N155" s="167"/>
      <c r="O155" s="122">
        <f t="shared" si="85"/>
        <v>-984.60499999999979</v>
      </c>
      <c r="P155" s="123">
        <f t="shared" si="86"/>
        <v>-82.342389054522485</v>
      </c>
      <c r="Q155" s="116"/>
      <c r="S155">
        <f t="shared" si="72"/>
        <v>0</v>
      </c>
      <c r="T155" s="44">
        <f>E155+апр!I149</f>
        <v>0</v>
      </c>
      <c r="U155" s="30">
        <f>F155+апр!J149</f>
        <v>211.14000000000004</v>
      </c>
    </row>
    <row r="156" spans="1:21" ht="17.25" customHeight="1">
      <c r="A156" s="8" t="s">
        <v>137</v>
      </c>
      <c r="B156" s="9" t="s">
        <v>138</v>
      </c>
      <c r="C156" s="8" t="s">
        <v>4</v>
      </c>
      <c r="D156" s="10">
        <v>77.58</v>
      </c>
      <c r="E156" s="8">
        <v>77.582999999999998</v>
      </c>
      <c r="F156" s="55">
        <v>35.680999999999997</v>
      </c>
      <c r="G156" s="10">
        <f t="shared" si="80"/>
        <v>-41.902000000000001</v>
      </c>
      <c r="H156" s="10">
        <f>D156+август!H155</f>
        <v>354.10999999999996</v>
      </c>
      <c r="I156" s="8">
        <f>E156+август!I155</f>
        <v>698.24699999999984</v>
      </c>
      <c r="J156" s="54">
        <f>F156+август!J155</f>
        <v>951.85199999999998</v>
      </c>
      <c r="K156" s="10">
        <f t="shared" si="82"/>
        <v>253.60500000000013</v>
      </c>
      <c r="L156" s="16">
        <f t="shared" si="58"/>
        <v>36.320241977409168</v>
      </c>
      <c r="M156" s="227" t="s">
        <v>301</v>
      </c>
      <c r="N156" s="228"/>
      <c r="O156" s="122">
        <f t="shared" si="85"/>
        <v>597.74199999999996</v>
      </c>
      <c r="P156" s="123">
        <f t="shared" si="86"/>
        <v>168.80121995989947</v>
      </c>
      <c r="Q156" s="116"/>
      <c r="S156">
        <f t="shared" si="72"/>
        <v>387.9</v>
      </c>
      <c r="T156" s="44">
        <f>E156+апр!I150</f>
        <v>387.91499999999996</v>
      </c>
      <c r="U156" s="30">
        <f>F156+апр!J150</f>
        <v>597.78600000000006</v>
      </c>
    </row>
    <row r="157" spans="1:21" ht="17.25" customHeight="1">
      <c r="A157" s="169" t="s">
        <v>139</v>
      </c>
      <c r="B157" s="6" t="s">
        <v>140</v>
      </c>
      <c r="C157" s="169" t="s">
        <v>4</v>
      </c>
      <c r="D157" s="7">
        <f t="shared" ref="D157:F157" si="87">D158+D159</f>
        <v>239.149</v>
      </c>
      <c r="E157" s="169">
        <v>47.832999999999998</v>
      </c>
      <c r="F157" s="7">
        <f t="shared" si="87"/>
        <v>63.497</v>
      </c>
      <c r="G157" s="10">
        <f t="shared" si="80"/>
        <v>15.664000000000001</v>
      </c>
      <c r="H157" s="7">
        <f t="shared" ref="H157" si="88">H158+H159</f>
        <v>1095.1559999999999</v>
      </c>
      <c r="I157" s="8">
        <f>E157+август!I156</f>
        <v>430.49699999999996</v>
      </c>
      <c r="J157" s="7">
        <f t="shared" ref="J157" si="89">J158+J159</f>
        <v>491.91199999999992</v>
      </c>
      <c r="K157" s="10">
        <f t="shared" si="82"/>
        <v>61.414999999999964</v>
      </c>
      <c r="L157" s="16">
        <f t="shared" si="58"/>
        <v>14.266069217671662</v>
      </c>
      <c r="M157" s="220"/>
      <c r="N157" s="221"/>
      <c r="O157" s="122">
        <f t="shared" si="85"/>
        <v>-603.24400000000003</v>
      </c>
      <c r="P157" s="123">
        <f t="shared" si="86"/>
        <v>-55.08292882475191</v>
      </c>
      <c r="Q157" s="114"/>
      <c r="S157">
        <f t="shared" si="72"/>
        <v>1195.7449999999999</v>
      </c>
      <c r="T157" s="44">
        <f>E157+апр!I151</f>
        <v>239.16499999999999</v>
      </c>
      <c r="U157" s="30">
        <f>F157+апр!J151</f>
        <v>241.428</v>
      </c>
    </row>
    <row r="158" spans="1:21" ht="17.25" customHeight="1">
      <c r="A158" s="8" t="s">
        <v>141</v>
      </c>
      <c r="B158" s="9" t="s">
        <v>81</v>
      </c>
      <c r="C158" s="8" t="s">
        <v>4</v>
      </c>
      <c r="D158" s="10">
        <v>8.7579999999999991</v>
      </c>
      <c r="E158" s="8"/>
      <c r="F158" s="55">
        <v>51.521999999999998</v>
      </c>
      <c r="G158" s="10">
        <f t="shared" si="80"/>
        <v>51.521999999999998</v>
      </c>
      <c r="H158" s="10">
        <f>D158+август!H157</f>
        <v>104.31199999999998</v>
      </c>
      <c r="I158" s="8"/>
      <c r="J158" s="54">
        <f>F158+август!J157</f>
        <v>384.13599999999997</v>
      </c>
      <c r="K158" s="10">
        <f t="shared" si="82"/>
        <v>384.13599999999997</v>
      </c>
      <c r="L158" s="16"/>
      <c r="M158" s="220"/>
      <c r="N158" s="221"/>
      <c r="O158" s="122">
        <f t="shared" si="85"/>
        <v>279.82399999999996</v>
      </c>
      <c r="P158" s="123">
        <f t="shared" si="86"/>
        <v>268.25676815706726</v>
      </c>
      <c r="Q158" s="114"/>
      <c r="S158">
        <f t="shared" si="72"/>
        <v>43.789999999999992</v>
      </c>
      <c r="T158" s="44">
        <f>E158+апр!I152</f>
        <v>0</v>
      </c>
      <c r="U158" s="30">
        <f>F158+апр!J152</f>
        <v>181.55199999999999</v>
      </c>
    </row>
    <row r="159" spans="1:21" ht="17.25" customHeight="1">
      <c r="A159" s="8" t="s">
        <v>142</v>
      </c>
      <c r="B159" s="9" t="s">
        <v>143</v>
      </c>
      <c r="C159" s="8"/>
      <c r="D159" s="10">
        <v>230.39099999999999</v>
      </c>
      <c r="E159" s="8"/>
      <c r="F159" s="55">
        <v>11.975</v>
      </c>
      <c r="G159" s="10">
        <f t="shared" si="80"/>
        <v>11.975</v>
      </c>
      <c r="H159" s="10">
        <f>D159+август!H158</f>
        <v>990.84399999999994</v>
      </c>
      <c r="I159" s="8"/>
      <c r="J159" s="54">
        <f>F159+август!J158</f>
        <v>107.77599999999998</v>
      </c>
      <c r="K159" s="10">
        <f t="shared" si="82"/>
        <v>107.77599999999998</v>
      </c>
      <c r="L159" s="16"/>
      <c r="M159" s="220"/>
      <c r="N159" s="221"/>
      <c r="O159" s="122">
        <f t="shared" si="85"/>
        <v>-883.06799999999998</v>
      </c>
      <c r="P159" s="123">
        <f t="shared" si="86"/>
        <v>-89.122808434021906</v>
      </c>
      <c r="Q159" s="114"/>
      <c r="S159">
        <f t="shared" si="72"/>
        <v>1151.9549999999999</v>
      </c>
      <c r="T159" s="44">
        <f>E159+апр!I153</f>
        <v>0</v>
      </c>
      <c r="U159" s="30">
        <f>F159+апр!J153</f>
        <v>59.876000000000005</v>
      </c>
    </row>
    <row r="160" spans="1:21" ht="75.75" customHeight="1">
      <c r="A160" s="169" t="s">
        <v>144</v>
      </c>
      <c r="B160" s="6" t="s">
        <v>145</v>
      </c>
      <c r="C160" s="169" t="s">
        <v>4</v>
      </c>
      <c r="D160" s="7">
        <f t="shared" ref="D160:J160" si="90">D161</f>
        <v>13.856</v>
      </c>
      <c r="E160" s="7">
        <f t="shared" si="90"/>
        <v>13.833</v>
      </c>
      <c r="F160" s="7">
        <f t="shared" si="90"/>
        <v>26.170999999999999</v>
      </c>
      <c r="G160" s="10">
        <f t="shared" si="80"/>
        <v>12.337999999999999</v>
      </c>
      <c r="H160" s="7">
        <f t="shared" si="90"/>
        <v>300.56399999999996</v>
      </c>
      <c r="I160" s="7">
        <f t="shared" si="90"/>
        <v>124.497</v>
      </c>
      <c r="J160" s="7">
        <f t="shared" si="90"/>
        <v>189.50299999999999</v>
      </c>
      <c r="K160" s="10">
        <f t="shared" si="82"/>
        <v>65.005999999999986</v>
      </c>
      <c r="L160" s="16">
        <f t="shared" ref="L160:L209" si="91">K160/I160*100</f>
        <v>52.214912809143989</v>
      </c>
      <c r="M160" s="220"/>
      <c r="N160" s="221"/>
      <c r="O160" s="122">
        <f t="shared" si="85"/>
        <v>-111.06099999999998</v>
      </c>
      <c r="P160" s="123">
        <f t="shared" si="86"/>
        <v>-36.950865705806414</v>
      </c>
      <c r="Q160" s="114"/>
      <c r="S160">
        <f t="shared" si="72"/>
        <v>69.28</v>
      </c>
      <c r="T160" s="44">
        <f>E160+апр!I154</f>
        <v>69.165000000000006</v>
      </c>
      <c r="U160" s="30">
        <f>F160+апр!J154</f>
        <v>161.923</v>
      </c>
    </row>
    <row r="161" spans="1:21" ht="17.25" customHeight="1">
      <c r="A161" s="8" t="s">
        <v>146</v>
      </c>
      <c r="B161" s="9" t="s">
        <v>147</v>
      </c>
      <c r="C161" s="8" t="s">
        <v>4</v>
      </c>
      <c r="D161" s="10">
        <v>13.856</v>
      </c>
      <c r="E161" s="8">
        <v>13.833</v>
      </c>
      <c r="F161" s="55">
        <f>8.634+17.537</f>
        <v>26.170999999999999</v>
      </c>
      <c r="G161" s="10">
        <f t="shared" si="80"/>
        <v>12.337999999999999</v>
      </c>
      <c r="H161" s="10">
        <f>D161+август!H160</f>
        <v>300.56399999999996</v>
      </c>
      <c r="I161" s="8">
        <f>E161+август!I160</f>
        <v>124.497</v>
      </c>
      <c r="J161" s="54">
        <f>F161+август!J160</f>
        <v>189.50299999999999</v>
      </c>
      <c r="K161" s="10">
        <f t="shared" si="82"/>
        <v>65.005999999999986</v>
      </c>
      <c r="L161" s="16">
        <f t="shared" si="91"/>
        <v>52.214912809143989</v>
      </c>
      <c r="M161" s="220"/>
      <c r="N161" s="221"/>
      <c r="O161" s="122">
        <f t="shared" si="85"/>
        <v>-111.06099999999998</v>
      </c>
      <c r="P161" s="123">
        <f t="shared" si="86"/>
        <v>-36.950865705806414</v>
      </c>
      <c r="Q161" s="114"/>
      <c r="S161">
        <f t="shared" si="72"/>
        <v>69.28</v>
      </c>
      <c r="T161" s="44">
        <f>E161+апр!I155</f>
        <v>69.165000000000006</v>
      </c>
      <c r="U161" s="30">
        <f>F161+апр!J155</f>
        <v>161.923</v>
      </c>
    </row>
    <row r="162" spans="1:21" ht="18" customHeight="1">
      <c r="A162" s="169" t="s">
        <v>148</v>
      </c>
      <c r="B162" s="6" t="s">
        <v>149</v>
      </c>
      <c r="C162" s="169" t="s">
        <v>4</v>
      </c>
      <c r="D162" s="27">
        <f t="shared" ref="D162" si="92">D163+D166+D169+D172+D175</f>
        <v>71.188999999999993</v>
      </c>
      <c r="E162" s="169">
        <v>72.417000000000002</v>
      </c>
      <c r="F162" s="27">
        <f>F163+F166+F169+F172+F175</f>
        <v>13.732999999999999</v>
      </c>
      <c r="G162" s="10">
        <f t="shared" si="80"/>
        <v>-58.684000000000005</v>
      </c>
      <c r="H162" s="27">
        <f>H163+H166+H169+H172+H175</f>
        <v>3060.6876666666667</v>
      </c>
      <c r="I162" s="8">
        <f>E162+август!I161</f>
        <v>651.75300000000016</v>
      </c>
      <c r="J162" s="27">
        <f>J163+J166+J169+J172+J175</f>
        <v>608.11199999999997</v>
      </c>
      <c r="K162" s="10">
        <f t="shared" si="82"/>
        <v>-43.64100000000019</v>
      </c>
      <c r="L162" s="16">
        <f t="shared" si="91"/>
        <v>-6.6959415606832922</v>
      </c>
      <c r="M162" s="220"/>
      <c r="N162" s="221"/>
      <c r="O162" s="122">
        <f t="shared" si="85"/>
        <v>-2452.5756666666666</v>
      </c>
      <c r="P162" s="123">
        <f t="shared" si="86"/>
        <v>-80.131523819864881</v>
      </c>
      <c r="Q162" s="114"/>
      <c r="S162">
        <f t="shared" si="72"/>
        <v>355.94499999999994</v>
      </c>
      <c r="T162" s="44">
        <f>E162+апр!I156</f>
        <v>362.08500000000004</v>
      </c>
      <c r="U162" s="30">
        <f>F162+апр!J156</f>
        <v>539.65099999999995</v>
      </c>
    </row>
    <row r="163" spans="1:21" ht="17.25" customHeight="1">
      <c r="A163" s="8" t="s">
        <v>150</v>
      </c>
      <c r="B163" s="9" t="s">
        <v>151</v>
      </c>
      <c r="C163" s="8" t="s">
        <v>4</v>
      </c>
      <c r="D163" s="10">
        <v>49.027999999999999</v>
      </c>
      <c r="E163" s="8"/>
      <c r="F163" s="8"/>
      <c r="G163" s="10">
        <f t="shared" si="80"/>
        <v>0</v>
      </c>
      <c r="H163" s="10">
        <f>D163+август!H162</f>
        <v>441.25200000000007</v>
      </c>
      <c r="I163" s="8"/>
      <c r="J163" s="54">
        <f>F163+август!J162</f>
        <v>483.976</v>
      </c>
      <c r="K163" s="10">
        <f t="shared" si="82"/>
        <v>483.976</v>
      </c>
      <c r="L163" s="16"/>
      <c r="M163" s="220"/>
      <c r="N163" s="221"/>
      <c r="O163" s="122">
        <f t="shared" si="85"/>
        <v>42.723999999999933</v>
      </c>
      <c r="P163" s="123">
        <f t="shared" si="86"/>
        <v>9.6824490313924763</v>
      </c>
      <c r="Q163" s="114"/>
      <c r="S163">
        <f t="shared" si="72"/>
        <v>245.14</v>
      </c>
      <c r="T163" s="44">
        <f>E163+апр!I157</f>
        <v>0</v>
      </c>
      <c r="U163" s="30">
        <f>F163+апр!J157</f>
        <v>483.976</v>
      </c>
    </row>
    <row r="164" spans="1:21" ht="17.25" customHeight="1">
      <c r="A164" s="8"/>
      <c r="B164" s="28" t="s">
        <v>13</v>
      </c>
      <c r="C164" s="8" t="s">
        <v>152</v>
      </c>
      <c r="D164" s="10">
        <v>13.144</v>
      </c>
      <c r="E164" s="8"/>
      <c r="F164" s="8"/>
      <c r="G164" s="10">
        <f t="shared" si="80"/>
        <v>0</v>
      </c>
      <c r="H164" s="10">
        <f>D164+август!H163</f>
        <v>57.190999999999995</v>
      </c>
      <c r="I164" s="8"/>
      <c r="J164" s="54">
        <f>F164+август!J163</f>
        <v>81.87</v>
      </c>
      <c r="K164" s="10">
        <f t="shared" si="82"/>
        <v>81.87</v>
      </c>
      <c r="L164" s="16"/>
      <c r="M164" s="227" t="s">
        <v>302</v>
      </c>
      <c r="N164" s="228"/>
      <c r="O164" s="122">
        <f t="shared" si="85"/>
        <v>24.679000000000009</v>
      </c>
      <c r="P164" s="123">
        <f t="shared" si="86"/>
        <v>43.151894528859458</v>
      </c>
      <c r="Q164" s="116"/>
      <c r="S164">
        <f t="shared" si="72"/>
        <v>65.72</v>
      </c>
      <c r="T164" s="44">
        <f>E164+апр!I158</f>
        <v>0</v>
      </c>
      <c r="U164" s="30">
        <f>F164+апр!J158</f>
        <v>81.87</v>
      </c>
    </row>
    <row r="165" spans="1:21" ht="17.25" customHeight="1">
      <c r="A165" s="8"/>
      <c r="B165" s="28" t="s">
        <v>15</v>
      </c>
      <c r="C165" s="8" t="s">
        <v>16</v>
      </c>
      <c r="D165" s="16">
        <f>D163/D164*1000</f>
        <v>3730.0669506999393</v>
      </c>
      <c r="E165" s="16"/>
      <c r="F165" s="16" t="e">
        <f>F163/F164*1000</f>
        <v>#DIV/0!</v>
      </c>
      <c r="G165" s="10" t="e">
        <f t="shared" si="80"/>
        <v>#DIV/0!</v>
      </c>
      <c r="H165" s="16">
        <f>H163/H164*1000</f>
        <v>7715.4097672710759</v>
      </c>
      <c r="I165" s="8"/>
      <c r="J165" s="16">
        <f>J163/J164*1000</f>
        <v>5911.5182606571389</v>
      </c>
      <c r="K165" s="10">
        <f t="shared" si="82"/>
        <v>5911.5182606571389</v>
      </c>
      <c r="L165" s="16"/>
      <c r="M165" s="220"/>
      <c r="N165" s="221"/>
      <c r="O165" s="122">
        <f t="shared" si="85"/>
        <v>-1803.8915066139371</v>
      </c>
      <c r="P165" s="123">
        <f t="shared" si="86"/>
        <v>-23.380372022054889</v>
      </c>
      <c r="Q165" s="114"/>
      <c r="S165">
        <f t="shared" si="72"/>
        <v>18650.334753499697</v>
      </c>
      <c r="T165" s="44">
        <f>E165+апр!I159</f>
        <v>0</v>
      </c>
      <c r="U165" s="30" t="e">
        <f>F165+апр!J159</f>
        <v>#DIV/0!</v>
      </c>
    </row>
    <row r="166" spans="1:21" ht="17.25" customHeight="1">
      <c r="A166" s="8" t="s">
        <v>153</v>
      </c>
      <c r="B166" s="9" t="s">
        <v>154</v>
      </c>
      <c r="C166" s="8" t="s">
        <v>4</v>
      </c>
      <c r="D166" s="10">
        <v>0.92300000000000004</v>
      </c>
      <c r="E166" s="8"/>
      <c r="F166" s="8"/>
      <c r="G166" s="10">
        <f t="shared" si="80"/>
        <v>0</v>
      </c>
      <c r="H166" s="10">
        <f>D166+август!H165</f>
        <v>1234.3586666666667</v>
      </c>
      <c r="I166" s="8"/>
      <c r="J166" s="54">
        <f>F166+август!J165</f>
        <v>0</v>
      </c>
      <c r="K166" s="10">
        <f t="shared" si="82"/>
        <v>0</v>
      </c>
      <c r="L166" s="16"/>
      <c r="M166" s="220"/>
      <c r="N166" s="221"/>
      <c r="O166" s="122">
        <f t="shared" si="85"/>
        <v>-1234.3586666666667</v>
      </c>
      <c r="P166" s="123">
        <f t="shared" si="86"/>
        <v>-100</v>
      </c>
      <c r="Q166" s="114"/>
      <c r="S166">
        <f t="shared" si="72"/>
        <v>4.6150000000000002</v>
      </c>
      <c r="T166" s="44">
        <f>E166+апр!I160</f>
        <v>0</v>
      </c>
      <c r="U166" s="30">
        <f>F166+апр!J160</f>
        <v>0</v>
      </c>
    </row>
    <row r="167" spans="1:21" ht="17.25" customHeight="1">
      <c r="A167" s="8"/>
      <c r="B167" s="28" t="s">
        <v>13</v>
      </c>
      <c r="C167" s="8" t="s">
        <v>155</v>
      </c>
      <c r="D167" s="10">
        <v>0.75</v>
      </c>
      <c r="E167" s="8"/>
      <c r="F167" s="8"/>
      <c r="G167" s="10">
        <f t="shared" si="80"/>
        <v>0</v>
      </c>
      <c r="H167" s="10">
        <f>D167+август!H166</f>
        <v>13.9</v>
      </c>
      <c r="I167" s="8"/>
      <c r="J167" s="54">
        <f>F167+август!J166</f>
        <v>0</v>
      </c>
      <c r="K167" s="10">
        <f t="shared" si="82"/>
        <v>0</v>
      </c>
      <c r="L167" s="16"/>
      <c r="M167" s="220"/>
      <c r="N167" s="221"/>
      <c r="O167" s="122">
        <f t="shared" si="85"/>
        <v>-13.9</v>
      </c>
      <c r="P167" s="123">
        <f t="shared" si="86"/>
        <v>-100</v>
      </c>
      <c r="Q167" s="114"/>
      <c r="S167">
        <f t="shared" si="72"/>
        <v>3.75</v>
      </c>
      <c r="T167" s="44">
        <f>E167+апр!I161</f>
        <v>0</v>
      </c>
      <c r="U167" s="30">
        <f>F167+апр!J161</f>
        <v>0</v>
      </c>
    </row>
    <row r="168" spans="1:21" ht="17.25" customHeight="1">
      <c r="A168" s="8"/>
      <c r="B168" s="28" t="s">
        <v>15</v>
      </c>
      <c r="C168" s="8" t="s">
        <v>16</v>
      </c>
      <c r="D168" s="16">
        <f>D166/D167*1000</f>
        <v>1230.6666666666667</v>
      </c>
      <c r="E168" s="8"/>
      <c r="F168" s="8"/>
      <c r="G168" s="10">
        <f t="shared" si="80"/>
        <v>0</v>
      </c>
      <c r="H168" s="16">
        <f>H166/H167*1000</f>
        <v>88802.781774580333</v>
      </c>
      <c r="I168" s="8"/>
      <c r="J168" s="8"/>
      <c r="K168" s="10">
        <f t="shared" si="82"/>
        <v>0</v>
      </c>
      <c r="L168" s="16"/>
      <c r="M168" s="220"/>
      <c r="N168" s="221"/>
      <c r="O168" s="122">
        <f t="shared" si="85"/>
        <v>-88802.781774580333</v>
      </c>
      <c r="P168" s="123">
        <f t="shared" si="86"/>
        <v>-100</v>
      </c>
      <c r="Q168" s="114"/>
      <c r="S168">
        <f t="shared" si="72"/>
        <v>6153.3333333333339</v>
      </c>
      <c r="T168" s="44">
        <f>E168+апр!I162</f>
        <v>0</v>
      </c>
      <c r="U168" s="30">
        <f>F168+апр!J162</f>
        <v>0</v>
      </c>
    </row>
    <row r="169" spans="1:21" ht="17.25" customHeight="1">
      <c r="A169" s="8" t="s">
        <v>156</v>
      </c>
      <c r="B169" s="9" t="s">
        <v>157</v>
      </c>
      <c r="C169" s="8" t="s">
        <v>4</v>
      </c>
      <c r="D169" s="10">
        <v>2.1800000000000002</v>
      </c>
      <c r="E169" s="8"/>
      <c r="F169" s="55">
        <v>1.706</v>
      </c>
      <c r="G169" s="10">
        <f t="shared" si="80"/>
        <v>1.706</v>
      </c>
      <c r="H169" s="10">
        <f>D169+август!H168</f>
        <v>117.72000000000003</v>
      </c>
      <c r="I169" s="8"/>
      <c r="J169" s="54">
        <f>F169+август!J168</f>
        <v>22.907999999999998</v>
      </c>
      <c r="K169" s="10">
        <f t="shared" si="82"/>
        <v>22.907999999999998</v>
      </c>
      <c r="L169" s="16"/>
      <c r="M169" s="220"/>
      <c r="N169" s="221"/>
      <c r="O169" s="122">
        <f t="shared" si="85"/>
        <v>-94.812000000000026</v>
      </c>
      <c r="P169" s="123">
        <f t="shared" si="86"/>
        <v>-80.540265035677876</v>
      </c>
      <c r="Q169" s="114"/>
      <c r="S169">
        <f t="shared" si="72"/>
        <v>10.9</v>
      </c>
      <c r="T169" s="44">
        <f>E169+апр!I163</f>
        <v>0</v>
      </c>
      <c r="U169" s="30">
        <f>F169+апр!J163</f>
        <v>14.508999999999999</v>
      </c>
    </row>
    <row r="170" spans="1:21" ht="17.25" customHeight="1">
      <c r="A170" s="8"/>
      <c r="B170" s="28" t="s">
        <v>13</v>
      </c>
      <c r="C170" s="8" t="s">
        <v>155</v>
      </c>
      <c r="D170" s="14">
        <v>20</v>
      </c>
      <c r="E170" s="8"/>
      <c r="F170" s="8"/>
      <c r="G170" s="10">
        <f t="shared" si="80"/>
        <v>0</v>
      </c>
      <c r="H170" s="10">
        <f>D170+август!H169</f>
        <v>175.29</v>
      </c>
      <c r="I170" s="8"/>
      <c r="J170" s="54">
        <f>F170+август!J169</f>
        <v>99</v>
      </c>
      <c r="K170" s="10">
        <f t="shared" si="82"/>
        <v>99</v>
      </c>
      <c r="L170" s="16"/>
      <c r="M170" s="220"/>
      <c r="N170" s="221"/>
      <c r="O170" s="122">
        <f t="shared" si="85"/>
        <v>-76.289999999999992</v>
      </c>
      <c r="P170" s="123">
        <f t="shared" si="86"/>
        <v>-43.522163272291628</v>
      </c>
      <c r="Q170" s="114"/>
      <c r="S170">
        <f t="shared" si="72"/>
        <v>100</v>
      </c>
      <c r="T170" s="44">
        <f>E170+апр!I164</f>
        <v>0</v>
      </c>
      <c r="U170" s="30">
        <f>F170+апр!J164</f>
        <v>99</v>
      </c>
    </row>
    <row r="171" spans="1:21" ht="17.25" customHeight="1">
      <c r="A171" s="8"/>
      <c r="B171" s="28" t="s">
        <v>15</v>
      </c>
      <c r="C171" s="8" t="s">
        <v>16</v>
      </c>
      <c r="D171" s="16">
        <f>D169/D170*1000</f>
        <v>109.00000000000001</v>
      </c>
      <c r="E171" s="16"/>
      <c r="F171" s="16" t="e">
        <f t="shared" ref="F171" si="93">F169/F170*1000</f>
        <v>#DIV/0!</v>
      </c>
      <c r="G171" s="10" t="e">
        <f t="shared" si="80"/>
        <v>#DIV/0!</v>
      </c>
      <c r="H171" s="16">
        <f>H169/H170*1000</f>
        <v>671.57282218038699</v>
      </c>
      <c r="I171" s="8"/>
      <c r="J171" s="16">
        <f t="shared" ref="J171" si="94">J169/J170*1000</f>
        <v>231.39393939393938</v>
      </c>
      <c r="K171" s="10">
        <f t="shared" si="82"/>
        <v>231.39393939393938</v>
      </c>
      <c r="L171" s="16"/>
      <c r="M171" s="220"/>
      <c r="N171" s="221"/>
      <c r="O171" s="122">
        <f t="shared" si="85"/>
        <v>-440.17888278644762</v>
      </c>
      <c r="P171" s="123">
        <f t="shared" si="86"/>
        <v>-65.544475334383606</v>
      </c>
      <c r="Q171" s="114"/>
      <c r="S171">
        <f t="shared" si="72"/>
        <v>545.00000000000011</v>
      </c>
      <c r="T171" s="44">
        <f>E171+апр!I165</f>
        <v>0</v>
      </c>
      <c r="U171" s="30" t="e">
        <f>F171+апр!J165</f>
        <v>#DIV/0!</v>
      </c>
    </row>
    <row r="172" spans="1:21" ht="17.25" customHeight="1">
      <c r="A172" s="8" t="s">
        <v>158</v>
      </c>
      <c r="B172" s="9" t="s">
        <v>159</v>
      </c>
      <c r="C172" s="8" t="s">
        <v>4</v>
      </c>
      <c r="D172" s="10">
        <v>19.058</v>
      </c>
      <c r="E172" s="8"/>
      <c r="F172" s="54">
        <v>11.1</v>
      </c>
      <c r="G172" s="10">
        <f t="shared" si="80"/>
        <v>11.1</v>
      </c>
      <c r="H172" s="10">
        <f>D172+август!H171</f>
        <v>1267.357</v>
      </c>
      <c r="I172" s="8"/>
      <c r="J172" s="54">
        <f>F172+август!J171</f>
        <v>88.799999999999983</v>
      </c>
      <c r="K172" s="10">
        <f t="shared" si="82"/>
        <v>88.799999999999983</v>
      </c>
      <c r="L172" s="16"/>
      <c r="M172" s="220"/>
      <c r="N172" s="221"/>
      <c r="O172" s="122">
        <f t="shared" si="85"/>
        <v>-1178.557</v>
      </c>
      <c r="P172" s="123">
        <f t="shared" si="86"/>
        <v>-92.993292339885286</v>
      </c>
      <c r="Q172" s="114"/>
      <c r="S172">
        <f t="shared" si="72"/>
        <v>95.289999999999992</v>
      </c>
      <c r="T172" s="44">
        <f>E172+апр!I166</f>
        <v>0</v>
      </c>
      <c r="U172" s="30">
        <f>F172+апр!J166</f>
        <v>33.299999999999997</v>
      </c>
    </row>
    <row r="173" spans="1:21" ht="17.25" customHeight="1">
      <c r="A173" s="8"/>
      <c r="B173" s="28" t="s">
        <v>13</v>
      </c>
      <c r="C173" s="8" t="s">
        <v>155</v>
      </c>
      <c r="D173" s="14">
        <v>16</v>
      </c>
      <c r="E173" s="8"/>
      <c r="F173" s="8"/>
      <c r="G173" s="10">
        <f t="shared" si="80"/>
        <v>0</v>
      </c>
      <c r="H173" s="10">
        <f>D173+август!H172</f>
        <v>64</v>
      </c>
      <c r="I173" s="8"/>
      <c r="J173" s="54">
        <f>F173+август!J172</f>
        <v>6</v>
      </c>
      <c r="K173" s="10">
        <f t="shared" si="82"/>
        <v>6</v>
      </c>
      <c r="L173" s="16"/>
      <c r="M173" s="220"/>
      <c r="N173" s="221"/>
      <c r="O173" s="122">
        <f t="shared" si="85"/>
        <v>-58</v>
      </c>
      <c r="P173" s="123">
        <f t="shared" si="86"/>
        <v>-90.625</v>
      </c>
      <c r="Q173" s="114"/>
      <c r="S173">
        <f t="shared" si="72"/>
        <v>80</v>
      </c>
      <c r="T173" s="44">
        <f>E173+апр!I167</f>
        <v>0</v>
      </c>
      <c r="U173" s="30">
        <f>F173+апр!J167</f>
        <v>6</v>
      </c>
    </row>
    <row r="174" spans="1:21" ht="17.25" customHeight="1">
      <c r="A174" s="8"/>
      <c r="B174" s="28" t="s">
        <v>15</v>
      </c>
      <c r="C174" s="8" t="s">
        <v>16</v>
      </c>
      <c r="D174" s="16">
        <f>D172/D173*1000</f>
        <v>1191.125</v>
      </c>
      <c r="E174" s="8"/>
      <c r="F174" s="16" t="e">
        <f>F172/F173*1000</f>
        <v>#DIV/0!</v>
      </c>
      <c r="G174" s="10" t="e">
        <f t="shared" si="80"/>
        <v>#DIV/0!</v>
      </c>
      <c r="H174" s="16">
        <f>H172/H173*1000</f>
        <v>19802.453125</v>
      </c>
      <c r="I174" s="8"/>
      <c r="J174" s="16">
        <f>J172/J173*1000</f>
        <v>14799.999999999996</v>
      </c>
      <c r="K174" s="10">
        <f t="shared" si="82"/>
        <v>14799.999999999996</v>
      </c>
      <c r="L174" s="16"/>
      <c r="M174" s="220"/>
      <c r="N174" s="221"/>
      <c r="O174" s="122">
        <f t="shared" si="85"/>
        <v>-5002.4531250000036</v>
      </c>
      <c r="P174" s="123">
        <f t="shared" si="86"/>
        <v>-25.261784958776435</v>
      </c>
      <c r="Q174" s="114"/>
      <c r="S174">
        <f t="shared" si="72"/>
        <v>5955.625</v>
      </c>
      <c r="T174" s="44">
        <f>E174+апр!I168</f>
        <v>0</v>
      </c>
      <c r="U174" s="30" t="e">
        <f>F174+апр!J168</f>
        <v>#DIV/0!</v>
      </c>
    </row>
    <row r="175" spans="1:21" ht="17.25" customHeight="1">
      <c r="A175" s="8" t="s">
        <v>158</v>
      </c>
      <c r="B175" s="9" t="s">
        <v>224</v>
      </c>
      <c r="C175" s="8" t="s">
        <v>4</v>
      </c>
      <c r="D175" s="10">
        <v>0</v>
      </c>
      <c r="E175" s="8"/>
      <c r="F175" s="55">
        <v>0.92700000000000005</v>
      </c>
      <c r="G175" s="10">
        <f t="shared" si="80"/>
        <v>0.92700000000000005</v>
      </c>
      <c r="H175" s="10">
        <f>D175+август!H174</f>
        <v>0</v>
      </c>
      <c r="I175" s="8"/>
      <c r="J175" s="54">
        <f>F175+август!J174</f>
        <v>12.427999999999999</v>
      </c>
      <c r="K175" s="10">
        <f t="shared" si="82"/>
        <v>12.427999999999999</v>
      </c>
      <c r="L175" s="16"/>
      <c r="M175" s="220"/>
      <c r="N175" s="221"/>
      <c r="O175" s="122">
        <f t="shared" si="85"/>
        <v>12.427999999999999</v>
      </c>
      <c r="P175" s="123" t="e">
        <f t="shared" si="86"/>
        <v>#DIV/0!</v>
      </c>
      <c r="Q175" s="114"/>
      <c r="S175">
        <f t="shared" si="72"/>
        <v>0</v>
      </c>
      <c r="T175" s="44">
        <f>E175+апр!I169</f>
        <v>0</v>
      </c>
      <c r="U175" s="30">
        <f>F175+апр!J169</f>
        <v>7.8659999999999997</v>
      </c>
    </row>
    <row r="176" spans="1:21" ht="17.25" customHeight="1">
      <c r="A176" s="8"/>
      <c r="B176" s="28" t="s">
        <v>13</v>
      </c>
      <c r="C176" s="8" t="s">
        <v>155</v>
      </c>
      <c r="D176" s="14">
        <v>0</v>
      </c>
      <c r="E176" s="8"/>
      <c r="F176" s="8"/>
      <c r="G176" s="10">
        <f t="shared" si="80"/>
        <v>0</v>
      </c>
      <c r="H176" s="10">
        <f>D176+август!H175</f>
        <v>0</v>
      </c>
      <c r="I176" s="8"/>
      <c r="J176" s="54">
        <f>F176+август!J175</f>
        <v>99</v>
      </c>
      <c r="K176" s="10">
        <f t="shared" si="82"/>
        <v>99</v>
      </c>
      <c r="L176" s="16"/>
      <c r="M176" s="220"/>
      <c r="N176" s="221"/>
      <c r="O176" s="122">
        <f t="shared" si="85"/>
        <v>99</v>
      </c>
      <c r="P176" s="123" t="e">
        <f t="shared" si="86"/>
        <v>#DIV/0!</v>
      </c>
      <c r="Q176" s="114"/>
      <c r="S176">
        <f t="shared" si="72"/>
        <v>0</v>
      </c>
      <c r="T176" s="44">
        <f>E176+апр!I170</f>
        <v>0</v>
      </c>
      <c r="U176" s="30">
        <f>F176+апр!J170</f>
        <v>99</v>
      </c>
    </row>
    <row r="177" spans="1:21" ht="17.25" customHeight="1">
      <c r="A177" s="8"/>
      <c r="B177" s="28" t="s">
        <v>15</v>
      </c>
      <c r="C177" s="8" t="s">
        <v>16</v>
      </c>
      <c r="D177" s="16" t="e">
        <f>D175/D176*1000</f>
        <v>#DIV/0!</v>
      </c>
      <c r="E177" s="8"/>
      <c r="F177" s="16" t="e">
        <f>F175/F176*1000</f>
        <v>#DIV/0!</v>
      </c>
      <c r="G177" s="10" t="e">
        <f t="shared" si="80"/>
        <v>#DIV/0!</v>
      </c>
      <c r="H177" s="16" t="e">
        <f>H175/H176*1000</f>
        <v>#DIV/0!</v>
      </c>
      <c r="I177" s="8"/>
      <c r="J177" s="16">
        <f>J175/J176*1000</f>
        <v>125.53535353535352</v>
      </c>
      <c r="K177" s="10">
        <f t="shared" si="82"/>
        <v>125.53535353535352</v>
      </c>
      <c r="L177" s="16"/>
      <c r="M177" s="220"/>
      <c r="N177" s="221"/>
      <c r="O177" s="122" t="e">
        <f t="shared" si="85"/>
        <v>#DIV/0!</v>
      </c>
      <c r="P177" s="123" t="e">
        <f t="shared" si="86"/>
        <v>#DIV/0!</v>
      </c>
      <c r="Q177" s="114"/>
      <c r="S177" t="e">
        <f t="shared" si="72"/>
        <v>#DIV/0!</v>
      </c>
      <c r="T177" s="44">
        <f>E177+апр!I171</f>
        <v>0</v>
      </c>
      <c r="U177" s="30" t="e">
        <f>F177+апр!J171</f>
        <v>#DIV/0!</v>
      </c>
    </row>
    <row r="178" spans="1:21" ht="17.25" customHeight="1">
      <c r="A178" s="16" t="s">
        <v>160</v>
      </c>
      <c r="B178" s="9" t="s">
        <v>108</v>
      </c>
      <c r="C178" s="8" t="s">
        <v>4</v>
      </c>
      <c r="D178" s="10">
        <v>62.704999999999998</v>
      </c>
      <c r="E178" s="8">
        <v>62.667000000000002</v>
      </c>
      <c r="F178" s="10">
        <f>F179+F180+F181</f>
        <v>40.86</v>
      </c>
      <c r="G178" s="10">
        <f t="shared" si="80"/>
        <v>-21.807000000000002</v>
      </c>
      <c r="H178" s="10">
        <f>D178+август!H177</f>
        <v>564.34499999999991</v>
      </c>
      <c r="I178" s="8">
        <f>E178+август!I177</f>
        <v>564.00300000000016</v>
      </c>
      <c r="J178" s="8">
        <f>J179+J180+J181</f>
        <v>597.15100000000007</v>
      </c>
      <c r="K178" s="10">
        <f t="shared" si="82"/>
        <v>33.147999999999911</v>
      </c>
      <c r="L178" s="16">
        <f t="shared" si="91"/>
        <v>5.8772737024448274</v>
      </c>
      <c r="M178" s="220"/>
      <c r="N178" s="221"/>
      <c r="O178" s="122">
        <f t="shared" si="85"/>
        <v>32.806000000000154</v>
      </c>
      <c r="P178" s="123">
        <f t="shared" si="86"/>
        <v>5.8131107744376509</v>
      </c>
      <c r="Q178" s="114"/>
      <c r="S178">
        <f t="shared" si="72"/>
        <v>313.52499999999998</v>
      </c>
      <c r="T178" s="44">
        <f>E178+апр!I172</f>
        <v>313.33500000000004</v>
      </c>
      <c r="U178" s="30">
        <f>F178+апр!J172</f>
        <v>301.41100000000006</v>
      </c>
    </row>
    <row r="179" spans="1:21" ht="17.25" customHeight="1">
      <c r="A179" s="16"/>
      <c r="B179" s="9" t="s">
        <v>221</v>
      </c>
      <c r="C179" s="8" t="s">
        <v>4</v>
      </c>
      <c r="D179" s="10"/>
      <c r="E179" s="8"/>
      <c r="F179" s="54">
        <v>28.86</v>
      </c>
      <c r="G179" s="10">
        <f t="shared" si="80"/>
        <v>28.86</v>
      </c>
      <c r="H179" s="10">
        <f>D179+август!H178</f>
        <v>0</v>
      </c>
      <c r="I179" s="8"/>
      <c r="J179" s="54">
        <f>F179+август!J178</f>
        <v>471.33000000000004</v>
      </c>
      <c r="K179" s="10">
        <f t="shared" si="82"/>
        <v>471.33000000000004</v>
      </c>
      <c r="L179" s="16"/>
      <c r="M179" s="220"/>
      <c r="N179" s="221"/>
      <c r="O179" s="122">
        <f t="shared" si="85"/>
        <v>471.33000000000004</v>
      </c>
      <c r="P179" s="123" t="e">
        <f t="shared" si="86"/>
        <v>#DIV/0!</v>
      </c>
      <c r="Q179" s="114"/>
      <c r="S179">
        <f t="shared" si="72"/>
        <v>0</v>
      </c>
      <c r="T179" s="44">
        <f>E179+апр!I173</f>
        <v>0</v>
      </c>
      <c r="U179" s="30">
        <f>F179+апр!J173</f>
        <v>187.59000000000003</v>
      </c>
    </row>
    <row r="180" spans="1:21" ht="37.5" customHeight="1">
      <c r="A180" s="16"/>
      <c r="B180" s="9" t="s">
        <v>222</v>
      </c>
      <c r="C180" s="8" t="s">
        <v>4</v>
      </c>
      <c r="D180" s="10"/>
      <c r="E180" s="8"/>
      <c r="F180" s="10">
        <v>12</v>
      </c>
      <c r="G180" s="10">
        <f t="shared" si="80"/>
        <v>12</v>
      </c>
      <c r="H180" s="10">
        <f>D180+август!H179</f>
        <v>324.53000000000003</v>
      </c>
      <c r="I180" s="8"/>
      <c r="J180" s="54">
        <f>F180+август!J179</f>
        <v>125.821</v>
      </c>
      <c r="K180" s="10">
        <f t="shared" si="82"/>
        <v>125.821</v>
      </c>
      <c r="L180" s="16"/>
      <c r="M180" s="220"/>
      <c r="N180" s="221"/>
      <c r="O180" s="122">
        <f t="shared" si="85"/>
        <v>-198.70900000000003</v>
      </c>
      <c r="P180" s="123">
        <f t="shared" si="86"/>
        <v>-61.229778448833706</v>
      </c>
      <c r="Q180" s="114"/>
      <c r="S180">
        <f t="shared" si="72"/>
        <v>0</v>
      </c>
      <c r="T180" s="44">
        <f>E180+апр!I174</f>
        <v>0</v>
      </c>
      <c r="U180" s="30">
        <f>F180+апр!J174</f>
        <v>113.821</v>
      </c>
    </row>
    <row r="181" spans="1:21" ht="18.75" customHeight="1">
      <c r="A181" s="16"/>
      <c r="B181" s="9" t="s">
        <v>223</v>
      </c>
      <c r="C181" s="8" t="s">
        <v>4</v>
      </c>
      <c r="D181" s="10"/>
      <c r="E181" s="8"/>
      <c r="F181" s="8"/>
      <c r="G181" s="10">
        <f t="shared" si="80"/>
        <v>0</v>
      </c>
      <c r="H181" s="10">
        <f>D181+август!H180</f>
        <v>11.165000000000001</v>
      </c>
      <c r="I181" s="8"/>
      <c r="J181" s="54">
        <f>F181+август!J180</f>
        <v>0</v>
      </c>
      <c r="K181" s="10">
        <f t="shared" si="82"/>
        <v>0</v>
      </c>
      <c r="L181" s="16"/>
      <c r="M181" s="220"/>
      <c r="N181" s="221"/>
      <c r="O181" s="122">
        <f t="shared" si="85"/>
        <v>-11.165000000000001</v>
      </c>
      <c r="P181" s="123">
        <f t="shared" si="86"/>
        <v>-100</v>
      </c>
      <c r="Q181" s="114"/>
      <c r="S181">
        <f t="shared" si="72"/>
        <v>0</v>
      </c>
      <c r="T181" s="44">
        <f>E181+апр!I175</f>
        <v>0</v>
      </c>
      <c r="U181" s="30">
        <f>F181+апр!J175</f>
        <v>0</v>
      </c>
    </row>
    <row r="182" spans="1:21" ht="18.75">
      <c r="A182" s="16" t="s">
        <v>161</v>
      </c>
      <c r="B182" s="9" t="s">
        <v>162</v>
      </c>
      <c r="C182" s="8" t="s">
        <v>4</v>
      </c>
      <c r="D182" s="10">
        <v>64.906000000000006</v>
      </c>
      <c r="E182" s="8">
        <v>64.917000000000002</v>
      </c>
      <c r="F182" s="8"/>
      <c r="G182" s="10">
        <f t="shared" si="80"/>
        <v>-64.917000000000002</v>
      </c>
      <c r="H182" s="10">
        <f>D182+август!H181</f>
        <v>270.78900000000004</v>
      </c>
      <c r="I182" s="8">
        <f>E182+август!I181</f>
        <v>584.25300000000016</v>
      </c>
      <c r="J182" s="54">
        <f>F182+август!J181</f>
        <v>580.26900000000001</v>
      </c>
      <c r="K182" s="10">
        <f t="shared" si="82"/>
        <v>-3.984000000000151</v>
      </c>
      <c r="L182" s="16">
        <f t="shared" si="91"/>
        <v>-0.6818963702368922</v>
      </c>
      <c r="M182" s="220"/>
      <c r="N182" s="221"/>
      <c r="O182" s="122">
        <f t="shared" si="85"/>
        <v>309.47999999999996</v>
      </c>
      <c r="P182" s="123">
        <f t="shared" si="86"/>
        <v>114.28824656836132</v>
      </c>
      <c r="Q182" s="114"/>
      <c r="S182">
        <f t="shared" si="72"/>
        <v>324.53000000000003</v>
      </c>
      <c r="T182" s="44">
        <f>E182+апр!I176</f>
        <v>324.58500000000004</v>
      </c>
      <c r="U182" s="30">
        <f>F182+апр!J176</f>
        <v>305.517</v>
      </c>
    </row>
    <row r="183" spans="1:21" ht="35.25" customHeight="1">
      <c r="A183" s="16" t="s">
        <v>163</v>
      </c>
      <c r="B183" s="9" t="s">
        <v>165</v>
      </c>
      <c r="C183" s="8" t="s">
        <v>4</v>
      </c>
      <c r="D183" s="10">
        <f>D184</f>
        <v>2.2330000000000001</v>
      </c>
      <c r="E183" s="8"/>
      <c r="F183" s="8"/>
      <c r="G183" s="10">
        <f t="shared" si="80"/>
        <v>0</v>
      </c>
      <c r="H183" s="10">
        <f>H184</f>
        <v>315.39699999999999</v>
      </c>
      <c r="I183" s="8"/>
      <c r="J183" s="8"/>
      <c r="K183" s="10">
        <f t="shared" si="82"/>
        <v>0</v>
      </c>
      <c r="L183" s="16"/>
      <c r="M183" s="220"/>
      <c r="N183" s="221"/>
      <c r="O183" s="122">
        <f t="shared" si="85"/>
        <v>-315.39699999999999</v>
      </c>
      <c r="P183" s="123">
        <f t="shared" si="86"/>
        <v>-100</v>
      </c>
      <c r="Q183" s="114"/>
      <c r="S183">
        <f t="shared" si="72"/>
        <v>11.165000000000001</v>
      </c>
      <c r="T183" s="44">
        <f>E183+апр!I177</f>
        <v>0</v>
      </c>
      <c r="U183" s="30">
        <f>F183+апр!J177</f>
        <v>0</v>
      </c>
    </row>
    <row r="184" spans="1:21" ht="18.75" customHeight="1">
      <c r="A184" s="16"/>
      <c r="B184" s="9" t="s">
        <v>100</v>
      </c>
      <c r="C184" s="8" t="s">
        <v>4</v>
      </c>
      <c r="D184" s="10">
        <v>2.2330000000000001</v>
      </c>
      <c r="E184" s="8"/>
      <c r="F184" s="8"/>
      <c r="G184" s="10">
        <f t="shared" si="80"/>
        <v>0</v>
      </c>
      <c r="H184" s="10">
        <f>D184+август!H183</f>
        <v>315.39699999999999</v>
      </c>
      <c r="I184" s="8"/>
      <c r="J184" s="54">
        <f>F184+август!J183</f>
        <v>0</v>
      </c>
      <c r="K184" s="10">
        <f t="shared" si="82"/>
        <v>0</v>
      </c>
      <c r="L184" s="16"/>
      <c r="M184" s="161"/>
      <c r="N184" s="162"/>
      <c r="O184" s="122">
        <f t="shared" si="85"/>
        <v>-315.39699999999999</v>
      </c>
      <c r="P184" s="123">
        <f t="shared" si="86"/>
        <v>-100</v>
      </c>
      <c r="Q184" s="114"/>
      <c r="S184">
        <f t="shared" si="72"/>
        <v>11.165000000000001</v>
      </c>
      <c r="T184" s="44">
        <f>E184+апр!I178</f>
        <v>0</v>
      </c>
      <c r="U184" s="30">
        <f>F184+апр!J178</f>
        <v>0</v>
      </c>
    </row>
    <row r="185" spans="1:21" ht="17.25" customHeight="1">
      <c r="A185" s="16" t="s">
        <v>164</v>
      </c>
      <c r="B185" s="6" t="s">
        <v>169</v>
      </c>
      <c r="C185" s="169" t="s">
        <v>4</v>
      </c>
      <c r="D185" s="7">
        <f t="shared" ref="D185:F185" si="95">D186+D187+D188</f>
        <v>318.99799999999999</v>
      </c>
      <c r="E185" s="7">
        <f t="shared" si="95"/>
        <v>637.41600000000005</v>
      </c>
      <c r="F185" s="7">
        <f t="shared" si="95"/>
        <v>0</v>
      </c>
      <c r="G185" s="10">
        <f t="shared" si="80"/>
        <v>-637.41600000000005</v>
      </c>
      <c r="H185" s="7">
        <f t="shared" ref="H185:J185" si="96">H186+H187+H188</f>
        <v>2453.2669999999998</v>
      </c>
      <c r="I185" s="7">
        <f t="shared" si="96"/>
        <v>5160.6610000000001</v>
      </c>
      <c r="J185" s="7">
        <f t="shared" si="96"/>
        <v>3275.0240000000003</v>
      </c>
      <c r="K185" s="10">
        <f t="shared" si="82"/>
        <v>-1885.6369999999997</v>
      </c>
      <c r="L185" s="16">
        <f t="shared" si="91"/>
        <v>-36.538672080960168</v>
      </c>
      <c r="M185" s="220"/>
      <c r="N185" s="221"/>
      <c r="O185" s="122">
        <f t="shared" si="85"/>
        <v>821.75700000000052</v>
      </c>
      <c r="P185" s="123">
        <f t="shared" si="86"/>
        <v>33.49643556938566</v>
      </c>
      <c r="Q185" s="114"/>
      <c r="S185">
        <f t="shared" si="72"/>
        <v>1594.99</v>
      </c>
      <c r="T185" s="44">
        <f>E185+апр!I179</f>
        <v>3187.0800000000004</v>
      </c>
      <c r="U185" s="30">
        <f>F185+апр!J179</f>
        <v>0</v>
      </c>
    </row>
    <row r="186" spans="1:21" ht="17.25" customHeight="1">
      <c r="A186" s="8" t="s">
        <v>166</v>
      </c>
      <c r="B186" s="9" t="s">
        <v>170</v>
      </c>
      <c r="C186" s="8" t="s">
        <v>4</v>
      </c>
      <c r="D186" s="10">
        <v>61.292999999999999</v>
      </c>
      <c r="E186" s="8">
        <v>61.332999999999998</v>
      </c>
      <c r="F186" s="8"/>
      <c r="G186" s="10">
        <f t="shared" si="80"/>
        <v>-61.332999999999998</v>
      </c>
      <c r="H186" s="10">
        <f>D186+август!H185</f>
        <v>691.31200000000001</v>
      </c>
      <c r="I186" s="8">
        <f>E186+август!I185</f>
        <v>551.99699999999984</v>
      </c>
      <c r="J186" s="54">
        <f>F186+август!J185</f>
        <v>0</v>
      </c>
      <c r="K186" s="10">
        <f t="shared" si="82"/>
        <v>-551.99699999999984</v>
      </c>
      <c r="L186" s="16">
        <f t="shared" si="91"/>
        <v>-100</v>
      </c>
      <c r="M186" s="220"/>
      <c r="N186" s="221"/>
      <c r="O186" s="122">
        <f t="shared" si="85"/>
        <v>-691.31200000000001</v>
      </c>
      <c r="P186" s="123">
        <f t="shared" si="86"/>
        <v>-100</v>
      </c>
      <c r="Q186" s="114"/>
      <c r="S186">
        <f t="shared" si="72"/>
        <v>306.46499999999997</v>
      </c>
      <c r="T186" s="44">
        <f>E186+апр!I180</f>
        <v>306.66499999999996</v>
      </c>
      <c r="U186" s="30">
        <f>F186+апр!J180</f>
        <v>0</v>
      </c>
    </row>
    <row r="187" spans="1:21" ht="17.25" customHeight="1">
      <c r="A187" s="8" t="s">
        <v>167</v>
      </c>
      <c r="B187" s="9" t="s">
        <v>171</v>
      </c>
      <c r="C187" s="8" t="s">
        <v>4</v>
      </c>
      <c r="D187" s="10">
        <v>168.477</v>
      </c>
      <c r="E187" s="8">
        <v>486.83300000000003</v>
      </c>
      <c r="F187" s="8"/>
      <c r="G187" s="10">
        <f t="shared" si="80"/>
        <v>-486.83300000000003</v>
      </c>
      <c r="H187" s="10">
        <f>D187+август!H186</f>
        <v>1152.453</v>
      </c>
      <c r="I187" s="8">
        <f>E187+август!I186</f>
        <v>3894.6640000000002</v>
      </c>
      <c r="J187" s="54">
        <f>F187+август!J186</f>
        <v>2732.0020000000004</v>
      </c>
      <c r="K187" s="10">
        <f t="shared" si="82"/>
        <v>-1162.6619999999998</v>
      </c>
      <c r="L187" s="16">
        <f t="shared" si="91"/>
        <v>-29.852690758432555</v>
      </c>
      <c r="M187" s="227" t="s">
        <v>300</v>
      </c>
      <c r="N187" s="228"/>
      <c r="O187" s="122">
        <f t="shared" si="85"/>
        <v>1579.5490000000004</v>
      </c>
      <c r="P187" s="123">
        <f t="shared" si="86"/>
        <v>137.05973258779321</v>
      </c>
      <c r="Q187" s="116"/>
      <c r="S187">
        <f t="shared" si="72"/>
        <v>842.38499999999999</v>
      </c>
      <c r="T187" s="44">
        <f>E187+апр!I181</f>
        <v>2434.165</v>
      </c>
      <c r="U187" s="30">
        <f>F187+апр!J181</f>
        <v>0</v>
      </c>
    </row>
    <row r="188" spans="1:21" ht="17.25" customHeight="1">
      <c r="A188" s="8" t="s">
        <v>267</v>
      </c>
      <c r="B188" s="9" t="s">
        <v>172</v>
      </c>
      <c r="C188" s="8" t="s">
        <v>4</v>
      </c>
      <c r="D188" s="10">
        <v>89.227999999999994</v>
      </c>
      <c r="E188" s="10">
        <v>89.25</v>
      </c>
      <c r="F188" s="8"/>
      <c r="G188" s="10">
        <f t="shared" si="80"/>
        <v>-89.25</v>
      </c>
      <c r="H188" s="10">
        <f>D188+август!H187</f>
        <v>609.50199999999995</v>
      </c>
      <c r="I188" s="8">
        <f>E188+август!I187</f>
        <v>714</v>
      </c>
      <c r="J188" s="54">
        <f>F188+август!J187</f>
        <v>543.02200000000005</v>
      </c>
      <c r="K188" s="10">
        <f t="shared" si="82"/>
        <v>-170.97799999999995</v>
      </c>
      <c r="L188" s="16">
        <f t="shared" si="91"/>
        <v>-23.946498599439771</v>
      </c>
      <c r="M188" s="227" t="s">
        <v>300</v>
      </c>
      <c r="N188" s="228"/>
      <c r="O188" s="122">
        <f t="shared" si="85"/>
        <v>-66.479999999999905</v>
      </c>
      <c r="P188" s="123">
        <f t="shared" si="86"/>
        <v>-10.907265275585628</v>
      </c>
      <c r="Q188" s="116"/>
      <c r="S188">
        <f t="shared" si="72"/>
        <v>446.14</v>
      </c>
      <c r="T188" s="44">
        <f>E188+апр!I182</f>
        <v>446.25</v>
      </c>
      <c r="U188" s="30">
        <f>F188+апр!J182</f>
        <v>0</v>
      </c>
    </row>
    <row r="189" spans="1:21" ht="53.25" customHeight="1">
      <c r="A189" s="8" t="s">
        <v>168</v>
      </c>
      <c r="B189" s="9" t="s">
        <v>174</v>
      </c>
      <c r="C189" s="8" t="s">
        <v>4</v>
      </c>
      <c r="D189" s="10">
        <v>95.709000000000003</v>
      </c>
      <c r="E189" s="8">
        <v>93.167000000000002</v>
      </c>
      <c r="F189" s="8">
        <v>118.56</v>
      </c>
      <c r="G189" s="10">
        <f t="shared" si="80"/>
        <v>25.393000000000001</v>
      </c>
      <c r="H189" s="10">
        <f>D189+август!H188</f>
        <v>479.10599999999999</v>
      </c>
      <c r="I189" s="8">
        <f>E189+август!I188</f>
        <v>745.33600000000013</v>
      </c>
      <c r="J189" s="54">
        <f>F189+август!J188</f>
        <v>826.21900000000005</v>
      </c>
      <c r="K189" s="10">
        <f t="shared" si="82"/>
        <v>80.882999999999925</v>
      </c>
      <c r="L189" s="16">
        <f t="shared" si="91"/>
        <v>10.851884250861344</v>
      </c>
      <c r="M189" s="222" t="s">
        <v>303</v>
      </c>
      <c r="N189" s="223"/>
      <c r="O189" s="122">
        <f t="shared" si="85"/>
        <v>347.11300000000006</v>
      </c>
      <c r="P189" s="123">
        <f t="shared" si="86"/>
        <v>72.45014673162099</v>
      </c>
      <c r="Q189" s="115"/>
      <c r="S189">
        <f t="shared" si="72"/>
        <v>478.54500000000002</v>
      </c>
      <c r="T189" s="44">
        <f>E189+апр!I183</f>
        <v>465.83500000000004</v>
      </c>
      <c r="U189" s="30">
        <f>F189+апр!J183</f>
        <v>433.23400000000004</v>
      </c>
    </row>
    <row r="190" spans="1:21" ht="33" customHeight="1">
      <c r="A190" s="169" t="s">
        <v>173</v>
      </c>
      <c r="B190" s="6" t="s">
        <v>176</v>
      </c>
      <c r="C190" s="169" t="s">
        <v>4</v>
      </c>
      <c r="D190" s="7">
        <f t="shared" ref="D190:F190" si="97">D191+D192+D193</f>
        <v>50.518000000000001</v>
      </c>
      <c r="E190" s="7">
        <v>50.5</v>
      </c>
      <c r="F190" s="7">
        <f t="shared" si="97"/>
        <v>0</v>
      </c>
      <c r="G190" s="10">
        <f t="shared" si="80"/>
        <v>-50.5</v>
      </c>
      <c r="H190" s="7">
        <f t="shared" ref="H190:J190" si="98">H191+H192+H193</f>
        <v>470.89199999999994</v>
      </c>
      <c r="I190" s="7">
        <f t="shared" si="98"/>
        <v>0</v>
      </c>
      <c r="J190" s="7">
        <f t="shared" si="98"/>
        <v>0</v>
      </c>
      <c r="K190" s="10">
        <f t="shared" si="82"/>
        <v>0</v>
      </c>
      <c r="L190" s="16" t="e">
        <f t="shared" si="91"/>
        <v>#DIV/0!</v>
      </c>
      <c r="M190" s="229" t="s">
        <v>293</v>
      </c>
      <c r="N190" s="230"/>
      <c r="O190" s="122">
        <f t="shared" si="85"/>
        <v>-470.89199999999994</v>
      </c>
      <c r="P190" s="123">
        <f t="shared" si="86"/>
        <v>-100</v>
      </c>
      <c r="Q190" s="168"/>
      <c r="R190" s="7">
        <f>R191+R192+R193</f>
        <v>343.50800000000004</v>
      </c>
      <c r="S190">
        <f t="shared" si="72"/>
        <v>252.59</v>
      </c>
      <c r="T190" s="44">
        <f>E190+апр!I184</f>
        <v>252.5</v>
      </c>
      <c r="U190" s="30">
        <f>F190+апр!J184</f>
        <v>0</v>
      </c>
    </row>
    <row r="191" spans="1:21" ht="17.25" customHeight="1">
      <c r="A191" s="8" t="s">
        <v>268</v>
      </c>
      <c r="B191" s="9" t="s">
        <v>177</v>
      </c>
      <c r="C191" s="8" t="s">
        <v>4</v>
      </c>
      <c r="D191" s="10">
        <v>19.254000000000001</v>
      </c>
      <c r="E191" s="8"/>
      <c r="F191" s="10"/>
      <c r="G191" s="10">
        <f t="shared" si="80"/>
        <v>0</v>
      </c>
      <c r="H191" s="10">
        <f>D191+август!H190</f>
        <v>189.51599999999996</v>
      </c>
      <c r="I191" s="8">
        <f>E191+август!I190</f>
        <v>0</v>
      </c>
      <c r="J191" s="54">
        <f>F191+август!J190</f>
        <v>0</v>
      </c>
      <c r="K191" s="10">
        <f t="shared" si="82"/>
        <v>0</v>
      </c>
      <c r="L191" s="16"/>
      <c r="M191" s="220"/>
      <c r="N191" s="221"/>
      <c r="O191" s="122">
        <f t="shared" si="85"/>
        <v>-189.51599999999996</v>
      </c>
      <c r="P191" s="123">
        <f t="shared" si="86"/>
        <v>-100</v>
      </c>
      <c r="Q191" s="162"/>
      <c r="R191" s="10">
        <v>130.12</v>
      </c>
      <c r="S191">
        <f t="shared" si="72"/>
        <v>96.27000000000001</v>
      </c>
      <c r="T191" s="44">
        <f>E191+апр!I185</f>
        <v>0</v>
      </c>
      <c r="U191" s="30">
        <f>F191+апр!J185</f>
        <v>0</v>
      </c>
    </row>
    <row r="192" spans="1:21" ht="17.25" customHeight="1">
      <c r="A192" s="8" t="s">
        <v>269</v>
      </c>
      <c r="B192" s="9" t="s">
        <v>178</v>
      </c>
      <c r="C192" s="8" t="s">
        <v>4</v>
      </c>
      <c r="D192" s="10">
        <v>8.7639999999999993</v>
      </c>
      <c r="E192" s="8"/>
      <c r="F192" s="8"/>
      <c r="G192" s="10">
        <f t="shared" si="80"/>
        <v>0</v>
      </c>
      <c r="H192" s="10">
        <f>D192+август!H191</f>
        <v>78.875999999999976</v>
      </c>
      <c r="I192" s="8">
        <f>E192+август!I191</f>
        <v>0</v>
      </c>
      <c r="J192" s="54">
        <f>F192+август!J191</f>
        <v>0</v>
      </c>
      <c r="K192" s="10">
        <f t="shared" si="82"/>
        <v>0</v>
      </c>
      <c r="L192" s="16"/>
      <c r="M192" s="220"/>
      <c r="N192" s="221"/>
      <c r="O192" s="122">
        <f t="shared" si="85"/>
        <v>-78.875999999999976</v>
      </c>
      <c r="P192" s="123">
        <f t="shared" si="86"/>
        <v>-100</v>
      </c>
      <c r="Q192" s="162"/>
      <c r="R192" s="8">
        <v>15.369</v>
      </c>
      <c r="S192">
        <f t="shared" si="72"/>
        <v>43.819999999999993</v>
      </c>
      <c r="T192" s="44">
        <f>E192+апр!I186</f>
        <v>0</v>
      </c>
      <c r="U192" s="30">
        <f>F192+апр!J186</f>
        <v>0</v>
      </c>
    </row>
    <row r="193" spans="1:21" ht="17.25" customHeight="1">
      <c r="A193" s="8" t="s">
        <v>270</v>
      </c>
      <c r="B193" s="9" t="s">
        <v>179</v>
      </c>
      <c r="C193" s="8" t="s">
        <v>4</v>
      </c>
      <c r="D193" s="10">
        <v>22.5</v>
      </c>
      <c r="E193" s="8"/>
      <c r="F193" s="8"/>
      <c r="G193" s="10">
        <f t="shared" si="80"/>
        <v>0</v>
      </c>
      <c r="H193" s="10">
        <f>D193+август!H192</f>
        <v>202.5</v>
      </c>
      <c r="I193" s="8">
        <f>E193+август!I192</f>
        <v>0</v>
      </c>
      <c r="J193" s="54">
        <f>F193+август!J192</f>
        <v>0</v>
      </c>
      <c r="K193" s="10">
        <f t="shared" si="82"/>
        <v>0</v>
      </c>
      <c r="L193" s="16"/>
      <c r="M193" s="220"/>
      <c r="N193" s="221"/>
      <c r="O193" s="122">
        <f t="shared" si="85"/>
        <v>-202.5</v>
      </c>
      <c r="P193" s="123">
        <f t="shared" si="86"/>
        <v>-100</v>
      </c>
      <c r="Q193" s="162"/>
      <c r="R193" s="8">
        <v>198.01900000000001</v>
      </c>
      <c r="S193">
        <f t="shared" si="72"/>
        <v>112.5</v>
      </c>
      <c r="T193" s="44">
        <f>E193+апр!I187</f>
        <v>0</v>
      </c>
      <c r="U193" s="30">
        <f>F193+апр!J187</f>
        <v>0</v>
      </c>
    </row>
    <row r="194" spans="1:21" ht="17.25" customHeight="1">
      <c r="A194" s="169" t="s">
        <v>175</v>
      </c>
      <c r="B194" s="6" t="s">
        <v>180</v>
      </c>
      <c r="C194" s="169" t="s">
        <v>4</v>
      </c>
      <c r="D194" s="7">
        <f>D195+D196+D197+D198+D203+D204+D205+D206+D210</f>
        <v>186.78400000000005</v>
      </c>
      <c r="E194" s="7">
        <f>E195+E196+E197+E198+E203+E204+E205+E206+E210</f>
        <v>193.416</v>
      </c>
      <c r="F194" s="7">
        <f>F195+F196+F197+F198+F203+F204+F205+F206+F210</f>
        <v>30.616000000000003</v>
      </c>
      <c r="G194" s="10">
        <f t="shared" si="80"/>
        <v>-162.79999999999998</v>
      </c>
      <c r="H194" s="7">
        <f>H195+H196+H197+H198+H203+H204+H205+H206+H210</f>
        <v>9036.7610000000004</v>
      </c>
      <c r="I194" s="7">
        <f>I195+I196+I197+I198+I203+I204+I205+I206+I210</f>
        <v>1740.6689999999996</v>
      </c>
      <c r="J194" s="7">
        <f>J195+J196+J197+J198+J203+J204+J205+J206+J210</f>
        <v>724.39</v>
      </c>
      <c r="K194" s="10">
        <f t="shared" si="82"/>
        <v>-1016.2789999999997</v>
      </c>
      <c r="L194" s="16">
        <f t="shared" si="91"/>
        <v>-58.384391288636714</v>
      </c>
      <c r="M194" s="226"/>
      <c r="N194" s="221"/>
      <c r="O194" s="122">
        <f t="shared" si="85"/>
        <v>-8312.371000000001</v>
      </c>
      <c r="P194" s="123">
        <f t="shared" si="86"/>
        <v>-91.983964165921847</v>
      </c>
      <c r="Q194" s="114"/>
      <c r="S194">
        <f t="shared" si="72"/>
        <v>933.9200000000003</v>
      </c>
      <c r="T194" s="44">
        <f>E194+апр!I188</f>
        <v>967.07999999999993</v>
      </c>
      <c r="U194" s="30">
        <f>F194+апр!J188</f>
        <v>455.93099999999998</v>
      </c>
    </row>
    <row r="195" spans="1:21" ht="17.25" customHeight="1">
      <c r="A195" s="18" t="s">
        <v>271</v>
      </c>
      <c r="B195" s="9" t="s">
        <v>181</v>
      </c>
      <c r="C195" s="8" t="s">
        <v>4</v>
      </c>
      <c r="D195" s="10">
        <v>0</v>
      </c>
      <c r="E195" s="8"/>
      <c r="F195" s="8"/>
      <c r="G195" s="10">
        <f t="shared" si="80"/>
        <v>0</v>
      </c>
      <c r="H195" s="10">
        <f>D195+август!H194</f>
        <v>7.4550000000000001</v>
      </c>
      <c r="I195" s="8">
        <f>E195+август!I194</f>
        <v>0</v>
      </c>
      <c r="J195" s="54">
        <f>F195+август!J194</f>
        <v>0</v>
      </c>
      <c r="K195" s="10">
        <f t="shared" si="82"/>
        <v>0</v>
      </c>
      <c r="L195" s="16"/>
      <c r="M195" s="220"/>
      <c r="N195" s="221"/>
      <c r="O195" s="122">
        <f t="shared" si="85"/>
        <v>-7.4550000000000001</v>
      </c>
      <c r="P195" s="123">
        <f t="shared" si="86"/>
        <v>-100</v>
      </c>
      <c r="Q195" s="114"/>
      <c r="S195">
        <f t="shared" si="72"/>
        <v>0</v>
      </c>
      <c r="T195" s="44">
        <f>E195+апр!I189</f>
        <v>0</v>
      </c>
      <c r="U195" s="30">
        <f>F195+апр!J189</f>
        <v>0</v>
      </c>
    </row>
    <row r="196" spans="1:21" ht="17.25" customHeight="1">
      <c r="A196" s="18" t="s">
        <v>272</v>
      </c>
      <c r="B196" s="9" t="s">
        <v>182</v>
      </c>
      <c r="C196" s="8" t="s">
        <v>4</v>
      </c>
      <c r="D196" s="10">
        <v>15.651</v>
      </c>
      <c r="E196" s="10">
        <v>22.25</v>
      </c>
      <c r="F196" s="55">
        <v>26.213000000000001</v>
      </c>
      <c r="G196" s="10">
        <f t="shared" si="80"/>
        <v>3.963000000000001</v>
      </c>
      <c r="H196" s="10">
        <f>D196+август!H195</f>
        <v>140.85899999999998</v>
      </c>
      <c r="I196" s="8">
        <f>E196+август!I195</f>
        <v>200.25</v>
      </c>
      <c r="J196" s="54">
        <f>F196+август!J195</f>
        <v>234.05800000000002</v>
      </c>
      <c r="K196" s="10">
        <f t="shared" si="82"/>
        <v>33.808000000000021</v>
      </c>
      <c r="L196" s="16">
        <f t="shared" si="91"/>
        <v>16.882896379525604</v>
      </c>
      <c r="M196" s="220"/>
      <c r="N196" s="221"/>
      <c r="O196" s="122">
        <f t="shared" si="85"/>
        <v>93.199000000000041</v>
      </c>
      <c r="P196" s="123">
        <f t="shared" si="86"/>
        <v>66.164746306590317</v>
      </c>
      <c r="Q196" s="114"/>
      <c r="S196">
        <f t="shared" si="72"/>
        <v>78.254999999999995</v>
      </c>
      <c r="T196" s="44">
        <f>E196+апр!I190</f>
        <v>111.25</v>
      </c>
      <c r="U196" s="30">
        <f>F196+апр!J190</f>
        <v>157.56800000000001</v>
      </c>
    </row>
    <row r="197" spans="1:21" ht="33.75" customHeight="1">
      <c r="A197" s="18" t="s">
        <v>273</v>
      </c>
      <c r="B197" s="9" t="s">
        <v>237</v>
      </c>
      <c r="C197" s="8" t="s">
        <v>4</v>
      </c>
      <c r="D197" s="10">
        <v>1.4910000000000001</v>
      </c>
      <c r="E197" s="10">
        <v>1.5</v>
      </c>
      <c r="F197" s="54">
        <v>3.6</v>
      </c>
      <c r="G197" s="10">
        <f t="shared" si="80"/>
        <v>2.1</v>
      </c>
      <c r="H197" s="10">
        <f>D197+август!H196</f>
        <v>13.418999999999999</v>
      </c>
      <c r="I197" s="8">
        <f>E197+август!I196</f>
        <v>13.5</v>
      </c>
      <c r="J197" s="54">
        <f>F197+август!J196</f>
        <v>16.690000000000001</v>
      </c>
      <c r="K197" s="10">
        <f t="shared" si="82"/>
        <v>3.1900000000000013</v>
      </c>
      <c r="L197" s="16">
        <f t="shared" si="91"/>
        <v>23.62962962962964</v>
      </c>
      <c r="M197" s="220"/>
      <c r="N197" s="221"/>
      <c r="O197" s="122">
        <f t="shared" si="85"/>
        <v>3.2710000000000026</v>
      </c>
      <c r="P197" s="123">
        <f t="shared" si="86"/>
        <v>24.375884939265244</v>
      </c>
      <c r="Q197" s="114"/>
      <c r="S197">
        <f t="shared" si="72"/>
        <v>7.4550000000000001</v>
      </c>
      <c r="T197" s="44">
        <f>E197+апр!I191</f>
        <v>7.5</v>
      </c>
      <c r="U197" s="30">
        <f>F197+апр!J191</f>
        <v>12.69</v>
      </c>
    </row>
    <row r="198" spans="1:21" ht="36.75" customHeight="1">
      <c r="A198" s="18" t="s">
        <v>274</v>
      </c>
      <c r="B198" s="9" t="s">
        <v>183</v>
      </c>
      <c r="C198" s="8" t="s">
        <v>4</v>
      </c>
      <c r="D198" s="10">
        <f t="shared" ref="D198:F198" si="99">D199+D200+D201+D202</f>
        <v>149.55900000000003</v>
      </c>
      <c r="E198" s="10">
        <f t="shared" si="99"/>
        <v>149.583</v>
      </c>
      <c r="F198" s="10">
        <f t="shared" si="99"/>
        <v>0</v>
      </c>
      <c r="G198" s="10">
        <f t="shared" si="80"/>
        <v>-149.583</v>
      </c>
      <c r="H198" s="10">
        <f t="shared" ref="H198:J198" si="100">H199+H200+H201+H202</f>
        <v>1346.0309999999999</v>
      </c>
      <c r="I198" s="10">
        <f t="shared" si="100"/>
        <v>1346.2469999999996</v>
      </c>
      <c r="J198" s="10">
        <f t="shared" si="100"/>
        <v>458.23199999999997</v>
      </c>
      <c r="K198" s="10">
        <f t="shared" si="82"/>
        <v>-888.01499999999965</v>
      </c>
      <c r="L198" s="16">
        <f t="shared" si="91"/>
        <v>-65.962263982760959</v>
      </c>
      <c r="M198" s="220"/>
      <c r="N198" s="221"/>
      <c r="O198" s="122">
        <f t="shared" si="85"/>
        <v>-887.79899999999998</v>
      </c>
      <c r="P198" s="123">
        <f t="shared" si="86"/>
        <v>-65.956801886435017</v>
      </c>
      <c r="Q198" s="114"/>
      <c r="S198">
        <f t="shared" si="72"/>
        <v>747.79500000000007</v>
      </c>
      <c r="T198" s="44">
        <f>E198+апр!I192</f>
        <v>747.91499999999996</v>
      </c>
      <c r="U198" s="30">
        <f>F198+апр!J192</f>
        <v>274.28100000000001</v>
      </c>
    </row>
    <row r="199" spans="1:21" ht="74.25" customHeight="1">
      <c r="A199" s="8" t="s">
        <v>275</v>
      </c>
      <c r="B199" s="9" t="s">
        <v>184</v>
      </c>
      <c r="C199" s="8" t="s">
        <v>4</v>
      </c>
      <c r="D199" s="10">
        <v>33.363999999999997</v>
      </c>
      <c r="E199" s="8">
        <v>33.332999999999998</v>
      </c>
      <c r="F199" s="55"/>
      <c r="G199" s="10">
        <f t="shared" si="80"/>
        <v>-33.332999999999998</v>
      </c>
      <c r="H199" s="10">
        <f>D199+август!H198</f>
        <v>300.27599999999995</v>
      </c>
      <c r="I199" s="8">
        <f>E199+август!I198</f>
        <v>299.99699999999996</v>
      </c>
      <c r="J199" s="54">
        <f>F199+август!J198</f>
        <v>232.59199999999998</v>
      </c>
      <c r="K199" s="10">
        <f t="shared" si="82"/>
        <v>-67.404999999999973</v>
      </c>
      <c r="L199" s="16">
        <f t="shared" si="91"/>
        <v>-22.468558018913516</v>
      </c>
      <c r="M199" s="220"/>
      <c r="N199" s="221"/>
      <c r="O199" s="122">
        <f t="shared" si="85"/>
        <v>-67.683999999999969</v>
      </c>
      <c r="P199" s="123">
        <f t="shared" si="86"/>
        <v>-22.5405959850271</v>
      </c>
      <c r="Q199" s="114"/>
      <c r="S199">
        <f t="shared" si="72"/>
        <v>166.82</v>
      </c>
      <c r="T199" s="44">
        <f>E199+апр!I193</f>
        <v>166.66499999999999</v>
      </c>
      <c r="U199" s="30">
        <f>F199+апр!J193</f>
        <v>189.47499999999999</v>
      </c>
    </row>
    <row r="200" spans="1:21" ht="93" customHeight="1">
      <c r="A200" s="8" t="s">
        <v>276</v>
      </c>
      <c r="B200" s="9" t="s">
        <v>238</v>
      </c>
      <c r="C200" s="8" t="s">
        <v>4</v>
      </c>
      <c r="D200" s="10">
        <v>89.792000000000002</v>
      </c>
      <c r="E200" s="8">
        <v>89.832999999999998</v>
      </c>
      <c r="F200" s="55"/>
      <c r="G200" s="10">
        <f t="shared" si="80"/>
        <v>-89.832999999999998</v>
      </c>
      <c r="H200" s="10">
        <f>D200+август!H199</f>
        <v>808.12800000000016</v>
      </c>
      <c r="I200" s="8">
        <f>E200+август!I199</f>
        <v>808.49699999999984</v>
      </c>
      <c r="J200" s="54">
        <f>F200+август!J199</f>
        <v>72.930000000000007</v>
      </c>
      <c r="K200" s="10">
        <f t="shared" si="82"/>
        <v>-735.56699999999978</v>
      </c>
      <c r="L200" s="16">
        <f t="shared" si="91"/>
        <v>-90.979558365708215</v>
      </c>
      <c r="M200" s="220"/>
      <c r="N200" s="221"/>
      <c r="O200" s="122">
        <f t="shared" si="85"/>
        <v>-735.19800000000009</v>
      </c>
      <c r="P200" s="123">
        <f t="shared" si="86"/>
        <v>-90.975439534331187</v>
      </c>
      <c r="Q200" s="114"/>
      <c r="S200">
        <f t="shared" si="72"/>
        <v>448.96000000000004</v>
      </c>
      <c r="T200" s="44">
        <f>E200+апр!I194</f>
        <v>449.16499999999996</v>
      </c>
      <c r="U200" s="30">
        <f>F200+апр!J194</f>
        <v>0</v>
      </c>
    </row>
    <row r="201" spans="1:21" ht="90.75" customHeight="1">
      <c r="A201" s="8" t="s">
        <v>277</v>
      </c>
      <c r="B201" s="9" t="s">
        <v>185</v>
      </c>
      <c r="C201" s="8" t="s">
        <v>4</v>
      </c>
      <c r="D201" s="10">
        <v>7.9660000000000002</v>
      </c>
      <c r="E201" s="8">
        <v>8</v>
      </c>
      <c r="F201" s="55"/>
      <c r="G201" s="10">
        <f t="shared" si="80"/>
        <v>-8</v>
      </c>
      <c r="H201" s="10">
        <f>D201+август!H200</f>
        <v>71.694000000000003</v>
      </c>
      <c r="I201" s="8">
        <f>E201+август!I200</f>
        <v>72</v>
      </c>
      <c r="J201" s="54">
        <f>F201+август!J200</f>
        <v>31.007000000000001</v>
      </c>
      <c r="K201" s="10">
        <f t="shared" si="82"/>
        <v>-40.992999999999995</v>
      </c>
      <c r="L201" s="16">
        <f t="shared" si="91"/>
        <v>-56.934722222222213</v>
      </c>
      <c r="M201" s="220"/>
      <c r="N201" s="221"/>
      <c r="O201" s="122">
        <f t="shared" si="85"/>
        <v>-40.686999999999998</v>
      </c>
      <c r="P201" s="123">
        <f t="shared" si="86"/>
        <v>-56.75091360504365</v>
      </c>
      <c r="Q201" s="114"/>
      <c r="S201">
        <f t="shared" si="72"/>
        <v>39.83</v>
      </c>
      <c r="T201" s="44">
        <f>E201+апр!I195</f>
        <v>40</v>
      </c>
      <c r="U201" s="30">
        <f>F201+апр!J195</f>
        <v>15.260999999999999</v>
      </c>
    </row>
    <row r="202" spans="1:21" ht="37.5" customHeight="1">
      <c r="A202" s="8" t="s">
        <v>278</v>
      </c>
      <c r="B202" s="9" t="s">
        <v>186</v>
      </c>
      <c r="C202" s="8" t="s">
        <v>4</v>
      </c>
      <c r="D202" s="10">
        <v>18.437000000000001</v>
      </c>
      <c r="E202" s="8">
        <v>18.417000000000002</v>
      </c>
      <c r="F202" s="55"/>
      <c r="G202" s="10">
        <f t="shared" si="80"/>
        <v>-18.417000000000002</v>
      </c>
      <c r="H202" s="10">
        <f>D202+август!H201</f>
        <v>165.93300000000002</v>
      </c>
      <c r="I202" s="8">
        <f>E202+август!I201</f>
        <v>165.75300000000001</v>
      </c>
      <c r="J202" s="54">
        <f>F202+август!J201</f>
        <v>121.70299999999999</v>
      </c>
      <c r="K202" s="10">
        <f t="shared" si="82"/>
        <v>-44.050000000000026</v>
      </c>
      <c r="L202" s="16">
        <f t="shared" si="91"/>
        <v>-26.575687921183942</v>
      </c>
      <c r="M202" s="220"/>
      <c r="N202" s="221"/>
      <c r="O202" s="122">
        <f t="shared" si="85"/>
        <v>-44.230000000000032</v>
      </c>
      <c r="P202" s="123">
        <f t="shared" si="86"/>
        <v>-26.655336792560867</v>
      </c>
      <c r="Q202" s="114"/>
      <c r="S202">
        <f t="shared" si="72"/>
        <v>92.185000000000002</v>
      </c>
      <c r="T202" s="44">
        <f>E202+апр!I196</f>
        <v>92.085000000000008</v>
      </c>
      <c r="U202" s="30">
        <f>F202+апр!J196</f>
        <v>69.545000000000002</v>
      </c>
    </row>
    <row r="203" spans="1:21" ht="17.25" customHeight="1">
      <c r="A203" s="18" t="s">
        <v>279</v>
      </c>
      <c r="B203" s="26" t="s">
        <v>187</v>
      </c>
      <c r="C203" s="8" t="s">
        <v>4</v>
      </c>
      <c r="D203" s="10">
        <v>15.818</v>
      </c>
      <c r="E203" s="8">
        <v>15.833</v>
      </c>
      <c r="F203" s="8"/>
      <c r="G203" s="10">
        <f t="shared" si="80"/>
        <v>-15.833</v>
      </c>
      <c r="H203" s="10">
        <f>D203+август!H202</f>
        <v>142.36199999999999</v>
      </c>
      <c r="I203" s="8">
        <f>E203+август!I202</f>
        <v>142.422</v>
      </c>
      <c r="J203" s="54">
        <f>F203+август!J202</f>
        <v>0</v>
      </c>
      <c r="K203" s="10">
        <f t="shared" si="82"/>
        <v>-142.422</v>
      </c>
      <c r="L203" s="16">
        <f t="shared" si="91"/>
        <v>-100</v>
      </c>
      <c r="M203" s="220"/>
      <c r="N203" s="221"/>
      <c r="O203" s="122">
        <f t="shared" si="85"/>
        <v>-142.36199999999999</v>
      </c>
      <c r="P203" s="123">
        <f t="shared" si="86"/>
        <v>-100</v>
      </c>
      <c r="Q203" s="114"/>
      <c r="S203">
        <f t="shared" si="72"/>
        <v>79.09</v>
      </c>
      <c r="T203" s="44">
        <f>E203+апр!I197</f>
        <v>79.165000000000006</v>
      </c>
      <c r="U203" s="30">
        <f>F203+апр!J197</f>
        <v>0</v>
      </c>
    </row>
    <row r="204" spans="1:21" ht="17.25" customHeight="1">
      <c r="A204" s="18"/>
      <c r="B204" s="26" t="s">
        <v>125</v>
      </c>
      <c r="C204" s="8" t="s">
        <v>4</v>
      </c>
      <c r="D204" s="10">
        <v>0.34200000000000003</v>
      </c>
      <c r="E204" s="8">
        <v>0.33300000000000002</v>
      </c>
      <c r="F204" s="8"/>
      <c r="G204" s="10">
        <f t="shared" si="80"/>
        <v>-0.33300000000000002</v>
      </c>
      <c r="H204" s="10">
        <f>D204+август!H203</f>
        <v>20.982999999999997</v>
      </c>
      <c r="I204" s="8">
        <f>E204+август!I203</f>
        <v>2.9970000000000003</v>
      </c>
      <c r="J204" s="54">
        <f>F204+август!J203</f>
        <v>0</v>
      </c>
      <c r="K204" s="10">
        <f t="shared" si="82"/>
        <v>-2.9970000000000003</v>
      </c>
      <c r="L204" s="16">
        <f t="shared" si="91"/>
        <v>-100</v>
      </c>
      <c r="M204" s="220"/>
      <c r="N204" s="221"/>
      <c r="O204" s="122">
        <f t="shared" si="85"/>
        <v>-20.982999999999997</v>
      </c>
      <c r="P204" s="123">
        <f t="shared" si="86"/>
        <v>-100</v>
      </c>
      <c r="Q204" s="114"/>
      <c r="S204">
        <f t="shared" si="72"/>
        <v>1.7100000000000002</v>
      </c>
      <c r="T204" s="44">
        <f>E204+апр!I198</f>
        <v>1.665</v>
      </c>
      <c r="U204" s="30">
        <f>F204+апр!J198</f>
        <v>0</v>
      </c>
    </row>
    <row r="205" spans="1:21" ht="17.25" customHeight="1">
      <c r="A205" s="18" t="s">
        <v>280</v>
      </c>
      <c r="B205" s="26" t="s">
        <v>188</v>
      </c>
      <c r="C205" s="8" t="s">
        <v>4</v>
      </c>
      <c r="D205" s="10">
        <v>0</v>
      </c>
      <c r="E205" s="8"/>
      <c r="F205" s="8"/>
      <c r="G205" s="10">
        <f t="shared" si="80"/>
        <v>0</v>
      </c>
      <c r="H205" s="10">
        <f>D205+август!H204</f>
        <v>0</v>
      </c>
      <c r="I205" s="8">
        <f>E205+август!I204</f>
        <v>0</v>
      </c>
      <c r="J205" s="54">
        <f>F205+август!J204</f>
        <v>0</v>
      </c>
      <c r="K205" s="10">
        <f t="shared" si="82"/>
        <v>0</v>
      </c>
      <c r="L205" s="16"/>
      <c r="M205" s="220"/>
      <c r="N205" s="221"/>
      <c r="O205" s="122">
        <f t="shared" si="85"/>
        <v>0</v>
      </c>
      <c r="P205" s="123" t="e">
        <f t="shared" si="86"/>
        <v>#DIV/0!</v>
      </c>
      <c r="Q205" s="114"/>
      <c r="S205">
        <f t="shared" si="72"/>
        <v>0</v>
      </c>
      <c r="T205" s="44">
        <f>E205+апр!I199</f>
        <v>0</v>
      </c>
      <c r="U205" s="30">
        <f>F205+апр!J199</f>
        <v>0</v>
      </c>
    </row>
    <row r="206" spans="1:21" ht="27" customHeight="1">
      <c r="A206" s="18" t="s">
        <v>281</v>
      </c>
      <c r="B206" s="26" t="s">
        <v>189</v>
      </c>
      <c r="C206" s="8" t="s">
        <v>4</v>
      </c>
      <c r="D206" s="10">
        <v>3.923</v>
      </c>
      <c r="E206" s="8">
        <v>3.9169999999999998</v>
      </c>
      <c r="F206" s="10">
        <v>0.80300000000000005</v>
      </c>
      <c r="G206" s="10">
        <f t="shared" si="80"/>
        <v>-3.1139999999999999</v>
      </c>
      <c r="H206" s="10">
        <f>D206+август!H205</f>
        <v>15.692</v>
      </c>
      <c r="I206" s="8">
        <f>E206+август!I205</f>
        <v>35.253000000000007</v>
      </c>
      <c r="J206" s="54">
        <f>F206+август!J205</f>
        <v>15.41</v>
      </c>
      <c r="K206" s="10">
        <f t="shared" si="82"/>
        <v>-19.843000000000007</v>
      </c>
      <c r="L206" s="16">
        <f t="shared" si="91"/>
        <v>-56.287408163844219</v>
      </c>
      <c r="M206" s="222" t="s">
        <v>289</v>
      </c>
      <c r="N206" s="223"/>
      <c r="O206" s="122">
        <f t="shared" si="85"/>
        <v>-0.28200000000000003</v>
      </c>
      <c r="P206" s="123">
        <f t="shared" si="86"/>
        <v>-1.7970940606678563</v>
      </c>
      <c r="Q206" s="115"/>
      <c r="S206">
        <f t="shared" si="72"/>
        <v>19.615000000000002</v>
      </c>
      <c r="T206" s="44">
        <f>E206+апр!I200</f>
        <v>19.585000000000001</v>
      </c>
      <c r="U206" s="30">
        <f>F206+апр!J200</f>
        <v>11.392000000000001</v>
      </c>
    </row>
    <row r="207" spans="1:21" ht="17.25" customHeight="1">
      <c r="A207" s="18" t="s">
        <v>282</v>
      </c>
      <c r="B207" s="26" t="s">
        <v>225</v>
      </c>
      <c r="C207" s="8" t="s">
        <v>4</v>
      </c>
      <c r="D207" s="10">
        <v>0</v>
      </c>
      <c r="E207" s="8"/>
      <c r="F207" s="8">
        <v>1924.15</v>
      </c>
      <c r="G207" s="10">
        <f t="shared" si="80"/>
        <v>1924.15</v>
      </c>
      <c r="H207" s="10">
        <f>D207+август!H206</f>
        <v>0</v>
      </c>
      <c r="I207" s="8">
        <f>E207+август!I206</f>
        <v>0</v>
      </c>
      <c r="J207" s="54">
        <f>F207+август!J206</f>
        <v>2222.866</v>
      </c>
      <c r="K207" s="10">
        <f t="shared" si="82"/>
        <v>2222.866</v>
      </c>
      <c r="L207" s="16" t="e">
        <f>K207/I207*100</f>
        <v>#DIV/0!</v>
      </c>
      <c r="M207" s="222" t="s">
        <v>290</v>
      </c>
      <c r="N207" s="223"/>
      <c r="O207" s="122">
        <f t="shared" si="85"/>
        <v>2222.866</v>
      </c>
      <c r="P207" s="123" t="e">
        <f t="shared" si="86"/>
        <v>#DIV/0!</v>
      </c>
      <c r="Q207" s="115"/>
      <c r="S207">
        <f t="shared" ref="S207:S225" si="101">D207*5</f>
        <v>0</v>
      </c>
      <c r="T207" s="44">
        <f>E207+апр!I201</f>
        <v>0</v>
      </c>
      <c r="U207" s="30">
        <f>F207+апр!J201</f>
        <v>1924.15</v>
      </c>
    </row>
    <row r="208" spans="1:21" ht="17.25" customHeight="1">
      <c r="A208" s="18" t="s">
        <v>283</v>
      </c>
      <c r="B208" s="26" t="s">
        <v>228</v>
      </c>
      <c r="C208" s="8" t="s">
        <v>4</v>
      </c>
      <c r="D208" s="10">
        <v>0</v>
      </c>
      <c r="E208" s="8"/>
      <c r="F208" s="8"/>
      <c r="G208" s="10">
        <f t="shared" si="80"/>
        <v>0</v>
      </c>
      <c r="H208" s="10">
        <f>D208+август!H207</f>
        <v>0</v>
      </c>
      <c r="I208" s="8">
        <f>E208+август!I207</f>
        <v>0</v>
      </c>
      <c r="J208" s="54">
        <f>F208+август!J207</f>
        <v>0</v>
      </c>
      <c r="K208" s="10">
        <f t="shared" si="82"/>
        <v>0</v>
      </c>
      <c r="L208" s="16" t="e">
        <f t="shared" si="91"/>
        <v>#DIV/0!</v>
      </c>
      <c r="M208" s="222" t="s">
        <v>290</v>
      </c>
      <c r="N208" s="223"/>
      <c r="O208" s="122">
        <f t="shared" si="85"/>
        <v>0</v>
      </c>
      <c r="P208" s="123" t="e">
        <f t="shared" si="86"/>
        <v>#DIV/0!</v>
      </c>
      <c r="Q208" s="115"/>
      <c r="S208">
        <f t="shared" si="101"/>
        <v>0</v>
      </c>
      <c r="T208" s="44">
        <f>E208+апр!I202</f>
        <v>0</v>
      </c>
      <c r="U208" s="30">
        <f>F208+апр!J202</f>
        <v>0</v>
      </c>
    </row>
    <row r="209" spans="1:22" ht="34.5" customHeight="1">
      <c r="A209" s="18" t="s">
        <v>284</v>
      </c>
      <c r="B209" s="26" t="s">
        <v>231</v>
      </c>
      <c r="C209" s="8" t="s">
        <v>4</v>
      </c>
      <c r="D209" s="10">
        <v>0</v>
      </c>
      <c r="E209" s="8"/>
      <c r="F209" s="8"/>
      <c r="G209" s="10">
        <f t="shared" si="80"/>
        <v>0</v>
      </c>
      <c r="H209" s="10">
        <f>D209+август!H208</f>
        <v>0</v>
      </c>
      <c r="I209" s="8">
        <f>E209+август!I208</f>
        <v>0</v>
      </c>
      <c r="J209" s="54">
        <f>F209+август!J208</f>
        <v>0</v>
      </c>
      <c r="K209" s="10">
        <f t="shared" si="82"/>
        <v>0</v>
      </c>
      <c r="L209" s="16" t="e">
        <f t="shared" si="91"/>
        <v>#DIV/0!</v>
      </c>
      <c r="M209" s="222" t="s">
        <v>290</v>
      </c>
      <c r="N209" s="223"/>
      <c r="O209" s="122">
        <f t="shared" si="85"/>
        <v>0</v>
      </c>
      <c r="P209" s="123" t="e">
        <f t="shared" si="86"/>
        <v>#DIV/0!</v>
      </c>
      <c r="Q209" s="115"/>
      <c r="S209">
        <f t="shared" si="101"/>
        <v>0</v>
      </c>
      <c r="T209" s="44">
        <f>E209+апр!I203</f>
        <v>0</v>
      </c>
      <c r="U209" s="30">
        <f>F209+апр!J203</f>
        <v>0</v>
      </c>
    </row>
    <row r="210" spans="1:22" ht="17.25" customHeight="1">
      <c r="A210" s="18" t="s">
        <v>282</v>
      </c>
      <c r="B210" s="26" t="s">
        <v>230</v>
      </c>
      <c r="C210" s="8" t="s">
        <v>4</v>
      </c>
      <c r="D210" s="10">
        <v>0</v>
      </c>
      <c r="E210" s="8"/>
      <c r="F210" s="8"/>
      <c r="G210" s="10">
        <f t="shared" si="80"/>
        <v>0</v>
      </c>
      <c r="H210" s="10">
        <f>D210+август!H209</f>
        <v>7349.96</v>
      </c>
      <c r="I210" s="8">
        <f>E210+август!I209</f>
        <v>0</v>
      </c>
      <c r="J210" s="54">
        <f>F210+август!J209</f>
        <v>0</v>
      </c>
      <c r="K210" s="10">
        <f t="shared" si="82"/>
        <v>0</v>
      </c>
      <c r="L210" s="16"/>
      <c r="M210" s="220"/>
      <c r="N210" s="221"/>
      <c r="O210" s="122">
        <f t="shared" si="85"/>
        <v>-7349.96</v>
      </c>
      <c r="P210" s="123">
        <f t="shared" si="86"/>
        <v>-100</v>
      </c>
      <c r="Q210" s="114"/>
      <c r="S210">
        <f t="shared" si="101"/>
        <v>0</v>
      </c>
      <c r="T210" s="44">
        <f>E210+апр!I204</f>
        <v>0</v>
      </c>
      <c r="U210" s="30">
        <f>F210+апр!J204</f>
        <v>0</v>
      </c>
    </row>
    <row r="211" spans="1:22" ht="17.25" customHeight="1">
      <c r="A211" s="18"/>
      <c r="B211" s="26"/>
      <c r="C211" s="8"/>
      <c r="D211" s="10"/>
      <c r="E211" s="8"/>
      <c r="F211" s="8"/>
      <c r="G211" s="10"/>
      <c r="H211" s="10"/>
      <c r="I211" s="8"/>
      <c r="J211" s="10"/>
      <c r="K211" s="10"/>
      <c r="L211" s="16"/>
      <c r="M211" s="161"/>
      <c r="N211" s="162"/>
      <c r="O211" s="122"/>
      <c r="P211" s="123"/>
      <c r="Q211" s="114"/>
      <c r="T211" s="44"/>
      <c r="U211" s="30"/>
    </row>
    <row r="212" spans="1:22" ht="21" customHeight="1">
      <c r="A212" s="169" t="s">
        <v>190</v>
      </c>
      <c r="B212" s="6" t="s">
        <v>191</v>
      </c>
      <c r="C212" s="169" t="s">
        <v>4</v>
      </c>
      <c r="D212" s="7">
        <f>D8+D144</f>
        <v>76555.231</v>
      </c>
      <c r="E212" s="21">
        <f>E8+E144</f>
        <v>71086.831999999995</v>
      </c>
      <c r="F212" s="7">
        <f>F8+F144</f>
        <v>88586.505999999994</v>
      </c>
      <c r="G212" s="10">
        <f t="shared" ref="G212:G220" si="102">F212-E212</f>
        <v>17499.673999999999</v>
      </c>
      <c r="H212" s="7">
        <f>H8+H144</f>
        <v>697125.81217322929</v>
      </c>
      <c r="I212" s="7">
        <f>I8+I144</f>
        <v>638379.2187806177</v>
      </c>
      <c r="J212" s="7">
        <f>J8+J144</f>
        <v>690495.74849999999</v>
      </c>
      <c r="K212" s="10">
        <f t="shared" ref="K212:K220" si="103">J212-I212</f>
        <v>52116.529719382292</v>
      </c>
      <c r="L212" s="16">
        <f t="shared" ref="L212:L220" si="104">K212/I212*100</f>
        <v>8.1638825616741144</v>
      </c>
      <c r="M212" s="220"/>
      <c r="N212" s="221"/>
      <c r="O212" s="122">
        <f>J212-H212</f>
        <v>-6630.063673229306</v>
      </c>
      <c r="P212" s="123">
        <f t="shared" si="86"/>
        <v>-0.95105697672571576</v>
      </c>
      <c r="Q212" s="114"/>
      <c r="R212" s="30"/>
      <c r="S212">
        <f t="shared" si="101"/>
        <v>382776.15500000003</v>
      </c>
      <c r="T212" s="44">
        <f>E212+апр!I205</f>
        <v>355434.16</v>
      </c>
      <c r="U212" s="30">
        <f>F212+апр!J205</f>
        <v>371571.15449999989</v>
      </c>
    </row>
    <row r="213" spans="1:22" ht="17.25" customHeight="1">
      <c r="A213" s="169" t="s">
        <v>192</v>
      </c>
      <c r="B213" s="6" t="s">
        <v>193</v>
      </c>
      <c r="C213" s="169" t="s">
        <v>4</v>
      </c>
      <c r="D213" s="7">
        <v>1469.992</v>
      </c>
      <c r="E213" s="169">
        <v>1470.0830000000001</v>
      </c>
      <c r="F213" s="21">
        <f>F216-F212</f>
        <v>10685.689519999985</v>
      </c>
      <c r="G213" s="16">
        <f t="shared" si="102"/>
        <v>9215.6065199999848</v>
      </c>
      <c r="H213" s="10">
        <f>D213+август!H212</f>
        <v>13229.928</v>
      </c>
      <c r="I213" s="8">
        <f>E213+август!I212</f>
        <v>13230.747000000003</v>
      </c>
      <c r="J213" s="54">
        <f>F213+август!J212</f>
        <v>84592.809579999928</v>
      </c>
      <c r="K213" s="10">
        <f t="shared" si="103"/>
        <v>71362.062579999925</v>
      </c>
      <c r="L213" s="16">
        <f t="shared" si="104"/>
        <v>539.36533273593636</v>
      </c>
      <c r="M213" s="220"/>
      <c r="N213" s="221"/>
      <c r="O213" s="122">
        <f t="shared" si="85"/>
        <v>71362.881579999928</v>
      </c>
      <c r="P213" s="123">
        <f t="shared" si="86"/>
        <v>539.40491271003089</v>
      </c>
      <c r="Q213" s="114"/>
      <c r="S213">
        <f>D213*5</f>
        <v>7349.96</v>
      </c>
      <c r="T213" s="44">
        <f>E213+апр!I206</f>
        <v>7350.4150000000009</v>
      </c>
      <c r="U213" s="30">
        <f>F213+апр!J206</f>
        <v>18348.409059999962</v>
      </c>
    </row>
    <row r="214" spans="1:22" ht="17.25" customHeight="1">
      <c r="A214" s="169" t="s">
        <v>194</v>
      </c>
      <c r="B214" s="6" t="s">
        <v>195</v>
      </c>
      <c r="C214" s="169" t="s">
        <v>4</v>
      </c>
      <c r="D214" s="7">
        <f>D212+D213</f>
        <v>78025.222999999998</v>
      </c>
      <c r="E214" s="21">
        <f>E212+E213</f>
        <v>72556.914999999994</v>
      </c>
      <c r="F214" s="7">
        <f>F212+F213</f>
        <v>99272.195519999979</v>
      </c>
      <c r="G214" s="16">
        <f t="shared" si="102"/>
        <v>26715.280519999986</v>
      </c>
      <c r="H214" s="7">
        <f>H212+H213</f>
        <v>710355.74017322925</v>
      </c>
      <c r="I214" s="7">
        <f>I212+I213</f>
        <v>651609.96578061767</v>
      </c>
      <c r="J214" s="7">
        <f>J212+J213</f>
        <v>775088.55807999987</v>
      </c>
      <c r="K214" s="10">
        <f t="shared" si="103"/>
        <v>123478.5922993822</v>
      </c>
      <c r="L214" s="16">
        <f t="shared" si="104"/>
        <v>18.949770381651078</v>
      </c>
      <c r="M214" s="220"/>
      <c r="N214" s="221"/>
      <c r="O214" s="122">
        <f t="shared" si="85"/>
        <v>64732.817906770622</v>
      </c>
      <c r="P214" s="123">
        <f t="shared" si="86"/>
        <v>9.1127324305121693</v>
      </c>
      <c r="Q214" s="114"/>
      <c r="S214">
        <f t="shared" si="101"/>
        <v>390126.11499999999</v>
      </c>
      <c r="T214" s="44">
        <f>E214+апр!I207</f>
        <v>362784.57499999995</v>
      </c>
      <c r="U214" s="30">
        <f>F214+апр!J207</f>
        <v>389919.56355999981</v>
      </c>
    </row>
    <row r="215" spans="1:22" ht="17.25" customHeight="1">
      <c r="A215" s="224" t="s">
        <v>196</v>
      </c>
      <c r="B215" s="225" t="s">
        <v>197</v>
      </c>
      <c r="C215" s="169" t="s">
        <v>114</v>
      </c>
      <c r="D215" s="7">
        <v>559.39200000000005</v>
      </c>
      <c r="E215" s="169">
        <v>523.61</v>
      </c>
      <c r="F215" s="169">
        <v>719.78099999999995</v>
      </c>
      <c r="G215" s="10">
        <f t="shared" si="102"/>
        <v>196.17099999999994</v>
      </c>
      <c r="H215" s="10">
        <f>D215+август!H214</f>
        <v>5034.5279999999993</v>
      </c>
      <c r="I215" s="8">
        <f>E215+август!I214</f>
        <v>4712.49</v>
      </c>
      <c r="J215" s="54">
        <f>F215+август!J214</f>
        <v>5624.8990000000003</v>
      </c>
      <c r="K215" s="10">
        <f t="shared" si="103"/>
        <v>912.40900000000056</v>
      </c>
      <c r="L215" s="16">
        <f t="shared" si="104"/>
        <v>19.361505276403783</v>
      </c>
      <c r="M215" s="220"/>
      <c r="N215" s="221"/>
      <c r="O215" s="122">
        <f t="shared" si="85"/>
        <v>590.371000000001</v>
      </c>
      <c r="P215" s="123">
        <f t="shared" si="86"/>
        <v>11.726441882933237</v>
      </c>
      <c r="Q215" s="114"/>
      <c r="S215">
        <f t="shared" si="101"/>
        <v>2796.96</v>
      </c>
      <c r="T215" s="44">
        <f>E215+апр!I208</f>
        <v>2618.0500000000002</v>
      </c>
      <c r="U215" s="30">
        <f>F215+апр!J208</f>
        <v>2827.143</v>
      </c>
    </row>
    <row r="216" spans="1:22" ht="17.25" customHeight="1">
      <c r="A216" s="224"/>
      <c r="B216" s="225"/>
      <c r="C216" s="169" t="s">
        <v>4</v>
      </c>
      <c r="D216" s="7">
        <f>D214</f>
        <v>78025.222999999998</v>
      </c>
      <c r="E216" s="21">
        <f>E214</f>
        <v>72556.914999999994</v>
      </c>
      <c r="F216" s="169">
        <f>F220*F215</f>
        <v>99272.195519999979</v>
      </c>
      <c r="G216" s="16">
        <f t="shared" si="102"/>
        <v>26715.280519999986</v>
      </c>
      <c r="H216" s="10">
        <f>D216+август!H215</f>
        <v>702227.00699999998</v>
      </c>
      <c r="I216" s="7">
        <f>I214</f>
        <v>651609.96578061767</v>
      </c>
      <c r="J216" s="169">
        <f>J220*J215</f>
        <v>775088.55807999976</v>
      </c>
      <c r="K216" s="10">
        <f t="shared" si="103"/>
        <v>123478.59229938209</v>
      </c>
      <c r="L216" s="16">
        <f t="shared" si="104"/>
        <v>18.94977038165106</v>
      </c>
      <c r="M216" s="220"/>
      <c r="N216" s="221"/>
      <c r="O216" s="122">
        <f t="shared" si="85"/>
        <v>72861.551079999772</v>
      </c>
      <c r="P216" s="123">
        <f t="shared" si="86"/>
        <v>10.375783094881706</v>
      </c>
      <c r="Q216" s="114"/>
      <c r="S216">
        <f t="shared" si="101"/>
        <v>390126.11499999999</v>
      </c>
      <c r="T216" s="44">
        <f>E216+апр!I209</f>
        <v>362784.57499999995</v>
      </c>
      <c r="U216" s="30">
        <f>F216+апр!J209</f>
        <v>389919.56355999981</v>
      </c>
    </row>
    <row r="217" spans="1:22" ht="17.25" customHeight="1">
      <c r="A217" s="169" t="s">
        <v>198</v>
      </c>
      <c r="B217" s="170" t="s">
        <v>199</v>
      </c>
      <c r="C217" s="169" t="s">
        <v>114</v>
      </c>
      <c r="D217" s="7">
        <v>761.69899999999996</v>
      </c>
      <c r="E217" s="21">
        <v>713</v>
      </c>
      <c r="F217" s="7">
        <v>999.83</v>
      </c>
      <c r="G217" s="10">
        <f t="shared" si="102"/>
        <v>286.83000000000004</v>
      </c>
      <c r="H217" s="10">
        <f>D217+август!H216</f>
        <v>6855.2909999999983</v>
      </c>
      <c r="I217" s="8">
        <f>E217+август!I216</f>
        <v>6417</v>
      </c>
      <c r="J217" s="54">
        <f>F217+август!J216</f>
        <v>6967.6019999999999</v>
      </c>
      <c r="K217" s="10">
        <f t="shared" si="103"/>
        <v>550.60199999999986</v>
      </c>
      <c r="L217" s="16">
        <f t="shared" si="104"/>
        <v>8.5803646563814837</v>
      </c>
      <c r="M217" s="220"/>
      <c r="N217" s="221"/>
      <c r="O217" s="122">
        <f t="shared" ref="O217:O220" si="105">J217-H217</f>
        <v>112.31100000000151</v>
      </c>
      <c r="P217" s="123">
        <f t="shared" ref="P217:P220" si="106">O217/H217*100</f>
        <v>1.6383111964175052</v>
      </c>
      <c r="Q217" s="114"/>
      <c r="S217">
        <f t="shared" si="101"/>
        <v>3808.4949999999999</v>
      </c>
      <c r="T217" s="44">
        <f>E217+апр!I210</f>
        <v>3565</v>
      </c>
      <c r="U217" s="30">
        <f>F217+апр!J210</f>
        <v>3653.5120000000002</v>
      </c>
    </row>
    <row r="218" spans="1:22" ht="17.25" customHeight="1">
      <c r="A218" s="224" t="s">
        <v>200</v>
      </c>
      <c r="B218" s="225" t="s">
        <v>201</v>
      </c>
      <c r="C218" s="169" t="s">
        <v>202</v>
      </c>
      <c r="D218" s="21">
        <f>D219/D217*100</f>
        <v>26.559966600980168</v>
      </c>
      <c r="E218" s="21">
        <f>E219/E217*100</f>
        <v>26.562412342215985</v>
      </c>
      <c r="F218" s="21">
        <f>F219/F217*100</f>
        <v>28.009661642479227</v>
      </c>
      <c r="G218" s="10">
        <f t="shared" si="102"/>
        <v>1.4472493002632412</v>
      </c>
      <c r="H218" s="21">
        <f>H219/H217*100</f>
        <v>26.559966600980168</v>
      </c>
      <c r="I218" s="21">
        <f>I219/I217*100</f>
        <v>26.562412342215993</v>
      </c>
      <c r="J218" s="21">
        <f>J219/J217*100</f>
        <v>19.270661556156618</v>
      </c>
      <c r="K218" s="10">
        <f t="shared" si="103"/>
        <v>-7.2917507860593744</v>
      </c>
      <c r="L218" s="16">
        <f t="shared" si="104"/>
        <v>-27.451387668094057</v>
      </c>
      <c r="M218" s="220"/>
      <c r="N218" s="221"/>
      <c r="O218" s="122">
        <f t="shared" si="105"/>
        <v>-7.2893050448235499</v>
      </c>
      <c r="P218" s="123">
        <f t="shared" si="106"/>
        <v>-27.444707120055433</v>
      </c>
      <c r="Q218" s="114"/>
      <c r="S218">
        <f t="shared" si="101"/>
        <v>132.79983300490085</v>
      </c>
      <c r="T218" s="44">
        <f>E218+апр!I211</f>
        <v>53.124824684431971</v>
      </c>
      <c r="U218" s="30">
        <f>F218+апр!J211</f>
        <v>48.596906082468649</v>
      </c>
    </row>
    <row r="219" spans="1:22" ht="17.25" customHeight="1">
      <c r="A219" s="224"/>
      <c r="B219" s="225"/>
      <c r="C219" s="169" t="s">
        <v>114</v>
      </c>
      <c r="D219" s="7">
        <f>D217-D215</f>
        <v>202.3069999999999</v>
      </c>
      <c r="E219" s="7">
        <f>E217-E215</f>
        <v>189.39</v>
      </c>
      <c r="F219" s="7">
        <f>F217-F215</f>
        <v>280.04900000000009</v>
      </c>
      <c r="G219" s="10">
        <f t="shared" si="102"/>
        <v>90.659000000000106</v>
      </c>
      <c r="H219" s="7">
        <f>H217-H215</f>
        <v>1820.762999999999</v>
      </c>
      <c r="I219" s="7">
        <f>I217-I215</f>
        <v>1704.5100000000002</v>
      </c>
      <c r="J219" s="7">
        <f>J217-J215</f>
        <v>1342.7029999999995</v>
      </c>
      <c r="K219" s="10">
        <f t="shared" si="103"/>
        <v>-361.8070000000007</v>
      </c>
      <c r="L219" s="16">
        <f t="shared" si="104"/>
        <v>-21.226452176871984</v>
      </c>
      <c r="M219" s="220"/>
      <c r="N219" s="221"/>
      <c r="O219" s="122">
        <f t="shared" si="105"/>
        <v>-478.05999999999949</v>
      </c>
      <c r="P219" s="123">
        <f t="shared" si="106"/>
        <v>-26.256025633209802</v>
      </c>
      <c r="Q219" s="114"/>
      <c r="S219">
        <f t="shared" si="101"/>
        <v>1011.5349999999995</v>
      </c>
      <c r="T219" s="44">
        <f>E219+апр!I212</f>
        <v>946.94999999999993</v>
      </c>
      <c r="U219" s="30">
        <f>F219+апр!J212</f>
        <v>826.36900000000026</v>
      </c>
    </row>
    <row r="220" spans="1:22" s="1" customFormat="1" ht="21" customHeight="1">
      <c r="A220" s="169" t="s">
        <v>203</v>
      </c>
      <c r="B220" s="6" t="s">
        <v>204</v>
      </c>
      <c r="C220" s="169" t="s">
        <v>205</v>
      </c>
      <c r="D220" s="21">
        <f>D214/D215</f>
        <v>139.48219316686686</v>
      </c>
      <c r="E220" s="21">
        <f>E216/E215</f>
        <v>138.57052959263572</v>
      </c>
      <c r="F220" s="169">
        <v>137.91999999999999</v>
      </c>
      <c r="G220" s="10">
        <f t="shared" si="102"/>
        <v>-0.65052959263573484</v>
      </c>
      <c r="H220" s="21">
        <f>H214/H215</f>
        <v>141.09679004133642</v>
      </c>
      <c r="I220" s="21">
        <f>I214/I215</f>
        <v>138.27296520111824</v>
      </c>
      <c r="J220" s="21">
        <f>J214/J215</f>
        <v>137.79599564009945</v>
      </c>
      <c r="K220" s="10">
        <f t="shared" si="103"/>
        <v>-0.47696956101879096</v>
      </c>
      <c r="L220" s="16">
        <f t="shared" si="104"/>
        <v>-0.34494780691586241</v>
      </c>
      <c r="M220" s="220"/>
      <c r="N220" s="221"/>
      <c r="O220" s="122">
        <f t="shared" si="105"/>
        <v>-3.3007944012369705</v>
      </c>
      <c r="P220" s="123">
        <f t="shared" si="106"/>
        <v>-2.3393830577364327</v>
      </c>
      <c r="Q220" s="114"/>
      <c r="R220"/>
      <c r="S220">
        <f t="shared" si="101"/>
        <v>697.41096583433432</v>
      </c>
      <c r="T220" s="44">
        <f>E220+апр!I213</f>
        <v>277.14105918527144</v>
      </c>
      <c r="U220" s="30">
        <f>F220+апр!J213</f>
        <v>275.84000047452685</v>
      </c>
      <c r="V220"/>
    </row>
    <row r="221" spans="1:22" ht="17.25" customHeight="1">
      <c r="A221" s="8"/>
      <c r="B221" s="9" t="s">
        <v>206</v>
      </c>
      <c r="C221" s="8"/>
      <c r="D221" s="21"/>
      <c r="E221" s="8"/>
      <c r="F221" s="8"/>
      <c r="G221" s="8"/>
      <c r="H221" s="10"/>
      <c r="I221" s="8"/>
      <c r="J221" s="10"/>
      <c r="K221" s="8"/>
      <c r="L221" s="16"/>
      <c r="M221" s="220"/>
      <c r="N221" s="221"/>
      <c r="O221" s="114"/>
      <c r="P221" s="114"/>
      <c r="Q221" s="114"/>
      <c r="S221">
        <f t="shared" si="101"/>
        <v>0</v>
      </c>
      <c r="T221" s="44">
        <f>E221+апр!I214</f>
        <v>0</v>
      </c>
      <c r="U221" s="30">
        <f>F221+апр!J214</f>
        <v>0</v>
      </c>
    </row>
    <row r="222" spans="1:22" ht="35.25" customHeight="1">
      <c r="A222" s="8">
        <v>7</v>
      </c>
      <c r="B222" s="9" t="s">
        <v>207</v>
      </c>
      <c r="C222" s="8" t="s">
        <v>208</v>
      </c>
      <c r="D222" s="14">
        <f>D223+D224</f>
        <v>253</v>
      </c>
      <c r="E222" s="14">
        <f t="shared" ref="E222:G222" si="107">E223+E224</f>
        <v>0</v>
      </c>
      <c r="F222" s="14">
        <f t="shared" si="107"/>
        <v>0</v>
      </c>
      <c r="G222" s="14">
        <f t="shared" si="107"/>
        <v>0</v>
      </c>
      <c r="H222" s="14">
        <f>H223+H224</f>
        <v>253</v>
      </c>
      <c r="I222" s="14">
        <f t="shared" ref="I222:K222" si="108">I223+I224</f>
        <v>0</v>
      </c>
      <c r="J222" s="14">
        <f t="shared" si="108"/>
        <v>172</v>
      </c>
      <c r="K222" s="14">
        <f t="shared" si="108"/>
        <v>0</v>
      </c>
      <c r="L222" s="16"/>
      <c r="M222" s="220"/>
      <c r="N222" s="221"/>
      <c r="O222" s="114"/>
      <c r="P222" s="114"/>
      <c r="Q222" s="114"/>
      <c r="S222">
        <f t="shared" si="101"/>
        <v>1265</v>
      </c>
      <c r="T222" s="44">
        <f>E222+апр!I215</f>
        <v>0</v>
      </c>
      <c r="U222" s="30">
        <f>F222+апр!J215</f>
        <v>172</v>
      </c>
    </row>
    <row r="223" spans="1:22" ht="17.25" customHeight="1">
      <c r="A223" s="18" t="s">
        <v>209</v>
      </c>
      <c r="B223" s="9" t="s">
        <v>210</v>
      </c>
      <c r="C223" s="8" t="s">
        <v>208</v>
      </c>
      <c r="D223" s="14">
        <v>236</v>
      </c>
      <c r="E223" s="8"/>
      <c r="F223" s="8"/>
      <c r="G223" s="8"/>
      <c r="H223" s="14">
        <v>236</v>
      </c>
      <c r="I223" s="8"/>
      <c r="J223" s="8">
        <v>164</v>
      </c>
      <c r="K223" s="8"/>
      <c r="L223" s="16"/>
      <c r="M223" s="220"/>
      <c r="N223" s="221"/>
      <c r="O223" s="114"/>
      <c r="P223" s="114"/>
      <c r="Q223" s="114"/>
      <c r="S223">
        <f t="shared" si="101"/>
        <v>1180</v>
      </c>
      <c r="T223" s="44">
        <f>E223+апр!I216</f>
        <v>0</v>
      </c>
      <c r="U223" s="30">
        <f>F223+апр!J216</f>
        <v>164</v>
      </c>
    </row>
    <row r="224" spans="1:22" ht="17.25" customHeight="1">
      <c r="A224" s="18" t="s">
        <v>211</v>
      </c>
      <c r="B224" s="9" t="s">
        <v>212</v>
      </c>
      <c r="C224" s="8" t="s">
        <v>208</v>
      </c>
      <c r="D224" s="14">
        <v>17</v>
      </c>
      <c r="E224" s="8"/>
      <c r="F224" s="8"/>
      <c r="G224" s="8"/>
      <c r="H224" s="14">
        <v>17</v>
      </c>
      <c r="I224" s="8"/>
      <c r="J224" s="8">
        <v>8</v>
      </c>
      <c r="K224" s="8"/>
      <c r="L224" s="16"/>
      <c r="M224" s="220"/>
      <c r="N224" s="221"/>
      <c r="O224" s="114"/>
      <c r="P224" s="114"/>
      <c r="Q224" s="114"/>
      <c r="S224">
        <f t="shared" si="101"/>
        <v>85</v>
      </c>
      <c r="T224" s="44">
        <f>E224+апр!I217</f>
        <v>0</v>
      </c>
      <c r="U224" s="30">
        <f>F224+апр!J217</f>
        <v>8</v>
      </c>
    </row>
    <row r="225" spans="1:21" ht="36" customHeight="1">
      <c r="A225" s="18" t="s">
        <v>213</v>
      </c>
      <c r="B225" s="9" t="s">
        <v>214</v>
      </c>
      <c r="C225" s="8" t="s">
        <v>16</v>
      </c>
      <c r="D225" s="14">
        <f>(D88+D151)/D222*1000</f>
        <v>86746.573122529648</v>
      </c>
      <c r="E225" s="8"/>
      <c r="F225" s="8"/>
      <c r="G225" s="8"/>
      <c r="H225" s="14">
        <f>(H88+H151)/H222*1000/8</f>
        <v>97589.894762845841</v>
      </c>
      <c r="I225" s="8"/>
      <c r="J225" s="14">
        <f>(J88+J151)/J222*1000/6</f>
        <v>179753.02616279072</v>
      </c>
      <c r="K225" s="8"/>
      <c r="L225" s="16"/>
      <c r="M225" s="220"/>
      <c r="N225" s="221"/>
      <c r="O225" s="114"/>
      <c r="P225" s="114"/>
      <c r="Q225" s="114"/>
      <c r="S225">
        <f t="shared" si="101"/>
        <v>433732.86561264825</v>
      </c>
      <c r="T225" s="44">
        <f>E225+апр!I218</f>
        <v>0</v>
      </c>
      <c r="U225" s="30">
        <f>F225+апр!J218</f>
        <v>113361.80523255812</v>
      </c>
    </row>
    <row r="226" spans="1:21" ht="17.25" customHeight="1">
      <c r="A226" s="18" t="s">
        <v>215</v>
      </c>
      <c r="B226" s="9" t="s">
        <v>210</v>
      </c>
      <c r="C226" s="8" t="s">
        <v>16</v>
      </c>
      <c r="D226" s="14">
        <f>D88/D223*1000</f>
        <v>84883.580508474581</v>
      </c>
      <c r="E226" s="8"/>
      <c r="F226" s="8"/>
      <c r="G226" s="8"/>
      <c r="H226" s="14">
        <f>H88/H223*1000/7</f>
        <v>109136.03208232443</v>
      </c>
      <c r="I226" s="8"/>
      <c r="J226" s="14">
        <f>J88/J223*1000/6</f>
        <v>175444.86280487804</v>
      </c>
      <c r="K226" s="8"/>
      <c r="L226" s="16"/>
      <c r="M226" s="220"/>
      <c r="N226" s="221"/>
      <c r="O226" s="114"/>
      <c r="P226" s="114"/>
      <c r="Q226" s="114"/>
      <c r="T226" s="44">
        <f>E226+апр!I219</f>
        <v>0</v>
      </c>
      <c r="U226" s="30">
        <f>F226+апр!J219</f>
        <v>110632.42835365853</v>
      </c>
    </row>
    <row r="227" spans="1:21" ht="17.25" customHeight="1">
      <c r="A227" s="18" t="s">
        <v>216</v>
      </c>
      <c r="B227" s="9" t="s">
        <v>212</v>
      </c>
      <c r="C227" s="8" t="s">
        <v>16</v>
      </c>
      <c r="D227" s="14">
        <f>D151/D224*1000</f>
        <v>112609.29411764705</v>
      </c>
      <c r="E227" s="8"/>
      <c r="F227" s="8"/>
      <c r="G227" s="8"/>
      <c r="H227" s="10"/>
      <c r="I227" s="8"/>
      <c r="J227" s="14">
        <f>J151/J224*1000/6</f>
        <v>268070.375</v>
      </c>
      <c r="K227" s="8"/>
      <c r="L227" s="16"/>
      <c r="M227" s="220"/>
      <c r="N227" s="221"/>
      <c r="O227" s="114"/>
      <c r="P227" s="114"/>
      <c r="Q227" s="114"/>
      <c r="T227" s="44">
        <f>E227+апр!I220</f>
        <v>0</v>
      </c>
      <c r="U227" s="30">
        <f>F227+апр!J220</f>
        <v>169314.03125</v>
      </c>
    </row>
    <row r="228" spans="1:21" ht="18.75">
      <c r="A228" s="29"/>
      <c r="B228" s="29"/>
      <c r="C228" s="29"/>
      <c r="D228" s="29"/>
      <c r="E228" s="29"/>
      <c r="F228" s="29"/>
      <c r="G228" s="29"/>
      <c r="H228" s="29">
        <f>H227*I224*12/1000</f>
        <v>0</v>
      </c>
      <c r="I228" s="29">
        <f>H225*I223*12/1000</f>
        <v>0</v>
      </c>
      <c r="J228" s="29"/>
      <c r="K228" s="29"/>
      <c r="L228" s="29"/>
      <c r="M228" s="29"/>
      <c r="N228" s="29">
        <f>H228+I228</f>
        <v>0</v>
      </c>
      <c r="O228" s="29"/>
      <c r="P228" s="29"/>
      <c r="Q228" s="29"/>
    </row>
    <row r="229" spans="1:21" ht="18.75">
      <c r="A229" s="29"/>
      <c r="B229" s="29"/>
      <c r="C229" s="29"/>
      <c r="D229" s="29"/>
      <c r="E229" s="29"/>
      <c r="F229" s="29"/>
      <c r="G229" s="29"/>
      <c r="H229" s="29">
        <v>607.40800000000002</v>
      </c>
      <c r="I229" s="29">
        <v>9999.5409999999993</v>
      </c>
      <c r="J229" s="29"/>
      <c r="K229" s="29"/>
      <c r="L229" s="29"/>
      <c r="M229" s="29"/>
      <c r="N229" s="29"/>
      <c r="O229" s="29"/>
      <c r="P229" s="29"/>
      <c r="Q229" s="29"/>
    </row>
    <row r="230" spans="1:21" ht="18.75">
      <c r="A230" s="29"/>
      <c r="B230" s="29"/>
      <c r="C230" s="29"/>
      <c r="D230" s="29"/>
      <c r="E230" s="29"/>
      <c r="F230" s="29"/>
      <c r="G230" s="29"/>
      <c r="H230" s="29">
        <v>953.40200000000004</v>
      </c>
      <c r="I230" s="29">
        <v>10043.467000000001</v>
      </c>
      <c r="J230" s="29"/>
      <c r="K230" s="29"/>
      <c r="L230" s="29"/>
      <c r="M230" s="29"/>
      <c r="N230" s="29"/>
      <c r="O230" s="29"/>
      <c r="P230" s="29"/>
      <c r="Q230" s="29"/>
    </row>
    <row r="231" spans="1:21" ht="18.75">
      <c r="A231" s="29"/>
      <c r="B231" s="29"/>
      <c r="C231" s="29"/>
      <c r="D231" s="29"/>
      <c r="E231" s="29"/>
      <c r="F231" s="29"/>
      <c r="G231" s="29"/>
      <c r="H231" s="29"/>
      <c r="I231" s="29">
        <f>888.772+371.175+148.47</f>
        <v>1408.4170000000001</v>
      </c>
      <c r="J231" s="29"/>
      <c r="K231" s="29"/>
      <c r="L231" s="29"/>
      <c r="M231" s="29"/>
      <c r="N231" s="29"/>
      <c r="O231" s="29"/>
      <c r="P231" s="29"/>
      <c r="Q231" s="29"/>
    </row>
    <row r="232" spans="1:21" ht="18.75">
      <c r="A232" s="29"/>
      <c r="B232" s="29"/>
      <c r="C232" s="29"/>
      <c r="D232" s="29"/>
      <c r="E232" s="29"/>
      <c r="F232" s="29"/>
      <c r="G232" s="29"/>
      <c r="H232" s="29">
        <f>SUM(H228:H230)</f>
        <v>1560.81</v>
      </c>
      <c r="I232" s="29">
        <f>SUM(I228:I231)</f>
        <v>21451.425000000003</v>
      </c>
      <c r="J232" s="29"/>
      <c r="K232" s="29"/>
      <c r="L232" s="29"/>
      <c r="M232" s="29"/>
      <c r="N232" s="29">
        <f>SUM(H232:M232)</f>
        <v>23012.235000000004</v>
      </c>
      <c r="O232" s="29"/>
      <c r="P232" s="29"/>
      <c r="Q232" s="29"/>
    </row>
    <row r="233" spans="1:21" ht="72.75" customHeight="1">
      <c r="A233" s="29"/>
      <c r="B233" s="29" t="s">
        <v>295</v>
      </c>
      <c r="C233" s="29"/>
      <c r="D233" s="29"/>
      <c r="E233" s="29"/>
      <c r="F233" s="29"/>
      <c r="G233" s="29"/>
      <c r="H233" s="29"/>
      <c r="I233" s="29" t="s">
        <v>296</v>
      </c>
      <c r="J233" s="29"/>
      <c r="K233" s="29"/>
      <c r="L233" s="29"/>
      <c r="M233" s="29"/>
      <c r="N233" s="29"/>
      <c r="O233" s="29"/>
      <c r="P233" s="29"/>
      <c r="Q233" s="29"/>
    </row>
    <row r="234" spans="1:21" ht="9" customHeight="1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</row>
    <row r="235" spans="1:21" ht="52.5" hidden="1" customHeight="1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</row>
    <row r="236" spans="1:21" ht="15.75" hidden="1" customHeight="1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</row>
    <row r="237" spans="1:21" ht="27" hidden="1" customHeight="1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</row>
    <row r="238" spans="1:21" ht="30" customHeight="1">
      <c r="A238" s="29"/>
      <c r="B238" s="29" t="s">
        <v>233</v>
      </c>
      <c r="C238" s="29"/>
      <c r="D238" s="29"/>
      <c r="E238" s="29"/>
      <c r="F238" s="29"/>
      <c r="G238" s="29"/>
      <c r="H238" s="29"/>
      <c r="I238" s="29" t="s">
        <v>234</v>
      </c>
      <c r="J238" s="29"/>
      <c r="K238" s="29"/>
      <c r="L238" s="29"/>
      <c r="M238" s="29"/>
      <c r="N238" s="29"/>
      <c r="O238" s="29"/>
      <c r="P238" s="29"/>
      <c r="Q238" s="29"/>
    </row>
    <row r="239" spans="1:21" ht="28.5" customHeight="1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</row>
    <row r="240" spans="1:21" ht="4.5" hidden="1" customHeight="1">
      <c r="B240" s="3" t="s">
        <v>233</v>
      </c>
      <c r="C240" s="3"/>
      <c r="D240" s="3"/>
      <c r="E240" s="3"/>
      <c r="F240" s="3"/>
      <c r="G240" s="3"/>
      <c r="H240" t="s">
        <v>234</v>
      </c>
    </row>
    <row r="241" spans="1:7" ht="16.5" customHeight="1">
      <c r="B241" s="4"/>
      <c r="C241" s="2"/>
      <c r="D241" s="2"/>
      <c r="E241" s="2"/>
      <c r="F241" s="2"/>
      <c r="G241" s="2"/>
    </row>
    <row r="242" spans="1:7" ht="15.75">
      <c r="A242" s="2"/>
      <c r="B242" s="2"/>
      <c r="C242" s="2"/>
      <c r="D242" s="2"/>
      <c r="E242" s="2"/>
      <c r="F242" s="2"/>
      <c r="G242" s="2"/>
    </row>
    <row r="243" spans="1:7" ht="15.75">
      <c r="A243" s="2"/>
      <c r="B243" s="2"/>
      <c r="C243" s="2"/>
      <c r="D243" s="2"/>
      <c r="E243" s="2"/>
      <c r="F243" s="2"/>
      <c r="G243" s="2"/>
    </row>
    <row r="244" spans="1:7" ht="15.75">
      <c r="A244" s="2"/>
      <c r="B244" s="2"/>
      <c r="C244" s="2"/>
      <c r="D244" s="2"/>
      <c r="E244" s="2"/>
      <c r="F244" s="2"/>
      <c r="G244" s="2"/>
    </row>
    <row r="245" spans="1:7" ht="15.75">
      <c r="A245" s="4" t="s">
        <v>235</v>
      </c>
      <c r="B245" s="2"/>
      <c r="C245" s="2"/>
      <c r="D245" s="2"/>
      <c r="E245" s="2"/>
      <c r="F245" s="2"/>
      <c r="G245" s="2"/>
    </row>
    <row r="246" spans="1:7" ht="15.75">
      <c r="A246" s="2"/>
      <c r="B246" s="2"/>
      <c r="C246" s="2"/>
      <c r="D246" s="2"/>
      <c r="E246" s="2"/>
      <c r="F246" s="2"/>
      <c r="G246" s="2"/>
    </row>
  </sheetData>
  <mergeCells count="224">
    <mergeCell ref="M227:N227"/>
    <mergeCell ref="M221:N221"/>
    <mergeCell ref="M222:N222"/>
    <mergeCell ref="M223:N223"/>
    <mergeCell ref="M224:N224"/>
    <mergeCell ref="M225:N225"/>
    <mergeCell ref="M226:N226"/>
    <mergeCell ref="M217:N217"/>
    <mergeCell ref="A218:A219"/>
    <mergeCell ref="B218:B219"/>
    <mergeCell ref="M218:N218"/>
    <mergeCell ref="M219:N219"/>
    <mergeCell ref="M220:N220"/>
    <mergeCell ref="M209:N209"/>
    <mergeCell ref="M210:N210"/>
    <mergeCell ref="M212:N212"/>
    <mergeCell ref="M213:N213"/>
    <mergeCell ref="M214:N214"/>
    <mergeCell ref="A215:A216"/>
    <mergeCell ref="B215:B216"/>
    <mergeCell ref="M215:N215"/>
    <mergeCell ref="M216:N216"/>
    <mergeCell ref="M203:N203"/>
    <mergeCell ref="M204:N204"/>
    <mergeCell ref="M205:N205"/>
    <mergeCell ref="M206:N206"/>
    <mergeCell ref="M207:N207"/>
    <mergeCell ref="M208:N208"/>
    <mergeCell ref="M197:N197"/>
    <mergeCell ref="M198:N198"/>
    <mergeCell ref="M199:N199"/>
    <mergeCell ref="M200:N200"/>
    <mergeCell ref="M201:N201"/>
    <mergeCell ref="M202:N202"/>
    <mergeCell ref="M191:N191"/>
    <mergeCell ref="M192:N192"/>
    <mergeCell ref="M193:N193"/>
    <mergeCell ref="M194:N194"/>
    <mergeCell ref="M195:N195"/>
    <mergeCell ref="M196:N196"/>
    <mergeCell ref="M185:N185"/>
    <mergeCell ref="M186:N186"/>
    <mergeCell ref="M187:N187"/>
    <mergeCell ref="M188:N188"/>
    <mergeCell ref="M189:N189"/>
    <mergeCell ref="M190:N190"/>
    <mergeCell ref="M178:N178"/>
    <mergeCell ref="M179:N179"/>
    <mergeCell ref="M180:N180"/>
    <mergeCell ref="M181:N181"/>
    <mergeCell ref="M182:N182"/>
    <mergeCell ref="M183:N183"/>
    <mergeCell ref="M172:N172"/>
    <mergeCell ref="M173:N173"/>
    <mergeCell ref="M174:N174"/>
    <mergeCell ref="M175:N175"/>
    <mergeCell ref="M176:N176"/>
    <mergeCell ref="M177:N177"/>
    <mergeCell ref="M166:N166"/>
    <mergeCell ref="M167:N167"/>
    <mergeCell ref="M168:N168"/>
    <mergeCell ref="M169:N169"/>
    <mergeCell ref="M170:N170"/>
    <mergeCell ref="M171:N171"/>
    <mergeCell ref="M160:N160"/>
    <mergeCell ref="M161:N161"/>
    <mergeCell ref="M162:N162"/>
    <mergeCell ref="M163:N163"/>
    <mergeCell ref="M164:N164"/>
    <mergeCell ref="M165:N165"/>
    <mergeCell ref="M151:N151"/>
    <mergeCell ref="M152:N152"/>
    <mergeCell ref="M156:N156"/>
    <mergeCell ref="M157:N157"/>
    <mergeCell ref="M158:N158"/>
    <mergeCell ref="M159:N159"/>
    <mergeCell ref="M145:N145"/>
    <mergeCell ref="M146:N146"/>
    <mergeCell ref="M147:N147"/>
    <mergeCell ref="M148:N148"/>
    <mergeCell ref="M149:N149"/>
    <mergeCell ref="M150:N150"/>
    <mergeCell ref="M131:N131"/>
    <mergeCell ref="M132:N132"/>
    <mergeCell ref="M133:N133"/>
    <mergeCell ref="M134:N134"/>
    <mergeCell ref="M135:N135"/>
    <mergeCell ref="M144:N144"/>
    <mergeCell ref="M125:N125"/>
    <mergeCell ref="M126:N126"/>
    <mergeCell ref="M127:N127"/>
    <mergeCell ref="M128:N128"/>
    <mergeCell ref="M129:N129"/>
    <mergeCell ref="M130:N130"/>
    <mergeCell ref="M119:N119"/>
    <mergeCell ref="M120:N120"/>
    <mergeCell ref="M121:N121"/>
    <mergeCell ref="M122:N122"/>
    <mergeCell ref="M123:N123"/>
    <mergeCell ref="M124:N124"/>
    <mergeCell ref="M113:N113"/>
    <mergeCell ref="M114:N114"/>
    <mergeCell ref="M115:N115"/>
    <mergeCell ref="M116:N116"/>
    <mergeCell ref="M117:N117"/>
    <mergeCell ref="M118:N118"/>
    <mergeCell ref="M107:N107"/>
    <mergeCell ref="M108:N108"/>
    <mergeCell ref="M109:N109"/>
    <mergeCell ref="M110:N110"/>
    <mergeCell ref="M111:N111"/>
    <mergeCell ref="M112:N112"/>
    <mergeCell ref="M101:N101"/>
    <mergeCell ref="M102:N102"/>
    <mergeCell ref="M103:N103"/>
    <mergeCell ref="M104:N104"/>
    <mergeCell ref="M105:N105"/>
    <mergeCell ref="M106:N106"/>
    <mergeCell ref="M95:N95"/>
    <mergeCell ref="M96:N96"/>
    <mergeCell ref="M97:N97"/>
    <mergeCell ref="M98:N98"/>
    <mergeCell ref="M99:N99"/>
    <mergeCell ref="M100:N100"/>
    <mergeCell ref="M86:N86"/>
    <mergeCell ref="M87:N87"/>
    <mergeCell ref="M88:N88"/>
    <mergeCell ref="M89:N89"/>
    <mergeCell ref="M93:N93"/>
    <mergeCell ref="M94:N94"/>
    <mergeCell ref="M79:N79"/>
    <mergeCell ref="M80:N80"/>
    <mergeCell ref="M81:N81"/>
    <mergeCell ref="M82:N82"/>
    <mergeCell ref="M83:N83"/>
    <mergeCell ref="M84:N85"/>
    <mergeCell ref="M73:N73"/>
    <mergeCell ref="M74:N74"/>
    <mergeCell ref="M75:N75"/>
    <mergeCell ref="M76:N76"/>
    <mergeCell ref="M77:N77"/>
    <mergeCell ref="M78:N78"/>
    <mergeCell ref="M66:N66"/>
    <mergeCell ref="M67:N67"/>
    <mergeCell ref="M68:N68"/>
    <mergeCell ref="M69:N70"/>
    <mergeCell ref="M71:N71"/>
    <mergeCell ref="M72:N72"/>
    <mergeCell ref="M59:N59"/>
    <mergeCell ref="M60:N61"/>
    <mergeCell ref="M62:N62"/>
    <mergeCell ref="M63:N63"/>
    <mergeCell ref="M64:N64"/>
    <mergeCell ref="M65:N65"/>
    <mergeCell ref="M52:N52"/>
    <mergeCell ref="M53:N53"/>
    <mergeCell ref="M54:N54"/>
    <mergeCell ref="M55:N55"/>
    <mergeCell ref="M56:N56"/>
    <mergeCell ref="M57:N58"/>
    <mergeCell ref="M46:N46"/>
    <mergeCell ref="M47:N47"/>
    <mergeCell ref="M48:N48"/>
    <mergeCell ref="M49:N49"/>
    <mergeCell ref="M50:N50"/>
    <mergeCell ref="M51:N51"/>
    <mergeCell ref="M39:N39"/>
    <mergeCell ref="M40:N40"/>
    <mergeCell ref="M41:N41"/>
    <mergeCell ref="M42:N43"/>
    <mergeCell ref="M44:N44"/>
    <mergeCell ref="M45:N45"/>
    <mergeCell ref="M33:N33"/>
    <mergeCell ref="M34:N34"/>
    <mergeCell ref="M35:N35"/>
    <mergeCell ref="M36:N36"/>
    <mergeCell ref="M37:N37"/>
    <mergeCell ref="M38:N38"/>
    <mergeCell ref="M27:N27"/>
    <mergeCell ref="M28:N28"/>
    <mergeCell ref="M29:N29"/>
    <mergeCell ref="M30:N30"/>
    <mergeCell ref="M31:N31"/>
    <mergeCell ref="M32:N32"/>
    <mergeCell ref="M21:N21"/>
    <mergeCell ref="M22:N22"/>
    <mergeCell ref="M23:N23"/>
    <mergeCell ref="M24:N24"/>
    <mergeCell ref="M25:N25"/>
    <mergeCell ref="M26:N26"/>
    <mergeCell ref="M15:N15"/>
    <mergeCell ref="M16:N16"/>
    <mergeCell ref="M17:N17"/>
    <mergeCell ref="M18:N18"/>
    <mergeCell ref="M19:N19"/>
    <mergeCell ref="M20:N20"/>
    <mergeCell ref="M9:N9"/>
    <mergeCell ref="M10:N10"/>
    <mergeCell ref="M11:N11"/>
    <mergeCell ref="M12:N12"/>
    <mergeCell ref="M13:N13"/>
    <mergeCell ref="M14:N14"/>
    <mergeCell ref="O5:O6"/>
    <mergeCell ref="P5:P6"/>
    <mergeCell ref="M7:N7"/>
    <mergeCell ref="M8:N8"/>
    <mergeCell ref="E5:E6"/>
    <mergeCell ref="F5:F6"/>
    <mergeCell ref="G5:G6"/>
    <mergeCell ref="H5:H6"/>
    <mergeCell ref="I5:I6"/>
    <mergeCell ref="J5:J6"/>
    <mergeCell ref="A1:N1"/>
    <mergeCell ref="A2:N2"/>
    <mergeCell ref="A3:C3"/>
    <mergeCell ref="A4:A6"/>
    <mergeCell ref="B4:B6"/>
    <mergeCell ref="C4:C6"/>
    <mergeCell ref="D4:G4"/>
    <mergeCell ref="H4:L4"/>
    <mergeCell ref="M4:N6"/>
    <mergeCell ref="D5:D6"/>
    <mergeCell ref="K5:K6"/>
    <mergeCell ref="L5:L6"/>
  </mergeCells>
  <pageMargins left="0" right="0" top="0.94488188976377963" bottom="0.39370078740157483" header="0.31496062992125984" footer="0.31496062992125984"/>
  <pageSetup paperSize="9" scale="7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ян</vt:lpstr>
      <vt:lpstr>фев</vt:lpstr>
      <vt:lpstr>март</vt:lpstr>
      <vt:lpstr>апр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ноябрь за 11 мес</vt:lpstr>
      <vt:lpstr>сентябрь на корретировку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01</cp:lastModifiedBy>
  <cp:lastPrinted>2018-12-11T10:59:55Z</cp:lastPrinted>
  <dcterms:created xsi:type="dcterms:W3CDTF">2016-02-24T04:13:12Z</dcterms:created>
  <dcterms:modified xsi:type="dcterms:W3CDTF">2018-12-11T10:59:58Z</dcterms:modified>
</cp:coreProperties>
</file>