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1" i="1"/>
  <c r="F70"/>
  <c r="E65" l="1"/>
  <c r="E12"/>
  <c r="H12"/>
  <c r="D13"/>
  <c r="D12" s="1"/>
  <c r="G14"/>
  <c r="F13" l="1"/>
  <c r="F12" s="1"/>
  <c r="F11" s="1"/>
  <c r="F10" s="1"/>
  <c r="G13"/>
  <c r="E31"/>
  <c r="F49"/>
  <c r="F48"/>
  <c r="E44"/>
  <c r="E42" s="1"/>
  <c r="E38"/>
  <c r="E34"/>
  <c r="E30"/>
  <c r="E73" s="1"/>
  <c r="E25"/>
  <c r="E24" s="1"/>
  <c r="E9"/>
  <c r="E11"/>
  <c r="D66"/>
  <c r="F66" s="1"/>
  <c r="F65" s="1"/>
  <c r="D62"/>
  <c r="G62" s="1"/>
  <c r="I62" s="1"/>
  <c r="D61"/>
  <c r="G61" s="1"/>
  <c r="I61" s="1"/>
  <c r="D60"/>
  <c r="F60" s="1"/>
  <c r="D59"/>
  <c r="G59" s="1"/>
  <c r="D57"/>
  <c r="F57" s="1"/>
  <c r="D56"/>
  <c r="F56" s="1"/>
  <c r="D47"/>
  <c r="G47" s="1"/>
  <c r="D46"/>
  <c r="G46" s="1"/>
  <c r="D45"/>
  <c r="G45" s="1"/>
  <c r="D43"/>
  <c r="D38"/>
  <c r="G38" s="1"/>
  <c r="I38" s="1"/>
  <c r="D37"/>
  <c r="F37" s="1"/>
  <c r="D36"/>
  <c r="G36" s="1"/>
  <c r="I36" s="1"/>
  <c r="D34"/>
  <c r="D33"/>
  <c r="F33" s="1"/>
  <c r="D32"/>
  <c r="F32" s="1"/>
  <c r="D30"/>
  <c r="D28"/>
  <c r="F28" s="1"/>
  <c r="D9"/>
  <c r="G9" s="1"/>
  <c r="I9" s="1"/>
  <c r="D26"/>
  <c r="D25" s="1"/>
  <c r="D24" s="1"/>
  <c r="D22"/>
  <c r="D19"/>
  <c r="F19" s="1"/>
  <c r="I66"/>
  <c r="I65" s="1"/>
  <c r="H65"/>
  <c r="G65"/>
  <c r="F61"/>
  <c r="H58"/>
  <c r="E58"/>
  <c r="E51" s="1"/>
  <c r="E50" s="1"/>
  <c r="G56"/>
  <c r="I56" s="1"/>
  <c r="H51"/>
  <c r="H50" s="1"/>
  <c r="H42"/>
  <c r="H35" s="1"/>
  <c r="G41"/>
  <c r="G40"/>
  <c r="G39"/>
  <c r="H31"/>
  <c r="H29" s="1"/>
  <c r="G27"/>
  <c r="H26"/>
  <c r="H27" s="1"/>
  <c r="E26"/>
  <c r="G26"/>
  <c r="H24"/>
  <c r="G23"/>
  <c r="F22"/>
  <c r="F21" s="1"/>
  <c r="H21"/>
  <c r="E21"/>
  <c r="G20"/>
  <c r="H18"/>
  <c r="E18"/>
  <c r="H16"/>
  <c r="E16"/>
  <c r="H11"/>
  <c r="H10" s="1"/>
  <c r="H8" s="1"/>
  <c r="F73" l="1"/>
  <c r="E74"/>
  <c r="F74" s="1"/>
  <c r="D18"/>
  <c r="G19"/>
  <c r="I19" s="1"/>
  <c r="I18" s="1"/>
  <c r="F30"/>
  <c r="F47"/>
  <c r="F34"/>
  <c r="F38"/>
  <c r="G12"/>
  <c r="I13"/>
  <c r="I12" s="1"/>
  <c r="F59"/>
  <c r="F46"/>
  <c r="G18"/>
  <c r="E27"/>
  <c r="D65"/>
  <c r="E29"/>
  <c r="F45"/>
  <c r="E35"/>
  <c r="H7"/>
  <c r="H63" s="1"/>
  <c r="G60"/>
  <c r="I60" s="1"/>
  <c r="G57"/>
  <c r="I57" s="1"/>
  <c r="D44"/>
  <c r="G43"/>
  <c r="G37"/>
  <c r="I37" s="1"/>
  <c r="F36"/>
  <c r="G30"/>
  <c r="I30" s="1"/>
  <c r="F9"/>
  <c r="H17"/>
  <c r="H15" s="1"/>
  <c r="F31"/>
  <c r="F29" s="1"/>
  <c r="E17"/>
  <c r="E15" s="1"/>
  <c r="E10" s="1"/>
  <c r="E8" s="1"/>
  <c r="F62"/>
  <c r="F58" s="1"/>
  <c r="F51" s="1"/>
  <c r="F50" s="1"/>
  <c r="G44"/>
  <c r="I44" s="1"/>
  <c r="F43"/>
  <c r="F25"/>
  <c r="F24" s="1"/>
  <c r="I59"/>
  <c r="F18"/>
  <c r="F17" s="1"/>
  <c r="F15" s="1"/>
  <c r="F16"/>
  <c r="G25"/>
  <c r="I26"/>
  <c r="D16"/>
  <c r="D11"/>
  <c r="D21"/>
  <c r="D17" s="1"/>
  <c r="D15" s="1"/>
  <c r="G22"/>
  <c r="G28"/>
  <c r="I28" s="1"/>
  <c r="D31"/>
  <c r="G32"/>
  <c r="I32" s="1"/>
  <c r="G33"/>
  <c r="I33" s="1"/>
  <c r="G34"/>
  <c r="I34" s="1"/>
  <c r="F26"/>
  <c r="D58"/>
  <c r="E7" l="1"/>
  <c r="E63" s="1"/>
  <c r="E64" s="1"/>
  <c r="D51"/>
  <c r="D50" s="1"/>
  <c r="I58"/>
  <c r="G58"/>
  <c r="G51" s="1"/>
  <c r="G50" s="1"/>
  <c r="I51"/>
  <c r="I50" s="1"/>
  <c r="F44"/>
  <c r="F42" s="1"/>
  <c r="F35" s="1"/>
  <c r="D42"/>
  <c r="D35" s="1"/>
  <c r="G42"/>
  <c r="G35" s="1"/>
  <c r="I43"/>
  <c r="I42" s="1"/>
  <c r="I35" s="1"/>
  <c r="I31"/>
  <c r="I29" s="1"/>
  <c r="F8"/>
  <c r="G31"/>
  <c r="G29" s="1"/>
  <c r="D29"/>
  <c r="G11"/>
  <c r="G10" s="1"/>
  <c r="I11"/>
  <c r="I10" s="1"/>
  <c r="G21"/>
  <c r="G17" s="1"/>
  <c r="G15" s="1"/>
  <c r="I22"/>
  <c r="G24"/>
  <c r="I25"/>
  <c r="I24" s="1"/>
  <c r="D10"/>
  <c r="D8" s="1"/>
  <c r="G16"/>
  <c r="D7" l="1"/>
  <c r="D63" s="1"/>
  <c r="D64" s="1"/>
  <c r="F64" s="1"/>
  <c r="F7"/>
  <c r="F63" s="1"/>
  <c r="I16"/>
  <c r="I21"/>
  <c r="I17" s="1"/>
  <c r="I15" s="1"/>
  <c r="G8"/>
  <c r="G7" s="1"/>
  <c r="G63" s="1"/>
  <c r="I8"/>
  <c r="I7" s="1"/>
  <c r="I63" s="1"/>
</calcChain>
</file>

<file path=xl/sharedStrings.xml><?xml version="1.0" encoding="utf-8"?>
<sst xmlns="http://schemas.openxmlformats.org/spreadsheetml/2006/main" count="206" uniqueCount="130">
  <si>
    <t>Акмолинский филиал республиканского государственного предприятия на праве хозяйственного ведения "Казводхоз" Комитета по водным ресурсам Министерства сельского хозяйства</t>
  </si>
  <si>
    <t>№ п/п</t>
  </si>
  <si>
    <t>Наименование</t>
  </si>
  <si>
    <t>Ед. изм.</t>
  </si>
  <si>
    <t>с начала года</t>
  </si>
  <si>
    <t>план согласно утвержденной сметы</t>
  </si>
  <si>
    <t>фактические затраты за месяц</t>
  </si>
  <si>
    <t>отклонение +,-</t>
  </si>
  <si>
    <t>отклонение ,%</t>
  </si>
  <si>
    <t>I</t>
  </si>
  <si>
    <t>Затраты на производство и представление услуг-всего</t>
  </si>
  <si>
    <t>тыс.тенге</t>
  </si>
  <si>
    <t>1.</t>
  </si>
  <si>
    <t>Материальные затраты, всего</t>
  </si>
  <si>
    <t>1.1.</t>
  </si>
  <si>
    <t>Сырьё и материалы, всего</t>
  </si>
  <si>
    <t>1.2.</t>
  </si>
  <si>
    <t xml:space="preserve">ГСМ </t>
  </si>
  <si>
    <t>1.2.1.</t>
  </si>
  <si>
    <t>Бензин</t>
  </si>
  <si>
    <t>Аи 92</t>
  </si>
  <si>
    <t>объем</t>
  </si>
  <si>
    <t>л</t>
  </si>
  <si>
    <t>цена</t>
  </si>
  <si>
    <t>тенге</t>
  </si>
  <si>
    <t>1.2.3.</t>
  </si>
  <si>
    <t>Масла и смазки</t>
  </si>
  <si>
    <t>общая сумма</t>
  </si>
  <si>
    <t>моторное масло</t>
  </si>
  <si>
    <t>трансмисионное</t>
  </si>
  <si>
    <t>1.3.</t>
  </si>
  <si>
    <t>электроэнергия</t>
  </si>
  <si>
    <t>ТОО "Кокшетау Энерго Центр" Горэлектросети</t>
  </si>
  <si>
    <t>1.4.</t>
  </si>
  <si>
    <t>Запасные части</t>
  </si>
  <si>
    <t>2.</t>
  </si>
  <si>
    <t>Затраты на оплату труда, всего</t>
  </si>
  <si>
    <t>2.1.</t>
  </si>
  <si>
    <t>Заработная плата производственного персонала</t>
  </si>
  <si>
    <t>2.2.</t>
  </si>
  <si>
    <t>Социальный налог</t>
  </si>
  <si>
    <t>2.2.1.</t>
  </si>
  <si>
    <t>соц.отчисления</t>
  </si>
  <si>
    <t>2.2.2.</t>
  </si>
  <si>
    <t>соц.налог</t>
  </si>
  <si>
    <t>3.</t>
  </si>
  <si>
    <t>Амортизация</t>
  </si>
  <si>
    <t>4.</t>
  </si>
  <si>
    <t>Прочие затараты, всего</t>
  </si>
  <si>
    <t>4.1.</t>
  </si>
  <si>
    <t>услуги по обслуживанию систем видеонаблюдения</t>
  </si>
  <si>
    <t>4.2.</t>
  </si>
  <si>
    <t>охрана пультом</t>
  </si>
  <si>
    <t>4.3.</t>
  </si>
  <si>
    <t>Командировки</t>
  </si>
  <si>
    <t>5.2.1.</t>
  </si>
  <si>
    <t>проживание</t>
  </si>
  <si>
    <t>5.2.2.</t>
  </si>
  <si>
    <t>за проезд</t>
  </si>
  <si>
    <t>5.2.3.</t>
  </si>
  <si>
    <t>суточные</t>
  </si>
  <si>
    <t>4.4.</t>
  </si>
  <si>
    <t>охрана труда и ТБ</t>
  </si>
  <si>
    <t>4.4.1.</t>
  </si>
  <si>
    <t>спец.одежда</t>
  </si>
  <si>
    <t>4.4.2.</t>
  </si>
  <si>
    <t>страхование</t>
  </si>
  <si>
    <t>4.4.2.1.</t>
  </si>
  <si>
    <t>Обязательное страхование ГПО владельцев ТС</t>
  </si>
  <si>
    <t>4.4.2.2.</t>
  </si>
  <si>
    <t>Обязательное страхование работников</t>
  </si>
  <si>
    <t>4.4.2.3.</t>
  </si>
  <si>
    <t>Обследование грузоподъемного крана</t>
  </si>
  <si>
    <t>4.5.</t>
  </si>
  <si>
    <t>обучение и проверка знаний по ТБ и ОТ</t>
  </si>
  <si>
    <t>II</t>
  </si>
  <si>
    <t>Расходы периода, всего</t>
  </si>
  <si>
    <t>5.</t>
  </si>
  <si>
    <t>Общие и административные расходы</t>
  </si>
  <si>
    <t>5.1.</t>
  </si>
  <si>
    <t>Заработная плата административного персонала</t>
  </si>
  <si>
    <t>5.2.</t>
  </si>
  <si>
    <t>социальный налог</t>
  </si>
  <si>
    <t>соц.отчисление</t>
  </si>
  <si>
    <t>5.3.</t>
  </si>
  <si>
    <t>услуги банков</t>
  </si>
  <si>
    <t>5.4.</t>
  </si>
  <si>
    <t>канцтовары</t>
  </si>
  <si>
    <t>5.5.</t>
  </si>
  <si>
    <t>Налоги</t>
  </si>
  <si>
    <t>5.5.1.</t>
  </si>
  <si>
    <t>налоги на имущество</t>
  </si>
  <si>
    <t>5.5.2.</t>
  </si>
  <si>
    <t>земельный налог</t>
  </si>
  <si>
    <t>5.5.3.</t>
  </si>
  <si>
    <t>на транспорт</t>
  </si>
  <si>
    <t>5.5.4.</t>
  </si>
  <si>
    <t>плата в фонд охраны природы (от передвижных)</t>
  </si>
  <si>
    <t>III</t>
  </si>
  <si>
    <t>Всего затрат</t>
  </si>
  <si>
    <t>IV</t>
  </si>
  <si>
    <t>Прибыль</t>
  </si>
  <si>
    <t>V</t>
  </si>
  <si>
    <t>Всего доходов</t>
  </si>
  <si>
    <t>VI</t>
  </si>
  <si>
    <t>Объем оказываемых услуг</t>
  </si>
  <si>
    <t>тыс.м3</t>
  </si>
  <si>
    <t>VII</t>
  </si>
  <si>
    <t>Тариф без НДС</t>
  </si>
  <si>
    <t>тенге/м3</t>
  </si>
  <si>
    <t>Справочно:</t>
  </si>
  <si>
    <t>Среднесписочная численность работников, всего</t>
  </si>
  <si>
    <t>человек</t>
  </si>
  <si>
    <t>6.1.</t>
  </si>
  <si>
    <t>производственного персонала</t>
  </si>
  <si>
    <t>6.2.</t>
  </si>
  <si>
    <t>административного персонала</t>
  </si>
  <si>
    <t>7.</t>
  </si>
  <si>
    <t>Среднемесячная заработная платаъ, всего</t>
  </si>
  <si>
    <t>7.1.</t>
  </si>
  <si>
    <t>7.2.</t>
  </si>
  <si>
    <t>Отчет об исполнении тарифной сметы на услуги по регулированию поверхностного стока при помощи подпорных гидротехнических сооружений по Чаглинскому гидроузлу за 5 месяцев 2017 года</t>
  </si>
  <si>
    <t>за 5 месяцев</t>
  </si>
  <si>
    <t xml:space="preserve">фактические затраты </t>
  </si>
  <si>
    <t>4.6.</t>
  </si>
  <si>
    <t>Услуги связи</t>
  </si>
  <si>
    <t>И.о. директора Акмолинского филиала</t>
  </si>
  <si>
    <t>Б. Базарбаев</t>
  </si>
  <si>
    <t>Главный бухгалтер</t>
  </si>
  <si>
    <t>Г. Жуманова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</si>
</sst>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"/>
    <numFmt numFmtId="166" formatCode="0.0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Border="1"/>
    <xf numFmtId="0" fontId="5" fillId="2" borderId="8" xfId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0" fontId="6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4" fontId="6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164" fontId="3" fillId="2" borderId="8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2" fontId="6" fillId="0" borderId="8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left" vertical="center"/>
    </xf>
    <xf numFmtId="164" fontId="4" fillId="2" borderId="8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6" fontId="3" fillId="0" borderId="0" xfId="0" applyNumberFormat="1" applyFont="1"/>
    <xf numFmtId="0" fontId="6" fillId="2" borderId="8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6" fillId="2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166" fontId="3" fillId="0" borderId="8" xfId="0" applyNumberFormat="1" applyFont="1" applyBorder="1" applyAlignment="1">
      <alignment horizontal="center" vertical="center" wrapText="1"/>
    </xf>
    <xf numFmtId="166" fontId="3" fillId="0" borderId="8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2" borderId="8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5" fillId="0" borderId="0" xfId="0" applyFont="1"/>
    <xf numFmtId="49" fontId="5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wrapText="1"/>
    </xf>
    <xf numFmtId="0" fontId="5" fillId="2" borderId="0" xfId="1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2" fillId="2" borderId="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8"/>
  <sheetViews>
    <sheetView tabSelected="1" topLeftCell="A69" workbookViewId="0">
      <selection activeCell="M77" sqref="M77:M79"/>
    </sheetView>
  </sheetViews>
  <sheetFormatPr defaultRowHeight="15.75"/>
  <cols>
    <col min="1" max="1" width="8.42578125" style="2" customWidth="1"/>
    <col min="2" max="2" width="39.42578125" style="2" customWidth="1"/>
    <col min="3" max="3" width="13" style="2" customWidth="1"/>
    <col min="4" max="4" width="15" style="2" customWidth="1"/>
    <col min="5" max="5" width="13.85546875" style="2" customWidth="1"/>
    <col min="6" max="6" width="13.5703125" style="2" customWidth="1"/>
    <col min="7" max="7" width="15.140625" style="2" hidden="1" customWidth="1"/>
    <col min="8" max="8" width="13.7109375" style="2" hidden="1" customWidth="1"/>
    <col min="9" max="9" width="11.28515625" style="2" hidden="1" customWidth="1"/>
    <col min="10" max="10" width="9.140625" style="2" hidden="1" customWidth="1"/>
    <col min="11" max="11" width="15" style="2" customWidth="1"/>
    <col min="12" max="12" width="14.140625" style="2" customWidth="1"/>
    <col min="13" max="13" width="13.5703125" style="2" customWidth="1"/>
    <col min="14" max="14" width="13.140625" style="2" customWidth="1"/>
    <col min="15" max="15" width="14.7109375" style="2" customWidth="1"/>
    <col min="16" max="16" width="14.42578125" style="2" customWidth="1"/>
    <col min="17" max="17" width="9.140625" style="2"/>
    <col min="18" max="18" width="9.5703125" style="2" customWidth="1"/>
    <col min="19" max="19" width="9.140625" style="2"/>
    <col min="20" max="20" width="9.5703125" style="2" bestFit="1" customWidth="1"/>
    <col min="21" max="16384" width="9.140625" style="2"/>
  </cols>
  <sheetData>
    <row r="1" spans="1:22" ht="48.75" customHeight="1">
      <c r="A1" s="86" t="s">
        <v>121</v>
      </c>
      <c r="B1" s="86"/>
      <c r="C1" s="86"/>
      <c r="D1" s="86"/>
      <c r="E1" s="86"/>
      <c r="F1" s="86"/>
    </row>
    <row r="2" spans="1:22" ht="44.25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1"/>
      <c r="L2" s="1"/>
      <c r="M2" s="1"/>
      <c r="N2" s="1"/>
      <c r="O2" s="1"/>
      <c r="P2" s="1"/>
      <c r="Q2" s="1"/>
      <c r="R2" s="1"/>
    </row>
    <row r="3" spans="1:22">
      <c r="A3" s="72" t="s">
        <v>1</v>
      </c>
      <c r="B3" s="75" t="s">
        <v>2</v>
      </c>
      <c r="C3" s="78" t="s">
        <v>3</v>
      </c>
      <c r="D3" s="79" t="s">
        <v>122</v>
      </c>
      <c r="E3" s="80"/>
      <c r="F3" s="81"/>
      <c r="G3" s="79" t="s">
        <v>4</v>
      </c>
      <c r="H3" s="80"/>
      <c r="I3" s="80"/>
      <c r="J3" s="81"/>
      <c r="K3" s="3"/>
      <c r="L3" s="3"/>
      <c r="M3" s="87"/>
      <c r="N3" s="87"/>
      <c r="O3" s="87"/>
      <c r="P3" s="87"/>
      <c r="Q3" s="87"/>
      <c r="R3" s="87"/>
      <c r="S3" s="87"/>
      <c r="T3" s="87"/>
      <c r="U3" s="87"/>
      <c r="V3" s="87"/>
    </row>
    <row r="4" spans="1:22">
      <c r="A4" s="73"/>
      <c r="B4" s="76"/>
      <c r="C4" s="73"/>
      <c r="D4" s="82" t="s">
        <v>5</v>
      </c>
      <c r="E4" s="82" t="s">
        <v>123</v>
      </c>
      <c r="F4" s="82" t="s">
        <v>7</v>
      </c>
      <c r="G4" s="82" t="s">
        <v>5</v>
      </c>
      <c r="H4" s="82" t="s">
        <v>6</v>
      </c>
      <c r="I4" s="82" t="s">
        <v>7</v>
      </c>
      <c r="J4" s="82" t="s">
        <v>8</v>
      </c>
    </row>
    <row r="5" spans="1:22" ht="31.5" customHeight="1">
      <c r="A5" s="74"/>
      <c r="B5" s="77"/>
      <c r="C5" s="74"/>
      <c r="D5" s="83"/>
      <c r="E5" s="83"/>
      <c r="F5" s="83"/>
      <c r="G5" s="83"/>
      <c r="H5" s="83"/>
      <c r="I5" s="83"/>
      <c r="J5" s="83"/>
    </row>
    <row r="6" spans="1:2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22" ht="31.5">
      <c r="A7" s="5" t="s">
        <v>9</v>
      </c>
      <c r="B7" s="6" t="s">
        <v>10</v>
      </c>
      <c r="C7" s="7" t="s">
        <v>11</v>
      </c>
      <c r="D7" s="8">
        <f t="shared" ref="D7:I7" si="0">D8+D29+D34+D35</f>
        <v>5712.3409977083338</v>
      </c>
      <c r="E7" s="8">
        <f t="shared" si="0"/>
        <v>4958.3029999999999</v>
      </c>
      <c r="F7" s="8">
        <f t="shared" si="0"/>
        <v>-1273.2997948333332</v>
      </c>
      <c r="G7" s="8">
        <f t="shared" si="0"/>
        <v>6173.2068015000004</v>
      </c>
      <c r="H7" s="8">
        <f t="shared" si="0"/>
        <v>539.38200000000006</v>
      </c>
      <c r="I7" s="8">
        <f t="shared" si="0"/>
        <v>-5633.8248015000008</v>
      </c>
      <c r="J7" s="9"/>
    </row>
    <row r="8" spans="1:22">
      <c r="A8" s="10" t="s">
        <v>12</v>
      </c>
      <c r="B8" s="6" t="s">
        <v>13</v>
      </c>
      <c r="C8" s="7" t="s">
        <v>11</v>
      </c>
      <c r="D8" s="8">
        <f t="shared" ref="D8:I8" si="1">D9+D10+D24+D28</f>
        <v>619.18808104166669</v>
      </c>
      <c r="E8" s="8">
        <f t="shared" si="1"/>
        <v>557.52199999999993</v>
      </c>
      <c r="F8" s="8">
        <f t="shared" si="1"/>
        <v>-578.92787816666669</v>
      </c>
      <c r="G8" s="8">
        <f t="shared" si="1"/>
        <v>1080.0538848333333</v>
      </c>
      <c r="H8" s="8">
        <f t="shared" si="1"/>
        <v>57.478000000000002</v>
      </c>
      <c r="I8" s="8">
        <f t="shared" si="1"/>
        <v>-1022.5758848333332</v>
      </c>
      <c r="J8" s="9"/>
    </row>
    <row r="9" spans="1:22">
      <c r="A9" s="11" t="s">
        <v>14</v>
      </c>
      <c r="B9" s="12" t="s">
        <v>15</v>
      </c>
      <c r="C9" s="13" t="s">
        <v>11</v>
      </c>
      <c r="D9" s="14">
        <f>81.9702/12*5</f>
        <v>34.154250000000005</v>
      </c>
      <c r="E9" s="14">
        <f>11.96+16.835</f>
        <v>28.795000000000002</v>
      </c>
      <c r="F9" s="14">
        <f>E9-D9</f>
        <v>-5.359250000000003</v>
      </c>
      <c r="G9" s="14">
        <f>D9</f>
        <v>34.154250000000005</v>
      </c>
      <c r="H9" s="14">
        <v>0</v>
      </c>
      <c r="I9" s="14">
        <f>H9-G9</f>
        <v>-34.154250000000005</v>
      </c>
      <c r="J9" s="9"/>
    </row>
    <row r="10" spans="1:22">
      <c r="A10" s="11" t="s">
        <v>16</v>
      </c>
      <c r="B10" s="12" t="s">
        <v>17</v>
      </c>
      <c r="C10" s="13" t="s">
        <v>11</v>
      </c>
      <c r="D10" s="14">
        <f>D11+D15</f>
        <v>146.25906437500004</v>
      </c>
      <c r="E10" s="14">
        <f>E11+E15</f>
        <v>320.21399999999994</v>
      </c>
      <c r="F10" s="14">
        <f t="shared" ref="F10:I10" si="2">F11</f>
        <v>-343.30686150000008</v>
      </c>
      <c r="G10" s="14">
        <f t="shared" si="2"/>
        <v>343.30686150000008</v>
      </c>
      <c r="H10" s="14">
        <f t="shared" si="2"/>
        <v>0</v>
      </c>
      <c r="I10" s="14">
        <f t="shared" si="2"/>
        <v>-343.30686150000008</v>
      </c>
      <c r="J10" s="9"/>
      <c r="L10" s="15"/>
    </row>
    <row r="11" spans="1:22">
      <c r="A11" s="11" t="s">
        <v>18</v>
      </c>
      <c r="B11" s="12" t="s">
        <v>19</v>
      </c>
      <c r="C11" s="13" t="s">
        <v>11</v>
      </c>
      <c r="D11" s="14">
        <f>D12/12*5</f>
        <v>143.04452562500003</v>
      </c>
      <c r="E11" s="14">
        <f>281.804+38.41</f>
        <v>320.21399999999994</v>
      </c>
      <c r="F11" s="14">
        <f>F12</f>
        <v>-343.30686150000008</v>
      </c>
      <c r="G11" s="14">
        <f>G12</f>
        <v>343.30686150000008</v>
      </c>
      <c r="H11" s="14">
        <f>H12</f>
        <v>0</v>
      </c>
      <c r="I11" s="14">
        <f>I12</f>
        <v>-343.30686150000008</v>
      </c>
      <c r="J11" s="9"/>
    </row>
    <row r="12" spans="1:22" hidden="1">
      <c r="A12" s="11"/>
      <c r="B12" s="12" t="s">
        <v>20</v>
      </c>
      <c r="C12" s="13" t="s">
        <v>11</v>
      </c>
      <c r="D12" s="14">
        <f>D13*D14/1000</f>
        <v>343.30686150000008</v>
      </c>
      <c r="E12" s="14">
        <f>E13*E14/1000</f>
        <v>0</v>
      </c>
      <c r="F12" s="14">
        <f>F13*F14/1000</f>
        <v>-343.30686150000008</v>
      </c>
      <c r="G12" s="14">
        <f t="shared" ref="G12" si="3">G13*G14/1000</f>
        <v>343.30686150000008</v>
      </c>
      <c r="H12" s="14">
        <f>H13*H14/1000</f>
        <v>0</v>
      </c>
      <c r="I12" s="14">
        <f>I13*I14/1000</f>
        <v>-343.30686150000008</v>
      </c>
      <c r="J12" s="9"/>
    </row>
    <row r="13" spans="1:22" hidden="1">
      <c r="A13" s="16"/>
      <c r="B13" s="17" t="s">
        <v>21</v>
      </c>
      <c r="C13" s="18" t="s">
        <v>22</v>
      </c>
      <c r="D13" s="19">
        <f>2661.2935</f>
        <v>2661.2935000000002</v>
      </c>
      <c r="E13" s="9"/>
      <c r="F13" s="20">
        <f>E13-D13</f>
        <v>-2661.2935000000002</v>
      </c>
      <c r="G13" s="21">
        <f>D13</f>
        <v>2661.2935000000002</v>
      </c>
      <c r="H13" s="9"/>
      <c r="I13" s="20">
        <f>H13-G13</f>
        <v>-2661.2935000000002</v>
      </c>
      <c r="J13" s="9"/>
    </row>
    <row r="14" spans="1:22" hidden="1">
      <c r="A14" s="16"/>
      <c r="B14" s="17" t="s">
        <v>23</v>
      </c>
      <c r="C14" s="18" t="s">
        <v>24</v>
      </c>
      <c r="D14" s="22">
        <v>129</v>
      </c>
      <c r="E14" s="9"/>
      <c r="F14" s="9">
        <v>129</v>
      </c>
      <c r="G14" s="21">
        <f>D14</f>
        <v>129</v>
      </c>
      <c r="H14" s="9"/>
      <c r="I14" s="9">
        <v>129</v>
      </c>
      <c r="J14" s="9"/>
    </row>
    <row r="15" spans="1:22">
      <c r="A15" s="11" t="s">
        <v>25</v>
      </c>
      <c r="B15" s="12" t="s">
        <v>26</v>
      </c>
      <c r="C15" s="13" t="s">
        <v>11</v>
      </c>
      <c r="D15" s="14">
        <f>D17/12*5</f>
        <v>3.2145387499999996</v>
      </c>
      <c r="E15" s="14">
        <f t="shared" ref="E15:I15" si="4">E17</f>
        <v>0</v>
      </c>
      <c r="F15" s="14">
        <f t="shared" si="4"/>
        <v>-7.7148660000000007</v>
      </c>
      <c r="G15" s="23">
        <f t="shared" si="4"/>
        <v>7.7148929999999991</v>
      </c>
      <c r="H15" s="14">
        <f t="shared" si="4"/>
        <v>0</v>
      </c>
      <c r="I15" s="14">
        <f t="shared" si="4"/>
        <v>-7.7148660000000007</v>
      </c>
      <c r="J15" s="9"/>
    </row>
    <row r="16" spans="1:22" hidden="1">
      <c r="A16" s="16"/>
      <c r="B16" s="17" t="s">
        <v>21</v>
      </c>
      <c r="C16" s="18" t="s">
        <v>22</v>
      </c>
      <c r="D16" s="22">
        <f t="shared" ref="D16:I16" si="5">(D19+D22)</f>
        <v>11.4</v>
      </c>
      <c r="E16" s="22">
        <f t="shared" si="5"/>
        <v>0</v>
      </c>
      <c r="F16" s="22">
        <f t="shared" si="5"/>
        <v>-11.4</v>
      </c>
      <c r="G16" s="22">
        <f t="shared" si="5"/>
        <v>11.4</v>
      </c>
      <c r="H16" s="22">
        <f t="shared" si="5"/>
        <v>0</v>
      </c>
      <c r="I16" s="22">
        <f t="shared" si="5"/>
        <v>-11.4</v>
      </c>
      <c r="J16" s="9"/>
    </row>
    <row r="17" spans="1:12" hidden="1">
      <c r="A17" s="16"/>
      <c r="B17" s="17" t="s">
        <v>27</v>
      </c>
      <c r="C17" s="13" t="s">
        <v>11</v>
      </c>
      <c r="D17" s="23">
        <f t="shared" ref="D17:I17" si="6">(D18+D21)</f>
        <v>7.7148929999999991</v>
      </c>
      <c r="E17" s="23">
        <f t="shared" si="6"/>
        <v>0</v>
      </c>
      <c r="F17" s="23">
        <f t="shared" si="6"/>
        <v>-7.7148660000000007</v>
      </c>
      <c r="G17" s="23">
        <f t="shared" si="6"/>
        <v>7.7148929999999991</v>
      </c>
      <c r="H17" s="23">
        <f t="shared" si="6"/>
        <v>0</v>
      </c>
      <c r="I17" s="23">
        <f t="shared" si="6"/>
        <v>-7.7148660000000007</v>
      </c>
      <c r="J17" s="9"/>
    </row>
    <row r="18" spans="1:12" hidden="1">
      <c r="A18" s="24"/>
      <c r="B18" s="12" t="s">
        <v>28</v>
      </c>
      <c r="C18" s="13" t="s">
        <v>11</v>
      </c>
      <c r="D18" s="14">
        <f>D20*D19/1000</f>
        <v>6.428996999999999</v>
      </c>
      <c r="E18" s="23">
        <f t="shared" ref="E18:I18" si="7">E20*E19/1000</f>
        <v>0</v>
      </c>
      <c r="F18" s="23">
        <f t="shared" si="7"/>
        <v>-6.4289700000000005</v>
      </c>
      <c r="G18" s="23">
        <f t="shared" si="7"/>
        <v>6.428996999999999</v>
      </c>
      <c r="H18" s="23">
        <f t="shared" si="7"/>
        <v>0</v>
      </c>
      <c r="I18" s="23">
        <f t="shared" si="7"/>
        <v>-6.4289700000000005</v>
      </c>
      <c r="J18" s="9"/>
    </row>
    <row r="19" spans="1:12" hidden="1">
      <c r="A19" s="25"/>
      <c r="B19" s="17" t="s">
        <v>21</v>
      </c>
      <c r="C19" s="18" t="s">
        <v>22</v>
      </c>
      <c r="D19" s="26">
        <f>9</f>
        <v>9</v>
      </c>
      <c r="E19" s="9"/>
      <c r="F19" s="20">
        <f>E19-D19</f>
        <v>-9</v>
      </c>
      <c r="G19" s="22">
        <f>D19</f>
        <v>9</v>
      </c>
      <c r="H19" s="9"/>
      <c r="I19" s="20">
        <f>H19-G19</f>
        <v>-9</v>
      </c>
      <c r="J19" s="9"/>
    </row>
    <row r="20" spans="1:12" hidden="1">
      <c r="A20" s="25"/>
      <c r="B20" s="17" t="s">
        <v>23</v>
      </c>
      <c r="C20" s="18" t="s">
        <v>24</v>
      </c>
      <c r="D20" s="26">
        <v>714.33299999999997</v>
      </c>
      <c r="E20" s="9"/>
      <c r="F20" s="9">
        <v>714.33</v>
      </c>
      <c r="G20" s="22">
        <f>D20</f>
        <v>714.33299999999997</v>
      </c>
      <c r="H20" s="9"/>
      <c r="I20" s="9">
        <v>714.33</v>
      </c>
      <c r="J20" s="9"/>
    </row>
    <row r="21" spans="1:12" hidden="1">
      <c r="A21" s="24"/>
      <c r="B21" s="27" t="s">
        <v>29</v>
      </c>
      <c r="C21" s="13" t="s">
        <v>11</v>
      </c>
      <c r="D21" s="28">
        <f>D22*D23/1000</f>
        <v>1.2858959999999999</v>
      </c>
      <c r="E21" s="29">
        <f t="shared" ref="E21:I21" si="8">E22*E23/1000</f>
        <v>0</v>
      </c>
      <c r="F21" s="28">
        <f t="shared" si="8"/>
        <v>-1.2858959999999999</v>
      </c>
      <c r="G21" s="29">
        <f t="shared" si="8"/>
        <v>1.2858959999999999</v>
      </c>
      <c r="H21" s="29">
        <f t="shared" si="8"/>
        <v>0</v>
      </c>
      <c r="I21" s="28">
        <f t="shared" si="8"/>
        <v>-1.2858959999999999</v>
      </c>
      <c r="J21" s="9"/>
    </row>
    <row r="22" spans="1:12" hidden="1">
      <c r="A22" s="25"/>
      <c r="B22" s="17" t="s">
        <v>21</v>
      </c>
      <c r="C22" s="18" t="s">
        <v>22</v>
      </c>
      <c r="D22" s="30">
        <f>2.4</f>
        <v>2.4</v>
      </c>
      <c r="E22" s="9"/>
      <c r="F22" s="31">
        <f>E22-D22</f>
        <v>-2.4</v>
      </c>
      <c r="G22" s="26">
        <f>D22</f>
        <v>2.4</v>
      </c>
      <c r="H22" s="9"/>
      <c r="I22" s="31">
        <f>H22-G22</f>
        <v>-2.4</v>
      </c>
      <c r="J22" s="9"/>
    </row>
    <row r="23" spans="1:12" hidden="1">
      <c r="A23" s="25"/>
      <c r="B23" s="17" t="s">
        <v>23</v>
      </c>
      <c r="C23" s="18" t="s">
        <v>24</v>
      </c>
      <c r="D23" s="26">
        <v>535.79</v>
      </c>
      <c r="E23" s="9"/>
      <c r="F23" s="9">
        <v>535.79</v>
      </c>
      <c r="G23" s="26">
        <f>D23</f>
        <v>535.79</v>
      </c>
      <c r="H23" s="9"/>
      <c r="I23" s="9">
        <v>535.79</v>
      </c>
      <c r="J23" s="9"/>
    </row>
    <row r="24" spans="1:12">
      <c r="A24" s="32" t="s">
        <v>30</v>
      </c>
      <c r="B24" s="27" t="s">
        <v>31</v>
      </c>
      <c r="C24" s="13" t="s">
        <v>11</v>
      </c>
      <c r="D24" s="28">
        <f>D25</f>
        <v>188.44143333333332</v>
      </c>
      <c r="E24" s="28">
        <f t="shared" ref="E24:I24" si="9">E25</f>
        <v>208.51300000000001</v>
      </c>
      <c r="F24" s="28">
        <f t="shared" si="9"/>
        <v>20.071566666666683</v>
      </c>
      <c r="G24" s="28">
        <f t="shared" si="9"/>
        <v>452.25943999999998</v>
      </c>
      <c r="H24" s="28">
        <f t="shared" si="9"/>
        <v>57.478000000000002</v>
      </c>
      <c r="I24" s="28">
        <f t="shared" si="9"/>
        <v>-394.78143999999998</v>
      </c>
      <c r="J24" s="9"/>
    </row>
    <row r="25" spans="1:12" ht="31.5">
      <c r="A25" s="33"/>
      <c r="B25" s="17" t="s">
        <v>32</v>
      </c>
      <c r="C25" s="13" t="s">
        <v>11</v>
      </c>
      <c r="D25" s="34">
        <f>D26*D27/1000/12*5</f>
        <v>188.44143333333332</v>
      </c>
      <c r="E25" s="26">
        <f>208.513</f>
        <v>208.51300000000001</v>
      </c>
      <c r="F25" s="26">
        <f>E25-D25</f>
        <v>20.071566666666683</v>
      </c>
      <c r="G25" s="34">
        <f>G26*G27/1000</f>
        <v>452.25943999999998</v>
      </c>
      <c r="H25" s="26">
        <v>57.478000000000002</v>
      </c>
      <c r="I25" s="26">
        <f>H25-G25</f>
        <v>-394.78143999999998</v>
      </c>
      <c r="J25" s="9"/>
    </row>
    <row r="26" spans="1:12" hidden="1">
      <c r="A26" s="33"/>
      <c r="B26" s="17" t="s">
        <v>21</v>
      </c>
      <c r="C26" s="13" t="s">
        <v>11</v>
      </c>
      <c r="D26" s="35">
        <f>24526</f>
        <v>24526</v>
      </c>
      <c r="E26" s="36">
        <f>1330+1163+618</f>
        <v>3111</v>
      </c>
      <c r="F26" s="20">
        <f>E26-D26</f>
        <v>-21415</v>
      </c>
      <c r="G26" s="26">
        <f>D26</f>
        <v>24526</v>
      </c>
      <c r="H26" s="36">
        <f>1330+1163+618</f>
        <v>3111</v>
      </c>
      <c r="I26" s="20">
        <f>H26-G26</f>
        <v>-21415</v>
      </c>
      <c r="J26" s="9"/>
    </row>
    <row r="27" spans="1:12" hidden="1">
      <c r="A27" s="33"/>
      <c r="B27" s="17" t="s">
        <v>23</v>
      </c>
      <c r="C27" s="13" t="s">
        <v>11</v>
      </c>
      <c r="D27" s="26">
        <v>18.440000000000001</v>
      </c>
      <c r="E27" s="37">
        <f>E25/E26*1000</f>
        <v>67.024429443908716</v>
      </c>
      <c r="F27" s="9"/>
      <c r="G27" s="26">
        <f>D27</f>
        <v>18.440000000000001</v>
      </c>
      <c r="H27" s="37">
        <f>H25/H26*1000</f>
        <v>18.475731276117003</v>
      </c>
      <c r="I27" s="9"/>
      <c r="J27" s="9"/>
    </row>
    <row r="28" spans="1:12">
      <c r="A28" s="32" t="s">
        <v>33</v>
      </c>
      <c r="B28" s="12" t="s">
        <v>34</v>
      </c>
      <c r="C28" s="13" t="s">
        <v>11</v>
      </c>
      <c r="D28" s="29">
        <f>600.8/12*5</f>
        <v>250.33333333333331</v>
      </c>
      <c r="E28" s="9">
        <v>0</v>
      </c>
      <c r="F28" s="38">
        <f>E28-D28</f>
        <v>-250.33333333333331</v>
      </c>
      <c r="G28" s="26">
        <f>D28</f>
        <v>250.33333333333331</v>
      </c>
      <c r="H28" s="9">
        <v>0</v>
      </c>
      <c r="I28" s="38">
        <f>H28-G28</f>
        <v>-250.33333333333331</v>
      </c>
      <c r="J28" s="9"/>
    </row>
    <row r="29" spans="1:12">
      <c r="A29" s="5" t="s">
        <v>35</v>
      </c>
      <c r="B29" s="39" t="s">
        <v>36</v>
      </c>
      <c r="C29" s="7" t="s">
        <v>11</v>
      </c>
      <c r="D29" s="40">
        <f>D30+D31</f>
        <v>3825.6966666666667</v>
      </c>
      <c r="E29" s="40">
        <f>E30+E31</f>
        <v>3489.877</v>
      </c>
      <c r="F29" s="40">
        <f>F30+F31</f>
        <v>-335.81966666666642</v>
      </c>
      <c r="G29" s="41">
        <f t="shared" ref="G29" si="10">G30+G31</f>
        <v>3825.6966666666667</v>
      </c>
      <c r="H29" s="40">
        <f>H30+H31</f>
        <v>324.44600000000003</v>
      </c>
      <c r="I29" s="40">
        <f>I30+I31</f>
        <v>-3501.2506666666668</v>
      </c>
      <c r="J29" s="9"/>
    </row>
    <row r="30" spans="1:12" ht="31.5">
      <c r="A30" s="32" t="s">
        <v>37</v>
      </c>
      <c r="B30" s="12" t="s">
        <v>38</v>
      </c>
      <c r="C30" s="13" t="s">
        <v>11</v>
      </c>
      <c r="D30" s="29">
        <f>8354.57/12*5</f>
        <v>3481.0708333333332</v>
      </c>
      <c r="E30" s="42">
        <f>3182.688</f>
        <v>3182.6880000000001</v>
      </c>
      <c r="F30" s="38">
        <f>E30-D30</f>
        <v>-298.38283333333311</v>
      </c>
      <c r="G30" s="29">
        <f>D30</f>
        <v>3481.0708333333332</v>
      </c>
      <c r="H30" s="42">
        <v>302.40600000000001</v>
      </c>
      <c r="I30" s="38">
        <f>H30-G30</f>
        <v>-3178.6648333333333</v>
      </c>
      <c r="J30" s="9"/>
      <c r="L30" s="43"/>
    </row>
    <row r="31" spans="1:12">
      <c r="A31" s="32" t="s">
        <v>39</v>
      </c>
      <c r="B31" s="27" t="s">
        <v>40</v>
      </c>
      <c r="C31" s="13" t="s">
        <v>11</v>
      </c>
      <c r="D31" s="29">
        <f>D32+D33</f>
        <v>344.62583333333333</v>
      </c>
      <c r="E31" s="29">
        <f>E32+E33</f>
        <v>307.18899999999996</v>
      </c>
      <c r="F31" s="29">
        <f>F32+F33</f>
        <v>-37.43683333333334</v>
      </c>
      <c r="G31" s="29">
        <f>D31</f>
        <v>344.62583333333333</v>
      </c>
      <c r="H31" s="29">
        <f>H32+H33</f>
        <v>22.04</v>
      </c>
      <c r="I31" s="29">
        <f>I32+I33</f>
        <v>-322.58583333333331</v>
      </c>
      <c r="J31" s="9"/>
    </row>
    <row r="32" spans="1:12">
      <c r="A32" s="33" t="s">
        <v>41</v>
      </c>
      <c r="B32" s="44" t="s">
        <v>42</v>
      </c>
      <c r="C32" s="18" t="s">
        <v>11</v>
      </c>
      <c r="D32" s="26">
        <f>375.955/12*5</f>
        <v>156.64791666666667</v>
      </c>
      <c r="E32" s="45">
        <v>139.708</v>
      </c>
      <c r="F32" s="38">
        <f>E32-D32</f>
        <v>-16.939916666666676</v>
      </c>
      <c r="G32" s="29">
        <f t="shared" ref="G32:G33" si="11">D32</f>
        <v>156.64791666666667</v>
      </c>
      <c r="H32" s="45">
        <v>10.917999999999999</v>
      </c>
      <c r="I32" s="38">
        <f>H32-G32</f>
        <v>-145.72991666666667</v>
      </c>
      <c r="J32" s="9"/>
    </row>
    <row r="33" spans="1:10">
      <c r="A33" s="33" t="s">
        <v>43</v>
      </c>
      <c r="B33" s="44" t="s">
        <v>44</v>
      </c>
      <c r="C33" s="18" t="s">
        <v>11</v>
      </c>
      <c r="D33" s="26">
        <f>451.147/12*5</f>
        <v>187.97791666666666</v>
      </c>
      <c r="E33" s="45">
        <v>167.48099999999999</v>
      </c>
      <c r="F33" s="38">
        <f t="shared" ref="F33:F34" si="12">E33-D33</f>
        <v>-20.496916666666664</v>
      </c>
      <c r="G33" s="29">
        <f t="shared" si="11"/>
        <v>187.97791666666666</v>
      </c>
      <c r="H33" s="45">
        <v>11.122</v>
      </c>
      <c r="I33" s="38">
        <f t="shared" ref="I33:I34" si="13">H33-G33</f>
        <v>-176.85591666666664</v>
      </c>
      <c r="J33" s="9"/>
    </row>
    <row r="34" spans="1:10">
      <c r="A34" s="5" t="s">
        <v>45</v>
      </c>
      <c r="B34" s="39" t="s">
        <v>46</v>
      </c>
      <c r="C34" s="7" t="s">
        <v>11</v>
      </c>
      <c r="D34" s="41">
        <f>2430.9/12*5</f>
        <v>1012.8750000000001</v>
      </c>
      <c r="E34" s="46">
        <f>748.541</f>
        <v>748.54100000000005</v>
      </c>
      <c r="F34" s="47">
        <f t="shared" si="12"/>
        <v>-264.33400000000006</v>
      </c>
      <c r="G34" s="41">
        <f>D34</f>
        <v>1012.8750000000001</v>
      </c>
      <c r="H34" s="46">
        <v>157.458</v>
      </c>
      <c r="I34" s="47">
        <f t="shared" si="13"/>
        <v>-855.41700000000014</v>
      </c>
      <c r="J34" s="9"/>
    </row>
    <row r="35" spans="1:10">
      <c r="A35" s="5" t="s">
        <v>47</v>
      </c>
      <c r="B35" s="39" t="s">
        <v>48</v>
      </c>
      <c r="C35" s="7" t="s">
        <v>11</v>
      </c>
      <c r="D35" s="40">
        <f>D36+D37+D38+D42+D49</f>
        <v>254.58124999999998</v>
      </c>
      <c r="E35" s="40">
        <f>E36+E37+E38+E42+E49</f>
        <v>162.363</v>
      </c>
      <c r="F35" s="40">
        <f t="shared" ref="F35:I35" si="14">F36+F37+F38+F42</f>
        <v>-94.218249999999983</v>
      </c>
      <c r="G35" s="40">
        <f t="shared" si="14"/>
        <v>254.58124999999998</v>
      </c>
      <c r="H35" s="40">
        <f t="shared" si="14"/>
        <v>0</v>
      </c>
      <c r="I35" s="40">
        <f t="shared" si="14"/>
        <v>-254.58124999999998</v>
      </c>
      <c r="J35" s="9"/>
    </row>
    <row r="36" spans="1:10" ht="31.5">
      <c r="A36" s="32" t="s">
        <v>49</v>
      </c>
      <c r="B36" s="12" t="s">
        <v>50</v>
      </c>
      <c r="C36" s="13" t="s">
        <v>11</v>
      </c>
      <c r="D36" s="28">
        <f>198/12*5</f>
        <v>82.5</v>
      </c>
      <c r="E36" s="28">
        <v>30</v>
      </c>
      <c r="F36" s="48">
        <f>E36-D36</f>
        <v>-52.5</v>
      </c>
      <c r="G36" s="28">
        <f>D36</f>
        <v>82.5</v>
      </c>
      <c r="H36" s="9"/>
      <c r="I36" s="48">
        <f>H36-G36</f>
        <v>-82.5</v>
      </c>
      <c r="J36" s="9"/>
    </row>
    <row r="37" spans="1:10">
      <c r="A37" s="32" t="s">
        <v>51</v>
      </c>
      <c r="B37" s="12" t="s">
        <v>52</v>
      </c>
      <c r="C37" s="13" t="s">
        <v>11</v>
      </c>
      <c r="D37" s="28">
        <f>219.48/12*5</f>
        <v>91.449999999999989</v>
      </c>
      <c r="E37" s="9">
        <v>48.667000000000002</v>
      </c>
      <c r="F37" s="48">
        <f>E37-D37</f>
        <v>-42.782999999999987</v>
      </c>
      <c r="G37" s="28">
        <f>D37</f>
        <v>91.449999999999989</v>
      </c>
      <c r="H37" s="9"/>
      <c r="I37" s="48">
        <f>H37-G37</f>
        <v>-91.449999999999989</v>
      </c>
      <c r="J37" s="9"/>
    </row>
    <row r="38" spans="1:10">
      <c r="A38" s="32" t="s">
        <v>53</v>
      </c>
      <c r="B38" s="27" t="s">
        <v>54</v>
      </c>
      <c r="C38" s="13" t="s">
        <v>11</v>
      </c>
      <c r="D38" s="28">
        <f>44.408/12*5</f>
        <v>18.503333333333334</v>
      </c>
      <c r="E38" s="9">
        <f>20+4.485+40.842</f>
        <v>65.326999999999998</v>
      </c>
      <c r="F38" s="48">
        <f>E38-D38</f>
        <v>46.823666666666668</v>
      </c>
      <c r="G38" s="28">
        <f t="shared" ref="G38:G43" si="15">D38</f>
        <v>18.503333333333334</v>
      </c>
      <c r="H38" s="9"/>
      <c r="I38" s="48">
        <f>H38-G38</f>
        <v>-18.503333333333334</v>
      </c>
      <c r="J38" s="9"/>
    </row>
    <row r="39" spans="1:10" hidden="1">
      <c r="A39" s="33" t="s">
        <v>55</v>
      </c>
      <c r="B39" s="49" t="s">
        <v>56</v>
      </c>
      <c r="C39" s="18" t="s">
        <v>11</v>
      </c>
      <c r="D39" s="28"/>
      <c r="E39" s="9"/>
      <c r="F39" s="9"/>
      <c r="G39" s="28">
        <f t="shared" si="15"/>
        <v>0</v>
      </c>
      <c r="H39" s="9"/>
      <c r="I39" s="9"/>
      <c r="J39" s="9"/>
    </row>
    <row r="40" spans="1:10" hidden="1">
      <c r="A40" s="33" t="s">
        <v>57</v>
      </c>
      <c r="B40" s="49" t="s">
        <v>58</v>
      </c>
      <c r="C40" s="18" t="s">
        <v>11</v>
      </c>
      <c r="D40" s="28"/>
      <c r="E40" s="9"/>
      <c r="F40" s="9"/>
      <c r="G40" s="28">
        <f t="shared" si="15"/>
        <v>0</v>
      </c>
      <c r="H40" s="9"/>
      <c r="I40" s="9"/>
      <c r="J40" s="9"/>
    </row>
    <row r="41" spans="1:10" hidden="1">
      <c r="A41" s="33" t="s">
        <v>59</v>
      </c>
      <c r="B41" s="49" t="s">
        <v>60</v>
      </c>
      <c r="C41" s="18" t="s">
        <v>11</v>
      </c>
      <c r="D41" s="28"/>
      <c r="E41" s="9"/>
      <c r="F41" s="9"/>
      <c r="G41" s="28">
        <f t="shared" si="15"/>
        <v>0</v>
      </c>
      <c r="H41" s="9"/>
      <c r="I41" s="9"/>
      <c r="J41" s="9"/>
    </row>
    <row r="42" spans="1:10">
      <c r="A42" s="32" t="s">
        <v>61</v>
      </c>
      <c r="B42" s="27" t="s">
        <v>62</v>
      </c>
      <c r="C42" s="13" t="s">
        <v>11</v>
      </c>
      <c r="D42" s="28">
        <f>D43+D44</f>
        <v>62.127916666666664</v>
      </c>
      <c r="E42" s="50">
        <f>E43+E44+E48</f>
        <v>16.369</v>
      </c>
      <c r="F42" s="50">
        <f>F43+F44+F48</f>
        <v>-45.758916666666664</v>
      </c>
      <c r="G42" s="28">
        <f>G43+G44</f>
        <v>62.127916666666664</v>
      </c>
      <c r="H42" s="50">
        <f>H43+H44+H48</f>
        <v>0</v>
      </c>
      <c r="I42" s="50">
        <f>I43+I44+I48</f>
        <v>-62.127916666666664</v>
      </c>
      <c r="J42" s="9"/>
    </row>
    <row r="43" spans="1:10">
      <c r="A43" s="32" t="s">
        <v>63</v>
      </c>
      <c r="B43" s="27" t="s">
        <v>64</v>
      </c>
      <c r="C43" s="13" t="s">
        <v>11</v>
      </c>
      <c r="D43" s="28">
        <f>19.76/12*5</f>
        <v>8.2333333333333343</v>
      </c>
      <c r="E43" s="50">
        <v>0.67</v>
      </c>
      <c r="F43" s="51">
        <f>E43-D43</f>
        <v>-7.5633333333333344</v>
      </c>
      <c r="G43" s="28">
        <f t="shared" si="15"/>
        <v>8.2333333333333343</v>
      </c>
      <c r="H43" s="50"/>
      <c r="I43" s="51">
        <f>H43-G43</f>
        <v>-8.2333333333333343</v>
      </c>
      <c r="J43" s="9"/>
    </row>
    <row r="44" spans="1:10">
      <c r="A44" s="32" t="s">
        <v>65</v>
      </c>
      <c r="B44" s="27" t="s">
        <v>66</v>
      </c>
      <c r="C44" s="13" t="s">
        <v>11</v>
      </c>
      <c r="D44" s="28">
        <f>D45+D46+D47</f>
        <v>53.89458333333333</v>
      </c>
      <c r="E44" s="28">
        <f>E45+E46+E47</f>
        <v>15.699</v>
      </c>
      <c r="F44" s="51">
        <f t="shared" ref="F44:F49" si="16">E44-D44</f>
        <v>-38.195583333333332</v>
      </c>
      <c r="G44" s="28">
        <f>G45+G46+G47</f>
        <v>53.89458333333333</v>
      </c>
      <c r="H44" s="50"/>
      <c r="I44" s="51">
        <f t="shared" ref="I44" si="17">H44-G44</f>
        <v>-53.89458333333333</v>
      </c>
      <c r="J44" s="9"/>
    </row>
    <row r="45" spans="1:10" ht="31.5">
      <c r="A45" s="32" t="s">
        <v>67</v>
      </c>
      <c r="B45" s="12" t="s">
        <v>68</v>
      </c>
      <c r="C45" s="13" t="s">
        <v>11</v>
      </c>
      <c r="D45" s="28">
        <f>13.583/12*5</f>
        <v>5.6595833333333339</v>
      </c>
      <c r="E45" s="53">
        <v>15.699</v>
      </c>
      <c r="F45" s="51">
        <f t="shared" si="16"/>
        <v>10.039416666666666</v>
      </c>
      <c r="G45" s="28">
        <f>D45</f>
        <v>5.6595833333333339</v>
      </c>
      <c r="H45" s="50"/>
      <c r="I45" s="51"/>
      <c r="J45" s="9"/>
    </row>
    <row r="46" spans="1:10">
      <c r="A46" s="32" t="s">
        <v>69</v>
      </c>
      <c r="B46" s="27" t="s">
        <v>70</v>
      </c>
      <c r="C46" s="13" t="s">
        <v>11</v>
      </c>
      <c r="D46" s="28">
        <f>33.764/12*5</f>
        <v>14.068333333333333</v>
      </c>
      <c r="E46" s="50">
        <v>0</v>
      </c>
      <c r="F46" s="51">
        <f t="shared" si="16"/>
        <v>-14.068333333333333</v>
      </c>
      <c r="G46" s="28">
        <f t="shared" ref="G46:G47" si="18">D46</f>
        <v>14.068333333333333</v>
      </c>
      <c r="H46" s="50"/>
      <c r="I46" s="51"/>
      <c r="J46" s="9"/>
    </row>
    <row r="47" spans="1:10">
      <c r="A47" s="32" t="s">
        <v>71</v>
      </c>
      <c r="B47" s="27" t="s">
        <v>72</v>
      </c>
      <c r="C47" s="13" t="s">
        <v>11</v>
      </c>
      <c r="D47" s="28">
        <f>82/12*5</f>
        <v>34.166666666666664</v>
      </c>
      <c r="E47" s="50">
        <v>0</v>
      </c>
      <c r="F47" s="51">
        <f t="shared" si="16"/>
        <v>-34.166666666666664</v>
      </c>
      <c r="G47" s="28">
        <f t="shared" si="18"/>
        <v>34.166666666666664</v>
      </c>
      <c r="H47" s="50"/>
      <c r="I47" s="51"/>
      <c r="J47" s="9"/>
    </row>
    <row r="48" spans="1:10" ht="31.5">
      <c r="A48" s="32" t="s">
        <v>73</v>
      </c>
      <c r="B48" s="12" t="s">
        <v>74</v>
      </c>
      <c r="C48" s="13" t="s">
        <v>11</v>
      </c>
      <c r="D48" s="50">
        <v>0</v>
      </c>
      <c r="E48" s="50">
        <v>0</v>
      </c>
      <c r="F48" s="51">
        <f t="shared" si="16"/>
        <v>0</v>
      </c>
      <c r="G48" s="28"/>
      <c r="H48" s="50"/>
      <c r="I48" s="51"/>
      <c r="J48" s="9"/>
    </row>
    <row r="49" spans="1:10">
      <c r="A49" s="32" t="s">
        <v>124</v>
      </c>
      <c r="B49" s="12" t="s">
        <v>125</v>
      </c>
      <c r="C49" s="13" t="s">
        <v>11</v>
      </c>
      <c r="D49" s="50">
        <v>0</v>
      </c>
      <c r="E49" s="50">
        <v>2</v>
      </c>
      <c r="F49" s="51">
        <f t="shared" si="16"/>
        <v>2</v>
      </c>
      <c r="G49" s="28"/>
      <c r="H49" s="50"/>
      <c r="I49" s="51"/>
      <c r="J49" s="9"/>
    </row>
    <row r="50" spans="1:10">
      <c r="A50" s="5" t="s">
        <v>75</v>
      </c>
      <c r="B50" s="39" t="s">
        <v>76</v>
      </c>
      <c r="C50" s="7" t="s">
        <v>11</v>
      </c>
      <c r="D50" s="52">
        <f t="shared" ref="D50:I50" si="19">D51</f>
        <v>244.98129166666666</v>
      </c>
      <c r="E50" s="52">
        <f t="shared" si="19"/>
        <v>274.35200000000003</v>
      </c>
      <c r="F50" s="52">
        <f t="shared" si="19"/>
        <v>29.370708333333347</v>
      </c>
      <c r="G50" s="52">
        <f t="shared" si="19"/>
        <v>244.98129166666666</v>
      </c>
      <c r="H50" s="52">
        <f t="shared" si="19"/>
        <v>0</v>
      </c>
      <c r="I50" s="52">
        <f t="shared" si="19"/>
        <v>-244.98129166666666</v>
      </c>
      <c r="J50" s="9"/>
    </row>
    <row r="51" spans="1:10" ht="31.5">
      <c r="A51" s="5" t="s">
        <v>77</v>
      </c>
      <c r="B51" s="6" t="s">
        <v>78</v>
      </c>
      <c r="C51" s="7" t="s">
        <v>11</v>
      </c>
      <c r="D51" s="14">
        <f>D56+D57+D58</f>
        <v>244.98129166666666</v>
      </c>
      <c r="E51" s="14">
        <f t="shared" ref="E51:I51" si="20">E56+E57+E58</f>
        <v>274.35200000000003</v>
      </c>
      <c r="F51" s="14">
        <f t="shared" si="20"/>
        <v>29.370708333333347</v>
      </c>
      <c r="G51" s="14">
        <f t="shared" si="20"/>
        <v>244.98129166666666</v>
      </c>
      <c r="H51" s="14">
        <f t="shared" si="20"/>
        <v>0</v>
      </c>
      <c r="I51" s="14">
        <f t="shared" si="20"/>
        <v>-244.98129166666666</v>
      </c>
      <c r="J51" s="9"/>
    </row>
    <row r="52" spans="1:10" ht="31.5">
      <c r="A52" s="32" t="s">
        <v>79</v>
      </c>
      <c r="B52" s="12" t="s">
        <v>80</v>
      </c>
      <c r="C52" s="13" t="s">
        <v>11</v>
      </c>
      <c r="D52" s="53"/>
      <c r="E52" s="50"/>
      <c r="F52" s="50"/>
      <c r="G52" s="50"/>
      <c r="H52" s="50"/>
      <c r="I52" s="50"/>
      <c r="J52" s="9"/>
    </row>
    <row r="53" spans="1:10">
      <c r="A53" s="32" t="s">
        <v>81</v>
      </c>
      <c r="B53" s="12" t="s">
        <v>82</v>
      </c>
      <c r="C53" s="13" t="s">
        <v>11</v>
      </c>
      <c r="D53" s="53"/>
      <c r="E53" s="50"/>
      <c r="F53" s="50"/>
      <c r="G53" s="50"/>
      <c r="H53" s="50"/>
      <c r="I53" s="50"/>
      <c r="J53" s="9"/>
    </row>
    <row r="54" spans="1:10">
      <c r="A54" s="33" t="s">
        <v>55</v>
      </c>
      <c r="B54" s="49" t="s">
        <v>83</v>
      </c>
      <c r="C54" s="13" t="s">
        <v>11</v>
      </c>
      <c r="D54" s="53"/>
      <c r="E54" s="50"/>
      <c r="F54" s="50"/>
      <c r="G54" s="50"/>
      <c r="H54" s="50"/>
      <c r="I54" s="50"/>
      <c r="J54" s="9"/>
    </row>
    <row r="55" spans="1:10">
      <c r="A55" s="33" t="s">
        <v>57</v>
      </c>
      <c r="B55" s="49" t="s">
        <v>44</v>
      </c>
      <c r="C55" s="13" t="s">
        <v>11</v>
      </c>
      <c r="D55" s="53"/>
      <c r="E55" s="50"/>
      <c r="F55" s="50"/>
      <c r="G55" s="50"/>
      <c r="H55" s="50"/>
      <c r="I55" s="50"/>
      <c r="J55" s="9"/>
    </row>
    <row r="56" spans="1:10">
      <c r="A56" s="32" t="s">
        <v>84</v>
      </c>
      <c r="B56" s="12" t="s">
        <v>85</v>
      </c>
      <c r="C56" s="13" t="s">
        <v>11</v>
      </c>
      <c r="D56" s="28">
        <f>100.1/12*5</f>
        <v>41.708333333333336</v>
      </c>
      <c r="E56" s="50"/>
      <c r="F56" s="51">
        <f>E56-D56</f>
        <v>-41.708333333333336</v>
      </c>
      <c r="G56" s="51">
        <f>D56</f>
        <v>41.708333333333336</v>
      </c>
      <c r="H56" s="50"/>
      <c r="I56" s="51">
        <f>H56-G56</f>
        <v>-41.708333333333336</v>
      </c>
      <c r="J56" s="9"/>
    </row>
    <row r="57" spans="1:10">
      <c r="A57" s="32" t="s">
        <v>86</v>
      </c>
      <c r="B57" s="12" t="s">
        <v>87</v>
      </c>
      <c r="C57" s="13" t="s">
        <v>11</v>
      </c>
      <c r="D57" s="28">
        <f>61.88/12*5</f>
        <v>25.783333333333335</v>
      </c>
      <c r="E57" s="50">
        <v>12.214</v>
      </c>
      <c r="F57" s="51">
        <f>E57-D57</f>
        <v>-13.569333333333335</v>
      </c>
      <c r="G57" s="51">
        <f>D57</f>
        <v>25.783333333333335</v>
      </c>
      <c r="H57" s="50"/>
      <c r="I57" s="51">
        <f>H57-G57</f>
        <v>-25.783333333333335</v>
      </c>
      <c r="J57" s="9"/>
    </row>
    <row r="58" spans="1:10">
      <c r="A58" s="32" t="s">
        <v>88</v>
      </c>
      <c r="B58" s="27" t="s">
        <v>89</v>
      </c>
      <c r="C58" s="13" t="s">
        <v>11</v>
      </c>
      <c r="D58" s="54">
        <f t="shared" ref="D58:I58" si="21">D59+D60+D61+D62</f>
        <v>177.48962499999999</v>
      </c>
      <c r="E58" s="54">
        <f t="shared" si="21"/>
        <v>262.13800000000003</v>
      </c>
      <c r="F58" s="54">
        <f t="shared" si="21"/>
        <v>84.648375000000016</v>
      </c>
      <c r="G58" s="54">
        <f t="shared" si="21"/>
        <v>177.48962499999999</v>
      </c>
      <c r="H58" s="54">
        <f t="shared" si="21"/>
        <v>0</v>
      </c>
      <c r="I58" s="54">
        <f t="shared" si="21"/>
        <v>-177.48962499999999</v>
      </c>
      <c r="J58" s="9"/>
    </row>
    <row r="59" spans="1:10">
      <c r="A59" s="32" t="s">
        <v>90</v>
      </c>
      <c r="B59" s="27" t="s">
        <v>91</v>
      </c>
      <c r="C59" s="13" t="s">
        <v>11</v>
      </c>
      <c r="D59" s="55">
        <f>8.5721/12*5</f>
        <v>3.5717083333333339</v>
      </c>
      <c r="E59" s="50">
        <v>4.1580000000000004</v>
      </c>
      <c r="F59" s="56">
        <f>E59-D59</f>
        <v>0.58629166666666643</v>
      </c>
      <c r="G59" s="56">
        <f>D59</f>
        <v>3.5717083333333339</v>
      </c>
      <c r="H59" s="50"/>
      <c r="I59" s="56">
        <f>H59-G59</f>
        <v>-3.5717083333333339</v>
      </c>
      <c r="J59" s="9"/>
    </row>
    <row r="60" spans="1:10">
      <c r="A60" s="32" t="s">
        <v>92</v>
      </c>
      <c r="B60" s="27" t="s">
        <v>93</v>
      </c>
      <c r="C60" s="13" t="s">
        <v>11</v>
      </c>
      <c r="D60" s="57">
        <f>407.573/12*5</f>
        <v>169.82208333333332</v>
      </c>
      <c r="E60" s="50">
        <v>257.98</v>
      </c>
      <c r="F60" s="56">
        <f t="shared" ref="F60:F62" si="22">E60-D60</f>
        <v>88.157916666666694</v>
      </c>
      <c r="G60" s="56">
        <f t="shared" ref="G60:G62" si="23">D60</f>
        <v>169.82208333333332</v>
      </c>
      <c r="H60" s="50"/>
      <c r="I60" s="56">
        <f t="shared" ref="I60:I62" si="24">H60-G60</f>
        <v>-169.82208333333332</v>
      </c>
      <c r="J60" s="9"/>
    </row>
    <row r="61" spans="1:10">
      <c r="A61" s="32" t="s">
        <v>94</v>
      </c>
      <c r="B61" s="27" t="s">
        <v>95</v>
      </c>
      <c r="C61" s="13" t="s">
        <v>11</v>
      </c>
      <c r="D61" s="57">
        <f>7.71/12*5</f>
        <v>3.2124999999999999</v>
      </c>
      <c r="E61" s="50"/>
      <c r="F61" s="56">
        <f t="shared" si="22"/>
        <v>-3.2124999999999999</v>
      </c>
      <c r="G61" s="56">
        <f t="shared" si="23"/>
        <v>3.2124999999999999</v>
      </c>
      <c r="H61" s="50"/>
      <c r="I61" s="56">
        <f t="shared" si="24"/>
        <v>-3.2124999999999999</v>
      </c>
      <c r="J61" s="9"/>
    </row>
    <row r="62" spans="1:10" ht="31.5">
      <c r="A62" s="32" t="s">
        <v>96</v>
      </c>
      <c r="B62" s="12" t="s">
        <v>97</v>
      </c>
      <c r="C62" s="13" t="s">
        <v>11</v>
      </c>
      <c r="D62" s="58">
        <f>2.12/12*5</f>
        <v>0.8833333333333333</v>
      </c>
      <c r="E62" s="50"/>
      <c r="F62" s="56">
        <f t="shared" si="22"/>
        <v>-0.8833333333333333</v>
      </c>
      <c r="G62" s="56">
        <f t="shared" si="23"/>
        <v>0.8833333333333333</v>
      </c>
      <c r="H62" s="50"/>
      <c r="I62" s="56">
        <f t="shared" si="24"/>
        <v>-0.8833333333333333</v>
      </c>
      <c r="J62" s="9"/>
    </row>
    <row r="63" spans="1:10">
      <c r="A63" s="5" t="s">
        <v>98</v>
      </c>
      <c r="B63" s="39" t="s">
        <v>99</v>
      </c>
      <c r="C63" s="7" t="s">
        <v>11</v>
      </c>
      <c r="D63" s="59">
        <f t="shared" ref="D63:I63" si="25">D50+D7</f>
        <v>5957.3222893750008</v>
      </c>
      <c r="E63" s="59">
        <f t="shared" si="25"/>
        <v>5232.6549999999997</v>
      </c>
      <c r="F63" s="59">
        <f t="shared" si="25"/>
        <v>-1243.9290864999998</v>
      </c>
      <c r="G63" s="59">
        <f t="shared" si="25"/>
        <v>6418.1880931666674</v>
      </c>
      <c r="H63" s="59">
        <f t="shared" si="25"/>
        <v>539.38200000000006</v>
      </c>
      <c r="I63" s="59">
        <f t="shared" si="25"/>
        <v>-5878.8060931666678</v>
      </c>
      <c r="J63" s="9"/>
    </row>
    <row r="64" spans="1:10">
      <c r="A64" s="5" t="s">
        <v>100</v>
      </c>
      <c r="B64" s="39" t="s">
        <v>101</v>
      </c>
      <c r="C64" s="7" t="s">
        <v>11</v>
      </c>
      <c r="D64" s="48">
        <f>D65-D63</f>
        <v>121.45336187500016</v>
      </c>
      <c r="E64" s="48">
        <f>E65-E63</f>
        <v>855.03104900000017</v>
      </c>
      <c r="F64" s="48">
        <f>E64+D64</f>
        <v>976.48441087500032</v>
      </c>
      <c r="G64" s="9"/>
      <c r="H64" s="9"/>
      <c r="I64" s="9"/>
      <c r="J64" s="9"/>
    </row>
    <row r="65" spans="1:13">
      <c r="A65" s="5" t="s">
        <v>102</v>
      </c>
      <c r="B65" s="39" t="s">
        <v>103</v>
      </c>
      <c r="C65" s="7" t="s">
        <v>11</v>
      </c>
      <c r="D65" s="60">
        <f>D66*D67</f>
        <v>6078.7756512500009</v>
      </c>
      <c r="E65" s="60">
        <f>E66*E67</f>
        <v>6087.6860489999999</v>
      </c>
      <c r="F65" s="60">
        <f t="shared" ref="F65:I65" si="26">F66*F67</f>
        <v>8.9103977499988538</v>
      </c>
      <c r="G65" s="60">
        <f t="shared" si="26"/>
        <v>1458.90462</v>
      </c>
      <c r="H65" s="60">
        <f t="shared" si="26"/>
        <v>1405.06584</v>
      </c>
      <c r="I65" s="60">
        <f t="shared" si="26"/>
        <v>-53.838779999999943</v>
      </c>
      <c r="J65" s="9"/>
      <c r="M65" s="15"/>
    </row>
    <row r="66" spans="1:13">
      <c r="A66" s="84" t="s">
        <v>104</v>
      </c>
      <c r="B66" s="85" t="s">
        <v>105</v>
      </c>
      <c r="C66" s="7" t="s">
        <v>106</v>
      </c>
      <c r="D66" s="58">
        <f>8546.609/12*5</f>
        <v>3561.0870833333338</v>
      </c>
      <c r="E66" s="62">
        <v>3566.3069999999998</v>
      </c>
      <c r="F66" s="63">
        <f>E66-D66</f>
        <v>5.2199166666659949</v>
      </c>
      <c r="G66" s="61">
        <v>854.66</v>
      </c>
      <c r="H66" s="62">
        <v>823.12</v>
      </c>
      <c r="I66" s="63">
        <f>H66-G66</f>
        <v>-31.539999999999964</v>
      </c>
      <c r="J66" s="9"/>
    </row>
    <row r="67" spans="1:13">
      <c r="A67" s="84"/>
      <c r="B67" s="85"/>
      <c r="C67" s="7" t="s">
        <v>11</v>
      </c>
      <c r="D67" s="42">
        <v>1.7070000000000001</v>
      </c>
      <c r="E67" s="42">
        <v>1.7070000000000001</v>
      </c>
      <c r="F67" s="42">
        <v>1.7070000000000001</v>
      </c>
      <c r="G67" s="9">
        <v>1.7070000000000001</v>
      </c>
      <c r="H67" s="42">
        <v>1.7070000000000001</v>
      </c>
      <c r="I67" s="42">
        <v>1.7070000000000001</v>
      </c>
      <c r="J67" s="9"/>
    </row>
    <row r="68" spans="1:13">
      <c r="A68" s="5" t="s">
        <v>107</v>
      </c>
      <c r="B68" s="39" t="s">
        <v>108</v>
      </c>
      <c r="C68" s="7" t="s">
        <v>109</v>
      </c>
      <c r="D68" s="9"/>
      <c r="E68" s="9"/>
      <c r="F68" s="9"/>
      <c r="G68" s="9"/>
      <c r="H68" s="9"/>
      <c r="I68" s="9"/>
      <c r="J68" s="9"/>
    </row>
    <row r="69" spans="1:13">
      <c r="A69" s="24"/>
      <c r="B69" s="27" t="s">
        <v>110</v>
      </c>
      <c r="C69" s="24"/>
      <c r="D69" s="9"/>
      <c r="E69" s="9"/>
      <c r="F69" s="9"/>
      <c r="G69" s="9"/>
      <c r="H69" s="9"/>
      <c r="I69" s="9"/>
      <c r="J69" s="9"/>
    </row>
    <row r="70" spans="1:13" ht="31.5">
      <c r="A70" s="32">
        <v>6</v>
      </c>
      <c r="B70" s="12" t="s">
        <v>111</v>
      </c>
      <c r="C70" s="32" t="s">
        <v>112</v>
      </c>
      <c r="D70" s="9">
        <v>9</v>
      </c>
      <c r="E70" s="9">
        <v>6</v>
      </c>
      <c r="F70" s="9">
        <f>E70-D70</f>
        <v>-3</v>
      </c>
      <c r="G70" s="9"/>
      <c r="H70" s="9"/>
      <c r="I70" s="9"/>
      <c r="J70" s="9"/>
    </row>
    <row r="71" spans="1:13">
      <c r="A71" s="32" t="s">
        <v>113</v>
      </c>
      <c r="B71" s="12" t="s">
        <v>114</v>
      </c>
      <c r="C71" s="32" t="s">
        <v>112</v>
      </c>
      <c r="D71" s="64">
        <v>9</v>
      </c>
      <c r="E71" s="9">
        <v>6</v>
      </c>
      <c r="F71" s="9">
        <f t="shared" ref="F71:F74" si="27">E71-D71</f>
        <v>-3</v>
      </c>
      <c r="G71" s="9"/>
      <c r="H71" s="9"/>
      <c r="I71" s="9"/>
      <c r="J71" s="9"/>
    </row>
    <row r="72" spans="1:13">
      <c r="A72" s="32" t="s">
        <v>115</v>
      </c>
      <c r="B72" s="12" t="s">
        <v>116</v>
      </c>
      <c r="C72" s="32" t="s">
        <v>112</v>
      </c>
      <c r="D72" s="9"/>
      <c r="E72" s="9"/>
      <c r="F72" s="9"/>
      <c r="G72" s="9"/>
      <c r="H72" s="9"/>
      <c r="I72" s="9"/>
      <c r="J72" s="9"/>
    </row>
    <row r="73" spans="1:13" ht="31.5">
      <c r="A73" s="32" t="s">
        <v>117</v>
      </c>
      <c r="B73" s="12" t="s">
        <v>118</v>
      </c>
      <c r="C73" s="32" t="s">
        <v>24</v>
      </c>
      <c r="D73" s="9">
        <v>77357</v>
      </c>
      <c r="E73" s="70">
        <f>1/E71*E30/5*1000</f>
        <v>106089.59999999999</v>
      </c>
      <c r="F73" s="70">
        <f t="shared" si="27"/>
        <v>28732.599999999991</v>
      </c>
      <c r="G73" s="9"/>
      <c r="H73" s="9"/>
      <c r="I73" s="9"/>
      <c r="J73" s="9"/>
    </row>
    <row r="74" spans="1:13">
      <c r="A74" s="32" t="s">
        <v>119</v>
      </c>
      <c r="B74" s="12" t="s">
        <v>114</v>
      </c>
      <c r="C74" s="32" t="s">
        <v>24</v>
      </c>
      <c r="D74" s="9">
        <v>77357</v>
      </c>
      <c r="E74" s="70">
        <f>E73</f>
        <v>106089.59999999999</v>
      </c>
      <c r="F74" s="70">
        <f t="shared" si="27"/>
        <v>28732.599999999991</v>
      </c>
      <c r="G74" s="9"/>
      <c r="H74" s="9"/>
      <c r="I74" s="9"/>
      <c r="J74" s="9"/>
    </row>
    <row r="75" spans="1:13">
      <c r="A75" s="32" t="s">
        <v>120</v>
      </c>
      <c r="B75" s="12" t="s">
        <v>116</v>
      </c>
      <c r="C75" s="32" t="s">
        <v>24</v>
      </c>
      <c r="D75" s="9"/>
      <c r="E75" s="9"/>
      <c r="F75" s="9"/>
      <c r="G75" s="9"/>
      <c r="H75" s="9"/>
      <c r="I75" s="9"/>
      <c r="J75" s="9"/>
    </row>
    <row r="76" spans="1:13">
      <c r="A76" s="65"/>
      <c r="B76" s="65"/>
      <c r="C76" s="65"/>
    </row>
    <row r="77" spans="1:13">
      <c r="A77" s="65"/>
      <c r="B77" s="88" t="s">
        <v>126</v>
      </c>
      <c r="D77" s="89"/>
      <c r="E77" s="88" t="s">
        <v>127</v>
      </c>
      <c r="F77" s="90"/>
      <c r="G77" s="90"/>
      <c r="H77" s="89"/>
      <c r="I77" s="89"/>
      <c r="J77" s="89"/>
      <c r="K77" s="89"/>
      <c r="L77" s="89"/>
      <c r="M77" s="88"/>
    </row>
    <row r="78" spans="1:13">
      <c r="A78" s="65"/>
      <c r="D78" s="89"/>
      <c r="F78" s="90"/>
      <c r="G78" s="90"/>
      <c r="H78" s="89"/>
      <c r="I78" s="89"/>
      <c r="J78" s="89"/>
      <c r="K78" s="89"/>
      <c r="L78" s="89"/>
    </row>
    <row r="79" spans="1:13">
      <c r="A79" s="65"/>
      <c r="B79" s="88" t="s">
        <v>128</v>
      </c>
      <c r="D79" s="89"/>
      <c r="E79" s="88" t="s">
        <v>129</v>
      </c>
      <c r="F79" s="90"/>
      <c r="G79" s="90"/>
      <c r="H79" s="89"/>
      <c r="I79" s="89"/>
      <c r="J79" s="89"/>
      <c r="K79" s="89"/>
      <c r="L79" s="89"/>
      <c r="M79" s="88"/>
    </row>
    <row r="80" spans="1:13">
      <c r="A80" s="65"/>
      <c r="B80" s="65"/>
      <c r="C80" s="65"/>
    </row>
    <row r="81" spans="1:3">
      <c r="A81" s="65"/>
      <c r="B81" s="65"/>
      <c r="C81" s="65"/>
    </row>
    <row r="82" spans="1:3">
      <c r="A82" s="65"/>
      <c r="B82" s="65"/>
      <c r="C82" s="65"/>
    </row>
    <row r="83" spans="1:3">
      <c r="A83" s="65"/>
      <c r="B83" s="65"/>
      <c r="C83" s="65"/>
    </row>
    <row r="84" spans="1:3">
      <c r="A84" s="65"/>
      <c r="B84" s="65"/>
      <c r="C84" s="65"/>
    </row>
    <row r="85" spans="1:3">
      <c r="A85" s="65"/>
      <c r="B85" s="65"/>
      <c r="C85" s="65"/>
    </row>
    <row r="86" spans="1:3">
      <c r="A86" s="65"/>
      <c r="B86" s="65"/>
      <c r="C86" s="65"/>
    </row>
    <row r="87" spans="1:3">
      <c r="A87" s="65"/>
      <c r="B87" s="65"/>
      <c r="C87" s="65"/>
    </row>
    <row r="88" spans="1:3">
      <c r="A88" s="65"/>
      <c r="B88" s="65"/>
      <c r="C88" s="65"/>
    </row>
    <row r="89" spans="1:3">
      <c r="A89" s="65"/>
      <c r="B89" s="65"/>
      <c r="C89" s="65"/>
    </row>
    <row r="90" spans="1:3">
      <c r="A90" s="65"/>
      <c r="B90" s="65"/>
      <c r="C90" s="65"/>
    </row>
    <row r="91" spans="1:3">
      <c r="A91" s="65"/>
      <c r="B91" s="65"/>
      <c r="C91" s="65"/>
    </row>
    <row r="92" spans="1:3">
      <c r="A92" s="65"/>
      <c r="B92" s="65"/>
      <c r="C92" s="65"/>
    </row>
    <row r="95" spans="1:3">
      <c r="A95" s="66"/>
      <c r="B95" s="66"/>
      <c r="C95" s="66"/>
    </row>
    <row r="98" spans="1:11">
      <c r="I98" s="66"/>
      <c r="J98" s="66"/>
      <c r="K98" s="66"/>
    </row>
    <row r="103" spans="1:11">
      <c r="A103" s="67"/>
      <c r="B103" s="68"/>
      <c r="C103" s="69"/>
    </row>
    <row r="192" spans="16:18">
      <c r="P192" s="66"/>
      <c r="Q192" s="66"/>
      <c r="R192" s="66"/>
    </row>
    <row r="195" spans="1:23">
      <c r="S195" s="66"/>
      <c r="T195" s="66"/>
      <c r="U195" s="66"/>
      <c r="V195" s="66"/>
      <c r="W195" s="66"/>
    </row>
    <row r="198" spans="1:23" s="66" customForma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P198" s="2"/>
      <c r="Q198" s="2"/>
      <c r="R198" s="2"/>
      <c r="S198" s="2"/>
      <c r="T198" s="2"/>
      <c r="U198" s="2"/>
      <c r="V198" s="2"/>
      <c r="W198" s="2"/>
    </row>
  </sheetData>
  <mergeCells count="17">
    <mergeCell ref="A66:A67"/>
    <mergeCell ref="B66:B67"/>
    <mergeCell ref="M3:V3"/>
    <mergeCell ref="A1:F1"/>
    <mergeCell ref="A2:J2"/>
    <mergeCell ref="A3:A5"/>
    <mergeCell ref="B3:B5"/>
    <mergeCell ref="C3:C5"/>
    <mergeCell ref="D3:F3"/>
    <mergeCell ref="G3:J3"/>
    <mergeCell ref="D4:D5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2017-06-29T11:09:01Z</dcterms:modified>
</cp:coreProperties>
</file>