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1 полуг" sheetId="4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2" i="4"/>
  <c r="G21"/>
  <c r="H21" s="1"/>
  <c r="G22"/>
  <c r="G15"/>
  <c r="G23"/>
  <c r="G41"/>
  <c r="G31" s="1"/>
  <c r="G45"/>
  <c r="G42"/>
  <c r="G34"/>
  <c r="G44"/>
  <c r="G39"/>
  <c r="H39" s="1"/>
  <c r="G46"/>
  <c r="H35"/>
  <c r="H16"/>
  <c r="F18"/>
  <c r="H6"/>
  <c r="H7"/>
  <c r="H8"/>
  <c r="H10"/>
  <c r="H11"/>
  <c r="H13"/>
  <c r="H14"/>
  <c r="H19"/>
  <c r="H20"/>
  <c r="H25"/>
  <c r="H26"/>
  <c r="H27"/>
  <c r="H28"/>
  <c r="H30"/>
  <c r="H32"/>
  <c r="H33"/>
  <c r="H36"/>
  <c r="H37"/>
  <c r="H38"/>
  <c r="H40"/>
  <c r="H47"/>
  <c r="H48"/>
  <c r="H52"/>
  <c r="H53"/>
  <c r="H23" l="1"/>
  <c r="H9"/>
  <c r="H42" l="1"/>
  <c r="H44" l="1"/>
  <c r="H46"/>
  <c r="H34"/>
  <c r="H41"/>
  <c r="H43"/>
  <c r="H45"/>
  <c r="G5"/>
  <c r="H24"/>
  <c r="H17"/>
  <c r="F31"/>
  <c r="F12"/>
  <c r="F5"/>
  <c r="E48"/>
  <c r="E43"/>
  <c r="E41"/>
  <c r="E40"/>
  <c r="E39"/>
  <c r="E34"/>
  <c r="D31"/>
  <c r="D29" s="1"/>
  <c r="E28"/>
  <c r="E27"/>
  <c r="E25"/>
  <c r="E24"/>
  <c r="D24"/>
  <c r="D18" s="1"/>
  <c r="E22"/>
  <c r="E21"/>
  <c r="E20"/>
  <c r="E17"/>
  <c r="E14"/>
  <c r="D12"/>
  <c r="E11"/>
  <c r="E10"/>
  <c r="D5"/>
  <c r="H15" l="1"/>
  <c r="G18"/>
  <c r="H18" s="1"/>
  <c r="H22"/>
  <c r="E18"/>
  <c r="D4"/>
  <c r="D49" s="1"/>
  <c r="D51" s="1"/>
  <c r="H5"/>
  <c r="F29"/>
  <c r="E31"/>
  <c r="E29" s="1"/>
  <c r="E5"/>
  <c r="G29"/>
  <c r="F4"/>
  <c r="E15"/>
  <c r="E12" s="1"/>
  <c r="G4" l="1"/>
  <c r="H4" s="1"/>
  <c r="E4"/>
  <c r="E49" s="1"/>
  <c r="E51" s="1"/>
  <c r="E53" s="1"/>
  <c r="H29"/>
  <c r="H31"/>
  <c r="H12"/>
  <c r="F49"/>
  <c r="G49" l="1"/>
  <c r="F51"/>
  <c r="H51" s="1"/>
  <c r="H49" l="1"/>
  <c r="G50"/>
  <c r="H50" s="1"/>
</calcChain>
</file>

<file path=xl/sharedStrings.xml><?xml version="1.0" encoding="utf-8"?>
<sst xmlns="http://schemas.openxmlformats.org/spreadsheetml/2006/main" count="152" uniqueCount="101">
  <si>
    <t>№ п/п</t>
  </si>
  <si>
    <t xml:space="preserve">Наименование показателей  </t>
  </si>
  <si>
    <t>Единица измерения</t>
  </si>
  <si>
    <t>I</t>
  </si>
  <si>
    <t>Затраты на производство товаров и предоставление услуг, всего</t>
  </si>
  <si>
    <t>тыс. тенге</t>
  </si>
  <si>
    <t>1.</t>
  </si>
  <si>
    <t>Материальные затраты, всего</t>
  </si>
  <si>
    <t>в том числе:</t>
  </si>
  <si>
    <t>1.1.</t>
  </si>
  <si>
    <t>Сырье и материалы</t>
  </si>
  <si>
    <t>1.2.</t>
  </si>
  <si>
    <t>Химические реагенты</t>
  </si>
  <si>
    <t>1.3.</t>
  </si>
  <si>
    <t>Запасные части для автотехники</t>
  </si>
  <si>
    <t>1.4.</t>
  </si>
  <si>
    <t>Горюче-смазочные материалы</t>
  </si>
  <si>
    <t>1.5.</t>
  </si>
  <si>
    <t>Электроэнергия</t>
  </si>
  <si>
    <t>2.</t>
  </si>
  <si>
    <t>Затраты на оплату труда, всего</t>
  </si>
  <si>
    <t>2.1.1.</t>
  </si>
  <si>
    <t xml:space="preserve">Заработная плата </t>
  </si>
  <si>
    <t>2.1.2.</t>
  </si>
  <si>
    <t>Социальный налог и отчисления</t>
  </si>
  <si>
    <t>3.</t>
  </si>
  <si>
    <t>Амортизация</t>
  </si>
  <si>
    <t>4.</t>
  </si>
  <si>
    <t>Прочие затраты, всего</t>
  </si>
  <si>
    <t>4.1.</t>
  </si>
  <si>
    <t xml:space="preserve">Дератизационные, дезинфекционные, дезинсекционные работы </t>
  </si>
  <si>
    <t>4.2.</t>
  </si>
  <si>
    <t xml:space="preserve">Охрана труда и техника безопасности  </t>
  </si>
  <si>
    <t>4.3.</t>
  </si>
  <si>
    <t>Коммунальные услуги</t>
  </si>
  <si>
    <t>4.4.</t>
  </si>
  <si>
    <t>4.5.</t>
  </si>
  <si>
    <t>4.6.</t>
  </si>
  <si>
    <t>Поверка счетчиков и кранов</t>
  </si>
  <si>
    <t>4.7.</t>
  </si>
  <si>
    <t>Техосмотр транспорта</t>
  </si>
  <si>
    <t>4.8.</t>
  </si>
  <si>
    <t>Техобслуживание охранно-пожарной сигнализации</t>
  </si>
  <si>
    <t>4.9.</t>
  </si>
  <si>
    <t>Техобслуживание системы видеонаблюдения</t>
  </si>
  <si>
    <t>II.</t>
  </si>
  <si>
    <t>Расходы периода, всего</t>
  </si>
  <si>
    <t>5.</t>
  </si>
  <si>
    <t>Общие административные расходы, всего</t>
  </si>
  <si>
    <t>5.1.</t>
  </si>
  <si>
    <t>Заработная плата административного персонала</t>
  </si>
  <si>
    <t>5.2.</t>
  </si>
  <si>
    <t>5.3.</t>
  </si>
  <si>
    <t>Услуги банка</t>
  </si>
  <si>
    <t>5.4.</t>
  </si>
  <si>
    <t>5.5.</t>
  </si>
  <si>
    <t xml:space="preserve">Расходы на содержание и обслуживание оргтехники </t>
  </si>
  <si>
    <t>5.6.</t>
  </si>
  <si>
    <t>5.7.</t>
  </si>
  <si>
    <t>Канцелярские расходы</t>
  </si>
  <si>
    <t>5.8.</t>
  </si>
  <si>
    <t>Налоговые платежи</t>
  </si>
  <si>
    <t>5.9.</t>
  </si>
  <si>
    <t>5.10.</t>
  </si>
  <si>
    <t>Расходы на периодическую печать</t>
  </si>
  <si>
    <t>5.11.</t>
  </si>
  <si>
    <t>Услуги связи</t>
  </si>
  <si>
    <t>5.12.</t>
  </si>
  <si>
    <t>Расходы на содержание служебного автотранспорта</t>
  </si>
  <si>
    <t>5.13.</t>
  </si>
  <si>
    <t>Услуги сторонних организаций, консультационные, инфом.услуги, сопровождение 1С бухгалтерия</t>
  </si>
  <si>
    <t>5.14.</t>
  </si>
  <si>
    <t>5.15.</t>
  </si>
  <si>
    <t>Повышение квалификации</t>
  </si>
  <si>
    <t>III.</t>
  </si>
  <si>
    <t>Всего затрат</t>
  </si>
  <si>
    <t>IV.</t>
  </si>
  <si>
    <t>Прибыль</t>
  </si>
  <si>
    <t>Всего доходов</t>
  </si>
  <si>
    <t>Объем оказываемых услуг</t>
  </si>
  <si>
    <t>VII.</t>
  </si>
  <si>
    <t>тенге</t>
  </si>
  <si>
    <r>
      <t>тыс.м</t>
    </r>
    <r>
      <rPr>
        <b/>
        <sz val="11"/>
        <color indexed="8"/>
        <rFont val="Arial"/>
        <family val="2"/>
        <charset val="204"/>
      </rPr>
      <t>³</t>
    </r>
  </si>
  <si>
    <r>
      <t>Тариф за 1 м</t>
    </r>
    <r>
      <rPr>
        <b/>
        <sz val="11"/>
        <color indexed="8"/>
        <rFont val="Arial"/>
        <family val="2"/>
        <charset val="204"/>
      </rPr>
      <t>³</t>
    </r>
    <r>
      <rPr>
        <b/>
        <sz val="11"/>
        <color indexed="8"/>
        <rFont val="Times New Roman"/>
        <family val="1"/>
        <charset val="204"/>
      </rPr>
      <t>(без НДС)</t>
    </r>
  </si>
  <si>
    <t>Командировочные расходы</t>
  </si>
  <si>
    <t>Н.Джумагалиев</t>
  </si>
  <si>
    <t xml:space="preserve">                Директор филиала</t>
  </si>
  <si>
    <t xml:space="preserve">                Главный бухгалтер</t>
  </si>
  <si>
    <t>А.Ашигалиева</t>
  </si>
  <si>
    <t>Исп.Б.Файзуллина</t>
  </si>
  <si>
    <t>Обязательные виды страхования</t>
  </si>
  <si>
    <t>Командировочные расходы, выплаты за разъездной характер работы</t>
  </si>
  <si>
    <t>Отклонение +/-</t>
  </si>
  <si>
    <t>Обязательное медицинское социальное страхование</t>
  </si>
  <si>
    <t>2.1.3.</t>
  </si>
  <si>
    <t>5.16.</t>
  </si>
  <si>
    <t>V.</t>
  </si>
  <si>
    <t>VI.</t>
  </si>
  <si>
    <t>Предусмотрено в утвержденной тарифной смете на 2020 год</t>
  </si>
  <si>
    <t>Факт за 6 месяцев 2020 года</t>
  </si>
  <si>
    <t>Информация для потребителей по исполнению тарифной сметы за 1ое полугодие 2020 года на услуги  подачи питьевой воды по магистральным сетям Бокейординского производственного участка Западно-Казахстанского филиала Республиканского государственного предприятия по водному хозяйству "Казводхоз" с 01 января по 30 июня 2020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</si>
</sst>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7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6" fontId="2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5" fillId="2" borderId="0" xfId="0" applyFont="1" applyFill="1"/>
    <xf numFmtId="0" fontId="6" fillId="0" borderId="0" xfId="0" applyFont="1"/>
    <xf numFmtId="0" fontId="0" fillId="0" borderId="0" xfId="0" applyAlignment="1">
      <alignment horizontal="left"/>
    </xf>
    <xf numFmtId="164" fontId="2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0" fillId="2" borderId="0" xfId="0" applyNumberFormat="1" applyFont="1" applyFill="1"/>
    <xf numFmtId="4" fontId="5" fillId="2" borderId="0" xfId="0" applyNumberFormat="1" applyFont="1" applyFill="1"/>
    <xf numFmtId="4" fontId="0" fillId="2" borderId="0" xfId="0" applyNumberFormat="1" applyFont="1" applyFill="1"/>
    <xf numFmtId="164" fontId="3" fillId="2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topLeftCell="A49" workbookViewId="0">
      <selection activeCell="B2" sqref="B2:B3"/>
    </sheetView>
  </sheetViews>
  <sheetFormatPr defaultRowHeight="15"/>
  <cols>
    <col min="1" max="1" width="7.5703125" style="15" customWidth="1"/>
    <col min="2" max="2" width="47.42578125" style="1" customWidth="1"/>
    <col min="3" max="3" width="14.42578125" style="1" customWidth="1"/>
    <col min="4" max="4" width="0.140625" style="16" hidden="1" customWidth="1"/>
    <col min="5" max="5" width="11.28515625" style="16" hidden="1" customWidth="1"/>
    <col min="6" max="6" width="13.28515625" style="27" customWidth="1"/>
    <col min="7" max="7" width="13.7109375" style="25" customWidth="1"/>
    <col min="8" max="8" width="14.140625" style="25" customWidth="1"/>
    <col min="9" max="9" width="18.7109375" style="1" customWidth="1"/>
    <col min="10" max="16384" width="9.140625" style="1"/>
  </cols>
  <sheetData>
    <row r="1" spans="1:8" ht="91.5" customHeight="1">
      <c r="A1" s="31" t="s">
        <v>100</v>
      </c>
      <c r="B1" s="31"/>
      <c r="C1" s="31"/>
      <c r="D1" s="31"/>
      <c r="E1" s="31"/>
      <c r="F1" s="31"/>
      <c r="G1" s="31"/>
      <c r="H1" s="31"/>
    </row>
    <row r="2" spans="1:8" ht="30.75" customHeight="1">
      <c r="A2" s="34" t="s">
        <v>0</v>
      </c>
      <c r="B2" s="34" t="s">
        <v>1</v>
      </c>
      <c r="C2" s="34" t="s">
        <v>2</v>
      </c>
      <c r="D2" s="36" t="s">
        <v>98</v>
      </c>
      <c r="E2" s="36"/>
      <c r="F2" s="36"/>
      <c r="G2" s="32" t="s">
        <v>99</v>
      </c>
      <c r="H2" s="32" t="s">
        <v>92</v>
      </c>
    </row>
    <row r="3" spans="1:8" ht="164.25" customHeight="1">
      <c r="A3" s="35"/>
      <c r="B3" s="35"/>
      <c r="C3" s="35"/>
      <c r="D3" s="36"/>
      <c r="E3" s="36"/>
      <c r="F3" s="36"/>
      <c r="G3" s="33"/>
      <c r="H3" s="33"/>
    </row>
    <row r="4" spans="1:8" ht="28.5">
      <c r="A4" s="2" t="s">
        <v>3</v>
      </c>
      <c r="B4" s="3" t="s">
        <v>4</v>
      </c>
      <c r="C4" s="2" t="s">
        <v>5</v>
      </c>
      <c r="D4" s="4">
        <f>D5+D12+D17+D18</f>
        <v>74645.81</v>
      </c>
      <c r="E4" s="4">
        <f>E5+E12+E17+E18</f>
        <v>82798.920895999996</v>
      </c>
      <c r="F4" s="4">
        <f>F5+F12+F17+F18</f>
        <v>119467.18000000001</v>
      </c>
      <c r="G4" s="23">
        <f>G5+G12+G17+G18</f>
        <v>112459</v>
      </c>
      <c r="H4" s="23">
        <f>G4-F4</f>
        <v>-7008.1800000000076</v>
      </c>
    </row>
    <row r="5" spans="1:8">
      <c r="A5" s="2" t="s">
        <v>6</v>
      </c>
      <c r="B5" s="3" t="s">
        <v>7</v>
      </c>
      <c r="C5" s="2" t="s">
        <v>5</v>
      </c>
      <c r="D5" s="4">
        <f>D7+D8+D9+D10+D11</f>
        <v>13140</v>
      </c>
      <c r="E5" s="4">
        <f>E8+E7+E9+E10+E11</f>
        <v>12282.11</v>
      </c>
      <c r="F5" s="4">
        <f>F7+F8+F9+F10+F11</f>
        <v>19754.690000000002</v>
      </c>
      <c r="G5" s="23">
        <f>G7+G8+G9+G10+G11</f>
        <v>8835</v>
      </c>
      <c r="H5" s="23">
        <f t="shared" ref="H5:H53" si="0">G5-F5</f>
        <v>-10919.690000000002</v>
      </c>
    </row>
    <row r="6" spans="1:8">
      <c r="A6" s="5"/>
      <c r="B6" s="3" t="s">
        <v>8</v>
      </c>
      <c r="C6" s="2"/>
      <c r="D6" s="6"/>
      <c r="E6" s="6"/>
      <c r="F6" s="6"/>
      <c r="G6" s="22"/>
      <c r="H6" s="23">
        <f t="shared" si="0"/>
        <v>0</v>
      </c>
    </row>
    <row r="7" spans="1:8">
      <c r="A7" s="5" t="s">
        <v>9</v>
      </c>
      <c r="B7" s="7" t="s">
        <v>10</v>
      </c>
      <c r="C7" s="5" t="s">
        <v>5</v>
      </c>
      <c r="D7" s="6">
        <v>2391</v>
      </c>
      <c r="E7" s="6">
        <v>1552.39</v>
      </c>
      <c r="F7" s="6">
        <v>3159.19</v>
      </c>
      <c r="G7" s="22">
        <v>997</v>
      </c>
      <c r="H7" s="23">
        <f t="shared" si="0"/>
        <v>-2162.19</v>
      </c>
    </row>
    <row r="8" spans="1:8">
      <c r="A8" s="5" t="s">
        <v>11</v>
      </c>
      <c r="B8" s="7" t="s">
        <v>12</v>
      </c>
      <c r="C8" s="5" t="s">
        <v>5</v>
      </c>
      <c r="D8" s="6">
        <v>45</v>
      </c>
      <c r="E8" s="6">
        <v>32.14</v>
      </c>
      <c r="F8" s="6">
        <v>69.010000000000005</v>
      </c>
      <c r="G8" s="22">
        <v>24</v>
      </c>
      <c r="H8" s="23">
        <f t="shared" si="0"/>
        <v>-45.010000000000005</v>
      </c>
    </row>
    <row r="9" spans="1:8">
      <c r="A9" s="5" t="s">
        <v>13</v>
      </c>
      <c r="B9" s="8" t="s">
        <v>14</v>
      </c>
      <c r="C9" s="5" t="s">
        <v>5</v>
      </c>
      <c r="D9" s="6">
        <v>2446</v>
      </c>
      <c r="E9" s="6">
        <v>1962.38</v>
      </c>
      <c r="F9" s="6">
        <v>2752.34</v>
      </c>
      <c r="G9" s="22">
        <v>913</v>
      </c>
      <c r="H9" s="23">
        <f t="shared" si="0"/>
        <v>-1839.3400000000001</v>
      </c>
    </row>
    <row r="10" spans="1:8">
      <c r="A10" s="5" t="s">
        <v>15</v>
      </c>
      <c r="B10" s="7" t="s">
        <v>16</v>
      </c>
      <c r="C10" s="5" t="s">
        <v>5</v>
      </c>
      <c r="D10" s="6">
        <v>4441</v>
      </c>
      <c r="E10" s="6">
        <f>3746.2</f>
        <v>3746.2</v>
      </c>
      <c r="F10" s="6">
        <v>6842.22</v>
      </c>
      <c r="G10" s="22">
        <v>3764</v>
      </c>
      <c r="H10" s="23">
        <f t="shared" si="0"/>
        <v>-3078.2200000000003</v>
      </c>
    </row>
    <row r="11" spans="1:8">
      <c r="A11" s="5" t="s">
        <v>17</v>
      </c>
      <c r="B11" s="7" t="s">
        <v>18</v>
      </c>
      <c r="C11" s="5" t="s">
        <v>5</v>
      </c>
      <c r="D11" s="6">
        <v>3817</v>
      </c>
      <c r="E11" s="6">
        <f>4989</f>
        <v>4989</v>
      </c>
      <c r="F11" s="6">
        <v>6931.93</v>
      </c>
      <c r="G11" s="22">
        <v>3137</v>
      </c>
      <c r="H11" s="23">
        <f t="shared" si="0"/>
        <v>-3794.9300000000003</v>
      </c>
    </row>
    <row r="12" spans="1:8">
      <c r="A12" s="2" t="s">
        <v>19</v>
      </c>
      <c r="B12" s="3" t="s">
        <v>20</v>
      </c>
      <c r="C12" s="2" t="s">
        <v>5</v>
      </c>
      <c r="D12" s="4">
        <f>D14+D15</f>
        <v>34277.81</v>
      </c>
      <c r="E12" s="4">
        <f>E14+E15</f>
        <v>43162.679896000001</v>
      </c>
      <c r="F12" s="4">
        <f>F13+F14+F15</f>
        <v>59794.25</v>
      </c>
      <c r="G12" s="23">
        <f>G14+G15+G16</f>
        <v>31050</v>
      </c>
      <c r="H12" s="23">
        <f t="shared" si="0"/>
        <v>-28744.25</v>
      </c>
    </row>
    <row r="13" spans="1:8">
      <c r="A13" s="5"/>
      <c r="B13" s="3" t="s">
        <v>8</v>
      </c>
      <c r="C13" s="5"/>
      <c r="D13" s="6"/>
      <c r="E13" s="6"/>
      <c r="F13" s="6"/>
      <c r="G13" s="22"/>
      <c r="H13" s="23">
        <f t="shared" si="0"/>
        <v>0</v>
      </c>
    </row>
    <row r="14" spans="1:8">
      <c r="A14" s="9" t="s">
        <v>21</v>
      </c>
      <c r="B14" s="7" t="s">
        <v>22</v>
      </c>
      <c r="C14" s="5" t="s">
        <v>5</v>
      </c>
      <c r="D14" s="10">
        <v>31190</v>
      </c>
      <c r="E14" s="10">
        <f>10460.754+28813.75</f>
        <v>39274.504000000001</v>
      </c>
      <c r="F14" s="6">
        <v>55084.52</v>
      </c>
      <c r="G14" s="28">
        <v>28101</v>
      </c>
      <c r="H14" s="23">
        <f t="shared" si="0"/>
        <v>-26983.519999999997</v>
      </c>
    </row>
    <row r="15" spans="1:8">
      <c r="A15" s="5" t="s">
        <v>23</v>
      </c>
      <c r="B15" s="7" t="s">
        <v>24</v>
      </c>
      <c r="C15" s="5" t="s">
        <v>5</v>
      </c>
      <c r="D15" s="10">
        <v>3087.81</v>
      </c>
      <c r="E15" s="10">
        <f>E14*0.9*11%</f>
        <v>3888.1758959999997</v>
      </c>
      <c r="F15" s="6">
        <v>4709.7299999999996</v>
      </c>
      <c r="G15" s="28">
        <f>919+1497</f>
        <v>2416</v>
      </c>
      <c r="H15" s="23">
        <f t="shared" si="0"/>
        <v>-2293.7299999999996</v>
      </c>
    </row>
    <row r="16" spans="1:8" ht="30">
      <c r="A16" s="5" t="s">
        <v>94</v>
      </c>
      <c r="B16" s="7" t="s">
        <v>93</v>
      </c>
      <c r="C16" s="5" t="s">
        <v>5</v>
      </c>
      <c r="D16" s="10"/>
      <c r="E16" s="10"/>
      <c r="F16" s="6">
        <v>0</v>
      </c>
      <c r="G16" s="28">
        <v>533</v>
      </c>
      <c r="H16" s="23">
        <f t="shared" si="0"/>
        <v>533</v>
      </c>
    </row>
    <row r="17" spans="1:8">
      <c r="A17" s="2" t="s">
        <v>25</v>
      </c>
      <c r="B17" s="3" t="s">
        <v>26</v>
      </c>
      <c r="C17" s="2" t="s">
        <v>5</v>
      </c>
      <c r="D17" s="4">
        <v>24250</v>
      </c>
      <c r="E17" s="4">
        <f>24250+401</f>
        <v>24651</v>
      </c>
      <c r="F17" s="4">
        <v>36158.910000000003</v>
      </c>
      <c r="G17" s="23">
        <v>71440</v>
      </c>
      <c r="H17" s="23">
        <f t="shared" si="0"/>
        <v>35281.089999999997</v>
      </c>
    </row>
    <row r="18" spans="1:8">
      <c r="A18" s="2" t="s">
        <v>27</v>
      </c>
      <c r="B18" s="3" t="s">
        <v>28</v>
      </c>
      <c r="C18" s="2" t="s">
        <v>5</v>
      </c>
      <c r="D18" s="4">
        <f>D20+D21+D22+D23+D24+D25+D26</f>
        <v>2978</v>
      </c>
      <c r="E18" s="4">
        <f>E20+E21+E22+E23+E24+E25+E26+E27+E28</f>
        <v>2703.1310000000003</v>
      </c>
      <c r="F18" s="4">
        <f>F20+F21+F22+F23+F24+F25+F26+F27+F28</f>
        <v>3759.3299999999995</v>
      </c>
      <c r="G18" s="23">
        <f>G20+G21+G22+G23+G24+G25+G26+G27+G28</f>
        <v>1134</v>
      </c>
      <c r="H18" s="23">
        <f t="shared" si="0"/>
        <v>-2625.3299999999995</v>
      </c>
    </row>
    <row r="19" spans="1:8">
      <c r="A19" s="2"/>
      <c r="B19" s="3" t="s">
        <v>8</v>
      </c>
      <c r="C19" s="5"/>
      <c r="D19" s="4"/>
      <c r="E19" s="4"/>
      <c r="F19" s="6"/>
      <c r="G19" s="23"/>
      <c r="H19" s="23">
        <f t="shared" si="0"/>
        <v>0</v>
      </c>
    </row>
    <row r="20" spans="1:8" ht="30">
      <c r="A20" s="5" t="s">
        <v>29</v>
      </c>
      <c r="B20" s="7" t="s">
        <v>30</v>
      </c>
      <c r="C20" s="5" t="s">
        <v>5</v>
      </c>
      <c r="D20" s="6">
        <v>500</v>
      </c>
      <c r="E20" s="6">
        <f>399.99</f>
        <v>399.99</v>
      </c>
      <c r="F20" s="6">
        <v>555.78</v>
      </c>
      <c r="G20" s="22">
        <v>116</v>
      </c>
      <c r="H20" s="23">
        <f t="shared" si="0"/>
        <v>-439.78</v>
      </c>
    </row>
    <row r="21" spans="1:8">
      <c r="A21" s="5" t="s">
        <v>31</v>
      </c>
      <c r="B21" s="7" t="s">
        <v>32</v>
      </c>
      <c r="C21" s="5" t="s">
        <v>5</v>
      </c>
      <c r="D21" s="6">
        <v>396</v>
      </c>
      <c r="E21" s="6">
        <f>396</f>
        <v>396</v>
      </c>
      <c r="F21" s="6">
        <v>550.22</v>
      </c>
      <c r="G21" s="22">
        <f>37+350</f>
        <v>387</v>
      </c>
      <c r="H21" s="23">
        <f t="shared" si="0"/>
        <v>-163.22000000000003</v>
      </c>
    </row>
    <row r="22" spans="1:8">
      <c r="A22" s="5" t="s">
        <v>33</v>
      </c>
      <c r="B22" s="7" t="s">
        <v>34</v>
      </c>
      <c r="C22" s="5" t="s">
        <v>5</v>
      </c>
      <c r="D22" s="6">
        <v>96</v>
      </c>
      <c r="E22" s="6">
        <f>194.461</f>
        <v>194.46100000000001</v>
      </c>
      <c r="F22" s="6">
        <v>270.19</v>
      </c>
      <c r="G22" s="22">
        <f>52+30</f>
        <v>82</v>
      </c>
      <c r="H22" s="23">
        <f t="shared" si="0"/>
        <v>-188.19</v>
      </c>
    </row>
    <row r="23" spans="1:8">
      <c r="A23" s="5" t="s">
        <v>35</v>
      </c>
      <c r="B23" s="7" t="s">
        <v>90</v>
      </c>
      <c r="C23" s="5" t="s">
        <v>5</v>
      </c>
      <c r="D23" s="6">
        <v>182</v>
      </c>
      <c r="E23" s="6">
        <v>210.2</v>
      </c>
      <c r="F23" s="6">
        <v>292.06</v>
      </c>
      <c r="G23" s="22">
        <f>112+31</f>
        <v>143</v>
      </c>
      <c r="H23" s="23">
        <f t="shared" si="0"/>
        <v>-149.06</v>
      </c>
    </row>
    <row r="24" spans="1:8" ht="30">
      <c r="A24" s="5" t="s">
        <v>36</v>
      </c>
      <c r="B24" s="7" t="s">
        <v>91</v>
      </c>
      <c r="C24" s="5" t="s">
        <v>5</v>
      </c>
      <c r="D24" s="6">
        <f>936+571</f>
        <v>1507</v>
      </c>
      <c r="E24" s="6">
        <f>603.48+271.37</f>
        <v>874.85</v>
      </c>
      <c r="F24" s="6">
        <v>1219.1099999999999</v>
      </c>
      <c r="G24" s="22">
        <v>338</v>
      </c>
      <c r="H24" s="23">
        <f t="shared" si="0"/>
        <v>-881.1099999999999</v>
      </c>
    </row>
    <row r="25" spans="1:8">
      <c r="A25" s="5" t="s">
        <v>37</v>
      </c>
      <c r="B25" s="7" t="s">
        <v>38</v>
      </c>
      <c r="C25" s="5" t="s">
        <v>5</v>
      </c>
      <c r="D25" s="6">
        <v>281</v>
      </c>
      <c r="E25" s="6">
        <f>257.8</f>
        <v>257.8</v>
      </c>
      <c r="F25" s="6">
        <v>358.2</v>
      </c>
      <c r="G25" s="22">
        <v>43</v>
      </c>
      <c r="H25" s="23">
        <f t="shared" si="0"/>
        <v>-315.2</v>
      </c>
    </row>
    <row r="26" spans="1:8">
      <c r="A26" s="5" t="s">
        <v>39</v>
      </c>
      <c r="B26" s="7" t="s">
        <v>40</v>
      </c>
      <c r="C26" s="5" t="s">
        <v>5</v>
      </c>
      <c r="D26" s="10">
        <v>16</v>
      </c>
      <c r="E26" s="10">
        <v>18.190000000000001</v>
      </c>
      <c r="F26" s="6">
        <v>25.18</v>
      </c>
      <c r="G26" s="22"/>
      <c r="H26" s="23">
        <f t="shared" si="0"/>
        <v>-25.18</v>
      </c>
    </row>
    <row r="27" spans="1:8">
      <c r="A27" s="5" t="s">
        <v>41</v>
      </c>
      <c r="B27" s="7" t="s">
        <v>42</v>
      </c>
      <c r="C27" s="5" t="s">
        <v>5</v>
      </c>
      <c r="D27" s="6"/>
      <c r="E27" s="6">
        <f>169.64</f>
        <v>169.64</v>
      </c>
      <c r="F27" s="6">
        <v>235.71</v>
      </c>
      <c r="G27" s="22">
        <v>10</v>
      </c>
      <c r="H27" s="23">
        <f t="shared" si="0"/>
        <v>-225.71</v>
      </c>
    </row>
    <row r="28" spans="1:8">
      <c r="A28" s="5" t="s">
        <v>43</v>
      </c>
      <c r="B28" s="7" t="s">
        <v>44</v>
      </c>
      <c r="C28" s="5" t="s">
        <v>5</v>
      </c>
      <c r="D28" s="6"/>
      <c r="E28" s="6">
        <f>182</f>
        <v>182</v>
      </c>
      <c r="F28" s="6">
        <v>252.88</v>
      </c>
      <c r="G28" s="22">
        <v>15</v>
      </c>
      <c r="H28" s="23">
        <f t="shared" si="0"/>
        <v>-237.88</v>
      </c>
    </row>
    <row r="29" spans="1:8">
      <c r="A29" s="2" t="s">
        <v>45</v>
      </c>
      <c r="B29" s="3" t="s">
        <v>46</v>
      </c>
      <c r="C29" s="2" t="s">
        <v>5</v>
      </c>
      <c r="D29" s="4" t="e">
        <f>D31</f>
        <v>#REF!</v>
      </c>
      <c r="E29" s="4">
        <f>E31</f>
        <v>21545.428100000001</v>
      </c>
      <c r="F29" s="4">
        <f>F31</f>
        <v>26743.109999999997</v>
      </c>
      <c r="G29" s="23">
        <f>G31</f>
        <v>10891</v>
      </c>
      <c r="H29" s="23">
        <f t="shared" si="0"/>
        <v>-15852.109999999997</v>
      </c>
    </row>
    <row r="30" spans="1:8">
      <c r="A30" s="2"/>
      <c r="B30" s="3" t="s">
        <v>8</v>
      </c>
      <c r="C30" s="5"/>
      <c r="D30" s="4"/>
      <c r="E30" s="4"/>
      <c r="F30" s="6"/>
      <c r="G30" s="23"/>
      <c r="H30" s="23">
        <f t="shared" si="0"/>
        <v>0</v>
      </c>
    </row>
    <row r="31" spans="1:8">
      <c r="A31" s="5" t="s">
        <v>47</v>
      </c>
      <c r="B31" s="7" t="s">
        <v>48</v>
      </c>
      <c r="C31" s="5" t="s">
        <v>5</v>
      </c>
      <c r="D31" s="6" t="e">
        <f>D33+D34+D36+D37+D38+D39+D40+D41+D45+D47+#REF!</f>
        <v>#REF!</v>
      </c>
      <c r="E31" s="6">
        <f>E33+E34+E36+E37+E38+E39+E40+E42+E43+E44+E45+E46++E48+E41+E47</f>
        <v>21545.428100000001</v>
      </c>
      <c r="F31" s="6">
        <f>F33+F34+F36+F37+F38+F39+F40+F41+F42+F43+F44+F45+F46+F47+F48</f>
        <v>26743.109999999997</v>
      </c>
      <c r="G31" s="22">
        <f>G33+G34+G36+G37+G38+G39+G40+G41+G42+G43+G44+G45+G46+G47+G48+G35</f>
        <v>10891</v>
      </c>
      <c r="H31" s="23">
        <f t="shared" si="0"/>
        <v>-15852.109999999997</v>
      </c>
    </row>
    <row r="32" spans="1:8">
      <c r="A32" s="11"/>
      <c r="B32" s="7" t="s">
        <v>8</v>
      </c>
      <c r="C32" s="5"/>
      <c r="D32" s="6"/>
      <c r="E32" s="6"/>
      <c r="F32" s="6"/>
      <c r="G32" s="22"/>
      <c r="H32" s="23">
        <f t="shared" si="0"/>
        <v>0</v>
      </c>
    </row>
    <row r="33" spans="1:8" s="14" customFormat="1">
      <c r="A33" s="5" t="s">
        <v>49</v>
      </c>
      <c r="B33" s="7" t="s">
        <v>50</v>
      </c>
      <c r="C33" s="5" t="s">
        <v>5</v>
      </c>
      <c r="D33" s="12">
        <v>8309.7000000000007</v>
      </c>
      <c r="E33" s="12">
        <v>11051.9</v>
      </c>
      <c r="F33" s="13">
        <v>15500.86</v>
      </c>
      <c r="G33" s="29">
        <v>6064</v>
      </c>
      <c r="H33" s="23">
        <f t="shared" si="0"/>
        <v>-9436.86</v>
      </c>
    </row>
    <row r="34" spans="1:8" s="14" customFormat="1">
      <c r="A34" s="5" t="s">
        <v>51</v>
      </c>
      <c r="B34" s="7" t="s">
        <v>24</v>
      </c>
      <c r="C34" s="5" t="s">
        <v>5</v>
      </c>
      <c r="D34" s="13">
        <v>822.66</v>
      </c>
      <c r="E34" s="13">
        <f>E33*0.9*0.11</f>
        <v>1094.1380999999999</v>
      </c>
      <c r="F34" s="13">
        <v>1325.32</v>
      </c>
      <c r="G34" s="24">
        <f>197+323</f>
        <v>520</v>
      </c>
      <c r="H34" s="23">
        <f t="shared" si="0"/>
        <v>-805.31999999999994</v>
      </c>
    </row>
    <row r="35" spans="1:8" s="14" customFormat="1" ht="30">
      <c r="A35" s="9" t="s">
        <v>52</v>
      </c>
      <c r="B35" s="7" t="s">
        <v>93</v>
      </c>
      <c r="C35" s="5" t="s">
        <v>5</v>
      </c>
      <c r="D35" s="13"/>
      <c r="E35" s="13"/>
      <c r="F35" s="13">
        <v>0</v>
      </c>
      <c r="G35" s="24">
        <v>113</v>
      </c>
      <c r="H35" s="23">
        <f t="shared" si="0"/>
        <v>113</v>
      </c>
    </row>
    <row r="36" spans="1:8">
      <c r="A36" s="9" t="s">
        <v>54</v>
      </c>
      <c r="B36" s="7" t="s">
        <v>53</v>
      </c>
      <c r="C36" s="5" t="s">
        <v>5</v>
      </c>
      <c r="D36" s="6">
        <v>864</v>
      </c>
      <c r="E36" s="6">
        <v>500</v>
      </c>
      <c r="F36" s="6">
        <v>671.28</v>
      </c>
      <c r="G36" s="22">
        <v>184</v>
      </c>
      <c r="H36" s="23">
        <f t="shared" si="0"/>
        <v>-487.28</v>
      </c>
    </row>
    <row r="37" spans="1:8">
      <c r="A37" s="9" t="s">
        <v>55</v>
      </c>
      <c r="B37" s="7" t="s">
        <v>26</v>
      </c>
      <c r="C37" s="5" t="s">
        <v>5</v>
      </c>
      <c r="D37" s="6">
        <v>961</v>
      </c>
      <c r="E37" s="6">
        <v>560</v>
      </c>
      <c r="F37" s="6">
        <v>785.43</v>
      </c>
      <c r="G37" s="22">
        <v>1219</v>
      </c>
      <c r="H37" s="23">
        <f t="shared" si="0"/>
        <v>433.57000000000005</v>
      </c>
    </row>
    <row r="38" spans="1:8" ht="30">
      <c r="A38" s="5" t="s">
        <v>57</v>
      </c>
      <c r="B38" s="7" t="s">
        <v>56</v>
      </c>
      <c r="C38" s="5" t="s">
        <v>5</v>
      </c>
      <c r="D38" s="6">
        <v>83</v>
      </c>
      <c r="E38" s="6">
        <v>88.81</v>
      </c>
      <c r="F38" s="6">
        <v>95.03</v>
      </c>
      <c r="G38" s="22">
        <v>52</v>
      </c>
      <c r="H38" s="23">
        <f t="shared" si="0"/>
        <v>-43.03</v>
      </c>
    </row>
    <row r="39" spans="1:8">
      <c r="A39" s="9" t="s">
        <v>58</v>
      </c>
      <c r="B39" s="7" t="s">
        <v>90</v>
      </c>
      <c r="C39" s="5" t="s">
        <v>5</v>
      </c>
      <c r="D39" s="6">
        <v>22</v>
      </c>
      <c r="E39" s="6">
        <f>10.94</f>
        <v>10.94</v>
      </c>
      <c r="F39" s="6">
        <v>15.34</v>
      </c>
      <c r="G39" s="22">
        <f>29+4</f>
        <v>33</v>
      </c>
      <c r="H39" s="23">
        <f t="shared" si="0"/>
        <v>17.66</v>
      </c>
    </row>
    <row r="40" spans="1:8">
      <c r="A40" s="9" t="s">
        <v>60</v>
      </c>
      <c r="B40" s="7" t="s">
        <v>59</v>
      </c>
      <c r="C40" s="5" t="s">
        <v>5</v>
      </c>
      <c r="D40" s="6">
        <v>131</v>
      </c>
      <c r="E40" s="6">
        <f>131</f>
        <v>131</v>
      </c>
      <c r="F40" s="6">
        <v>183.73</v>
      </c>
      <c r="G40" s="22">
        <v>77</v>
      </c>
      <c r="H40" s="23">
        <f t="shared" si="0"/>
        <v>-106.72999999999999</v>
      </c>
    </row>
    <row r="41" spans="1:8">
      <c r="A41" s="9" t="s">
        <v>62</v>
      </c>
      <c r="B41" s="7" t="s">
        <v>61</v>
      </c>
      <c r="C41" s="5" t="s">
        <v>5</v>
      </c>
      <c r="D41" s="6">
        <v>1674</v>
      </c>
      <c r="E41" s="6">
        <f>4976</f>
        <v>4976</v>
      </c>
      <c r="F41" s="6">
        <v>3993.44</v>
      </c>
      <c r="G41" s="22">
        <f>8+68+1222+126+82+12+1+1</f>
        <v>1520</v>
      </c>
      <c r="H41" s="23">
        <f t="shared" si="0"/>
        <v>-2473.44</v>
      </c>
    </row>
    <row r="42" spans="1:8">
      <c r="A42" s="9" t="s">
        <v>63</v>
      </c>
      <c r="B42" s="7" t="s">
        <v>84</v>
      </c>
      <c r="C42" s="5" t="s">
        <v>5</v>
      </c>
      <c r="D42" s="6"/>
      <c r="E42" s="6">
        <v>1100</v>
      </c>
      <c r="F42" s="6">
        <v>1482.81</v>
      </c>
      <c r="G42" s="22">
        <f>258+95</f>
        <v>353</v>
      </c>
      <c r="H42" s="23">
        <f t="shared" si="0"/>
        <v>-1129.81</v>
      </c>
    </row>
    <row r="43" spans="1:8">
      <c r="A43" s="9" t="s">
        <v>65</v>
      </c>
      <c r="B43" s="7" t="s">
        <v>64</v>
      </c>
      <c r="C43" s="5" t="s">
        <v>5</v>
      </c>
      <c r="D43" s="6"/>
      <c r="E43" s="6">
        <f>55</f>
        <v>55</v>
      </c>
      <c r="F43" s="6">
        <v>77.14</v>
      </c>
      <c r="G43" s="22">
        <v>10</v>
      </c>
      <c r="H43" s="23">
        <f t="shared" si="0"/>
        <v>-67.14</v>
      </c>
    </row>
    <row r="44" spans="1:8">
      <c r="A44" s="9" t="s">
        <v>67</v>
      </c>
      <c r="B44" s="7" t="s">
        <v>66</v>
      </c>
      <c r="C44" s="5" t="s">
        <v>5</v>
      </c>
      <c r="D44" s="6"/>
      <c r="E44" s="6">
        <v>380</v>
      </c>
      <c r="F44" s="6">
        <v>502.97</v>
      </c>
      <c r="G44" s="22">
        <f>33+205+10+8</f>
        <v>256</v>
      </c>
      <c r="H44" s="23">
        <f t="shared" si="0"/>
        <v>-246.97000000000003</v>
      </c>
    </row>
    <row r="45" spans="1:8" ht="30">
      <c r="A45" s="9" t="s">
        <v>69</v>
      </c>
      <c r="B45" s="7" t="s">
        <v>68</v>
      </c>
      <c r="C45" s="5" t="s">
        <v>5</v>
      </c>
      <c r="D45" s="6">
        <v>1255</v>
      </c>
      <c r="E45" s="6">
        <v>1263</v>
      </c>
      <c r="F45" s="6">
        <v>1721.42</v>
      </c>
      <c r="G45" s="22">
        <f>282+123</f>
        <v>405</v>
      </c>
      <c r="H45" s="23">
        <f t="shared" si="0"/>
        <v>-1316.42</v>
      </c>
    </row>
    <row r="46" spans="1:8" ht="30">
      <c r="A46" s="9" t="s">
        <v>71</v>
      </c>
      <c r="B46" s="7" t="s">
        <v>70</v>
      </c>
      <c r="C46" s="5" t="s">
        <v>5</v>
      </c>
      <c r="D46" s="6"/>
      <c r="E46" s="6">
        <v>206.14</v>
      </c>
      <c r="F46" s="6">
        <v>213.38</v>
      </c>
      <c r="G46" s="22">
        <f>18+5</f>
        <v>23</v>
      </c>
      <c r="H46" s="23">
        <f t="shared" si="0"/>
        <v>-190.38</v>
      </c>
    </row>
    <row r="47" spans="1:8">
      <c r="A47" s="9" t="s">
        <v>72</v>
      </c>
      <c r="B47" s="7" t="s">
        <v>34</v>
      </c>
      <c r="C47" s="5" t="s">
        <v>5</v>
      </c>
      <c r="D47" s="6">
        <v>107</v>
      </c>
      <c r="E47" s="6">
        <v>100</v>
      </c>
      <c r="F47" s="6">
        <v>135.26</v>
      </c>
      <c r="G47" s="22">
        <v>62</v>
      </c>
      <c r="H47" s="23">
        <f t="shared" si="0"/>
        <v>-73.259999999999991</v>
      </c>
    </row>
    <row r="48" spans="1:8">
      <c r="A48" s="9" t="s">
        <v>95</v>
      </c>
      <c r="B48" s="7" t="s">
        <v>73</v>
      </c>
      <c r="C48" s="5" t="s">
        <v>5</v>
      </c>
      <c r="D48" s="6"/>
      <c r="E48" s="6">
        <f>28.5</f>
        <v>28.5</v>
      </c>
      <c r="F48" s="6">
        <v>39.700000000000003</v>
      </c>
      <c r="G48" s="22">
        <v>0</v>
      </c>
      <c r="H48" s="23">
        <f t="shared" si="0"/>
        <v>-39.700000000000003</v>
      </c>
    </row>
    <row r="49" spans="1:8">
      <c r="A49" s="2" t="s">
        <v>74</v>
      </c>
      <c r="B49" s="3" t="s">
        <v>75</v>
      </c>
      <c r="C49" s="2" t="s">
        <v>5</v>
      </c>
      <c r="D49" s="4" t="e">
        <f>D4+D29</f>
        <v>#REF!</v>
      </c>
      <c r="E49" s="4">
        <f>E4+E29</f>
        <v>104344.348996</v>
      </c>
      <c r="F49" s="4">
        <f>F4+F29</f>
        <v>146210.29</v>
      </c>
      <c r="G49" s="23">
        <f>G4+G29</f>
        <v>123350</v>
      </c>
      <c r="H49" s="23">
        <f t="shared" si="0"/>
        <v>-22860.290000000008</v>
      </c>
    </row>
    <row r="50" spans="1:8">
      <c r="A50" s="2" t="s">
        <v>76</v>
      </c>
      <c r="B50" s="3" t="s">
        <v>77</v>
      </c>
      <c r="C50" s="2" t="s">
        <v>5</v>
      </c>
      <c r="D50" s="6">
        <v>4017</v>
      </c>
      <c r="E50" s="6">
        <v>681.85</v>
      </c>
      <c r="F50" s="6">
        <v>0</v>
      </c>
      <c r="G50" s="23">
        <f>G51-G49</f>
        <v>-38543.600000000006</v>
      </c>
      <c r="H50" s="23">
        <f t="shared" si="0"/>
        <v>-38543.600000000006</v>
      </c>
    </row>
    <row r="51" spans="1:8">
      <c r="A51" s="2" t="s">
        <v>96</v>
      </c>
      <c r="B51" s="3" t="s">
        <v>78</v>
      </c>
      <c r="C51" s="2" t="s">
        <v>5</v>
      </c>
      <c r="D51" s="4" t="e">
        <f>D49+D50</f>
        <v>#REF!</v>
      </c>
      <c r="E51" s="4">
        <f>E50+E49</f>
        <v>105026.19899600001</v>
      </c>
      <c r="F51" s="4">
        <f>SUM(F49:F50)</f>
        <v>146210.29</v>
      </c>
      <c r="G51" s="23">
        <v>84806.399999999994</v>
      </c>
      <c r="H51" s="23">
        <f t="shared" si="0"/>
        <v>-61403.890000000014</v>
      </c>
    </row>
    <row r="52" spans="1:8">
      <c r="A52" s="2" t="s">
        <v>97</v>
      </c>
      <c r="B52" s="3" t="s">
        <v>79</v>
      </c>
      <c r="C52" s="2" t="s">
        <v>82</v>
      </c>
      <c r="D52" s="4">
        <v>170</v>
      </c>
      <c r="E52" s="4">
        <v>175.86799999999999</v>
      </c>
      <c r="F52" s="4">
        <v>201.73</v>
      </c>
      <c r="G52" s="30">
        <v>117.2253</v>
      </c>
      <c r="H52" s="23">
        <f t="shared" si="0"/>
        <v>-84.504699999999985</v>
      </c>
    </row>
    <row r="53" spans="1:8" ht="76.5" customHeight="1">
      <c r="A53" s="2" t="s">
        <v>80</v>
      </c>
      <c r="B53" s="3" t="s">
        <v>83</v>
      </c>
      <c r="C53" s="2" t="s">
        <v>81</v>
      </c>
      <c r="D53" s="4">
        <v>547.55999999999995</v>
      </c>
      <c r="E53" s="4">
        <f>E51/E52</f>
        <v>597.18765776605187</v>
      </c>
      <c r="F53" s="4">
        <v>724.78</v>
      </c>
      <c r="G53" s="4">
        <v>723.47</v>
      </c>
      <c r="H53" s="23">
        <f t="shared" si="0"/>
        <v>-1.3099999999999454</v>
      </c>
    </row>
    <row r="56" spans="1:8">
      <c r="B56" s="18" t="s">
        <v>86</v>
      </c>
      <c r="C56" s="20" t="s">
        <v>85</v>
      </c>
      <c r="D56" s="19"/>
      <c r="E56" s="19"/>
      <c r="F56" s="26"/>
    </row>
    <row r="57" spans="1:8">
      <c r="B57" s="18" t="s">
        <v>87</v>
      </c>
      <c r="C57" s="20" t="s">
        <v>88</v>
      </c>
    </row>
    <row r="58" spans="1:8">
      <c r="B58" s="17"/>
    </row>
    <row r="59" spans="1:8">
      <c r="A59" s="21" t="s">
        <v>89</v>
      </c>
    </row>
    <row r="60" spans="1:8">
      <c r="A60" s="17">
        <v>534830</v>
      </c>
    </row>
  </sheetData>
  <mergeCells count="7">
    <mergeCell ref="A1:H1"/>
    <mergeCell ref="H2:H3"/>
    <mergeCell ref="A2:A3"/>
    <mergeCell ref="B2:B3"/>
    <mergeCell ref="C2:C3"/>
    <mergeCell ref="D2:F3"/>
    <mergeCell ref="G2:G3"/>
  </mergeCells>
  <pageMargins left="0.70866141732283472" right="0.31" top="0.56000000000000005" bottom="0.74803149606299213" header="0.31496062992125984" footer="0.31496062992125984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полуг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2020-07-13T13:36:56Z</dcterms:modified>
</cp:coreProperties>
</file>