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orkDir\Desktop\"/>
    </mc:Choice>
  </mc:AlternateContent>
  <bookViews>
    <workbookView xWindow="0" yWindow="0" windowWidth="20490" windowHeight="7755"/>
  </bookViews>
  <sheets>
    <sheet name="ТС_коррек_2017_поливная " sheetId="1" r:id="rId1"/>
  </sheets>
  <definedNames>
    <definedName name="_xlnm.Print_Titles" localSheetId="0">'ТС_коррек_2017_поливная '!$20:$22</definedName>
    <definedName name="_xlnm.Print_Area" localSheetId="0">'ТС_коррек_2017_поливная '!$A$1:$T$117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94" i="1" l="1"/>
  <c r="R81" i="1"/>
  <c r="R82" i="1"/>
  <c r="R74" i="1"/>
  <c r="R73" i="1"/>
  <c r="S39" i="1"/>
  <c r="R68" i="1"/>
  <c r="R53" i="1"/>
  <c r="R62" i="1"/>
  <c r="R25" i="1"/>
  <c r="R44" i="1"/>
  <c r="R26" i="1"/>
  <c r="Q36" i="1"/>
  <c r="S40" i="1" l="1"/>
  <c r="T75" i="1" l="1"/>
  <c r="T78" i="1"/>
  <c r="T79" i="1"/>
  <c r="T80" i="1"/>
  <c r="T81" i="1"/>
  <c r="T82" i="1"/>
  <c r="T83" i="1"/>
  <c r="T84" i="1"/>
  <c r="T86" i="1"/>
  <c r="T87" i="1"/>
  <c r="T88" i="1"/>
  <c r="T89" i="1"/>
  <c r="T90" i="1"/>
  <c r="T92" i="1"/>
  <c r="S78" i="1"/>
  <c r="S79" i="1"/>
  <c r="S80" i="1"/>
  <c r="S81" i="1"/>
  <c r="S82" i="1"/>
  <c r="S83" i="1"/>
  <c r="S84" i="1"/>
  <c r="S86" i="1"/>
  <c r="S87" i="1"/>
  <c r="S88" i="1"/>
  <c r="S89" i="1"/>
  <c r="S90" i="1"/>
  <c r="S92" i="1"/>
  <c r="S98" i="1"/>
  <c r="S99" i="1"/>
  <c r="S100" i="1"/>
  <c r="S42" i="1"/>
  <c r="S48" i="1"/>
  <c r="S49" i="1"/>
  <c r="S50" i="1"/>
  <c r="S51" i="1"/>
  <c r="S52" i="1"/>
  <c r="S54" i="1"/>
  <c r="S55" i="1"/>
  <c r="S56" i="1"/>
  <c r="S57" i="1"/>
  <c r="S58" i="1"/>
  <c r="S59" i="1"/>
  <c r="S60" i="1"/>
  <c r="S61" i="1"/>
  <c r="S63" i="1"/>
  <c r="S64" i="1"/>
  <c r="S65" i="1"/>
  <c r="S66" i="1"/>
  <c r="S67" i="1"/>
  <c r="S68" i="1"/>
  <c r="S70" i="1"/>
  <c r="S72" i="1"/>
  <c r="S75" i="1"/>
  <c r="S77" i="1"/>
  <c r="S35" i="1"/>
  <c r="S34" i="1"/>
  <c r="S33" i="1"/>
  <c r="S32" i="1"/>
  <c r="S31" i="1"/>
  <c r="S28" i="1"/>
  <c r="S29" i="1"/>
  <c r="T31" i="1"/>
  <c r="T32" i="1"/>
  <c r="T33" i="1"/>
  <c r="T35" i="1"/>
  <c r="T42" i="1"/>
  <c r="T48" i="1"/>
  <c r="T49" i="1"/>
  <c r="T50" i="1"/>
  <c r="T52" i="1"/>
  <c r="T54" i="1"/>
  <c r="T55" i="1"/>
  <c r="T56" i="1"/>
  <c r="T57" i="1"/>
  <c r="T58" i="1"/>
  <c r="T59" i="1"/>
  <c r="T60" i="1"/>
  <c r="T63" i="1"/>
  <c r="T64" i="1"/>
  <c r="T65" i="1"/>
  <c r="T66" i="1"/>
  <c r="T28" i="1"/>
  <c r="T29" i="1"/>
  <c r="S30" i="1" l="1"/>
  <c r="T77" i="1"/>
  <c r="Q85" i="1" l="1"/>
  <c r="T85" i="1" l="1"/>
  <c r="S85" i="1"/>
  <c r="S71" i="1" l="1"/>
  <c r="T71" i="1"/>
  <c r="R69" i="1"/>
  <c r="Q69" i="1"/>
  <c r="Q47" i="1"/>
  <c r="T69" i="1" l="1"/>
  <c r="S69" i="1"/>
  <c r="R38" i="1"/>
  <c r="R30" i="1"/>
  <c r="Q46" i="1" l="1"/>
  <c r="S26" i="1" l="1"/>
  <c r="T26" i="1"/>
  <c r="S25" i="1"/>
  <c r="T25" i="1"/>
  <c r="T45" i="1"/>
  <c r="S45" i="1"/>
  <c r="R47" i="1" l="1"/>
  <c r="T53" i="1"/>
  <c r="S53" i="1"/>
  <c r="S62" i="1"/>
  <c r="R36" i="1"/>
  <c r="T37" i="1"/>
  <c r="S37" i="1"/>
  <c r="R24" i="1"/>
  <c r="T27" i="1"/>
  <c r="S27" i="1"/>
  <c r="S24" i="1" s="1"/>
  <c r="R43" i="1"/>
  <c r="T44" i="1"/>
  <c r="S44" i="1"/>
  <c r="R103" i="1"/>
  <c r="R101" i="1"/>
  <c r="R102" i="1"/>
  <c r="T98" i="1"/>
  <c r="T99" i="1"/>
  <c r="T100" i="1"/>
  <c r="T101" i="1" l="1"/>
  <c r="S101" i="1"/>
  <c r="T103" i="1"/>
  <c r="S103" i="1"/>
  <c r="T102" i="1"/>
  <c r="S102" i="1"/>
  <c r="R46" i="1"/>
  <c r="T46" i="1" s="1"/>
  <c r="S47" i="1"/>
  <c r="S46" i="1" s="1"/>
  <c r="T47" i="1"/>
  <c r="R23" i="1"/>
  <c r="D137" i="1"/>
  <c r="K77" i="1" s="1"/>
  <c r="H134" i="1"/>
  <c r="H77" i="1" s="1"/>
  <c r="F134" i="1"/>
  <c r="F77" i="1" s="1"/>
  <c r="E134" i="1"/>
  <c r="D134" i="1"/>
  <c r="F133" i="1"/>
  <c r="M75" i="1"/>
  <c r="O75" i="1" s="1"/>
  <c r="F75" i="1"/>
  <c r="J75" i="1" s="1"/>
  <c r="J74" i="1"/>
  <c r="M71" i="1"/>
  <c r="O71" i="1" s="1"/>
  <c r="H71" i="1"/>
  <c r="F71" i="1"/>
  <c r="F69" i="1" s="1"/>
  <c r="P69" i="1"/>
  <c r="L69" i="1"/>
  <c r="K69" i="1"/>
  <c r="E69" i="1"/>
  <c r="D69" i="1"/>
  <c r="M66" i="1"/>
  <c r="O66" i="1" s="1"/>
  <c r="H66" i="1"/>
  <c r="F66" i="1"/>
  <c r="N65" i="1"/>
  <c r="M65" i="1"/>
  <c r="O65" i="1" s="1"/>
  <c r="H65" i="1"/>
  <c r="F65" i="1"/>
  <c r="N64" i="1"/>
  <c r="M64" i="1"/>
  <c r="O64" i="1" s="1"/>
  <c r="H64" i="1"/>
  <c r="F64" i="1"/>
  <c r="N63" i="1"/>
  <c r="M63" i="1"/>
  <c r="O63" i="1" s="1"/>
  <c r="H63" i="1"/>
  <c r="F63" i="1"/>
  <c r="N62" i="1"/>
  <c r="M62" i="1"/>
  <c r="O62" i="1" s="1"/>
  <c r="H62" i="1"/>
  <c r="F62" i="1"/>
  <c r="N61" i="1"/>
  <c r="M61" i="1"/>
  <c r="O61" i="1" s="1"/>
  <c r="H61" i="1"/>
  <c r="F61" i="1"/>
  <c r="M60" i="1"/>
  <c r="O60" i="1" s="1"/>
  <c r="H60" i="1"/>
  <c r="F60" i="1"/>
  <c r="M56" i="1"/>
  <c r="O56" i="1" s="1"/>
  <c r="H56" i="1"/>
  <c r="F56" i="1"/>
  <c r="M59" i="1"/>
  <c r="O59" i="1" s="1"/>
  <c r="H59" i="1"/>
  <c r="F59" i="1"/>
  <c r="M58" i="1"/>
  <c r="O58" i="1" s="1"/>
  <c r="H58" i="1"/>
  <c r="F58" i="1"/>
  <c r="M57" i="1"/>
  <c r="O57" i="1" s="1"/>
  <c r="H57" i="1"/>
  <c r="F57" i="1"/>
  <c r="M55" i="1"/>
  <c r="O55" i="1" s="1"/>
  <c r="H55" i="1"/>
  <c r="F55" i="1"/>
  <c r="M54" i="1"/>
  <c r="O54" i="1" s="1"/>
  <c r="H54" i="1"/>
  <c r="F54" i="1"/>
  <c r="M53" i="1"/>
  <c r="O53" i="1" s="1"/>
  <c r="H53" i="1"/>
  <c r="F53" i="1"/>
  <c r="M52" i="1"/>
  <c r="O52" i="1" s="1"/>
  <c r="H52" i="1"/>
  <c r="F52" i="1"/>
  <c r="L51" i="1"/>
  <c r="M51" i="1" s="1"/>
  <c r="H51" i="1"/>
  <c r="F51" i="1"/>
  <c r="L50" i="1"/>
  <c r="M50" i="1" s="1"/>
  <c r="P50" i="1" s="1"/>
  <c r="H50" i="1"/>
  <c r="F50" i="1"/>
  <c r="L49" i="1"/>
  <c r="M49" i="1" s="1"/>
  <c r="H49" i="1"/>
  <c r="F49" i="1"/>
  <c r="L48" i="1"/>
  <c r="M48" i="1" s="1"/>
  <c r="P48" i="1" s="1"/>
  <c r="H48" i="1"/>
  <c r="F48" i="1"/>
  <c r="K47" i="1"/>
  <c r="E47" i="1"/>
  <c r="D47" i="1"/>
  <c r="M45" i="1"/>
  <c r="O45" i="1" s="1"/>
  <c r="H45" i="1"/>
  <c r="F45" i="1"/>
  <c r="M44" i="1"/>
  <c r="O44" i="1" s="1"/>
  <c r="H44" i="1"/>
  <c r="F44" i="1"/>
  <c r="Q43" i="1"/>
  <c r="S43" i="1" s="1"/>
  <c r="P43" i="1"/>
  <c r="L43" i="1"/>
  <c r="K43" i="1"/>
  <c r="E43" i="1"/>
  <c r="D43" i="1"/>
  <c r="K42" i="1"/>
  <c r="K38" i="1" s="1"/>
  <c r="H42" i="1"/>
  <c r="F42" i="1"/>
  <c r="M41" i="1"/>
  <c r="O41" i="1" s="1"/>
  <c r="H41" i="1"/>
  <c r="F41" i="1"/>
  <c r="M40" i="1"/>
  <c r="O40" i="1" s="1"/>
  <c r="H40" i="1"/>
  <c r="F40" i="1"/>
  <c r="M39" i="1"/>
  <c r="O39" i="1" s="1"/>
  <c r="H39" i="1"/>
  <c r="F39" i="1"/>
  <c r="Q38" i="1"/>
  <c r="P38" i="1"/>
  <c r="L38" i="1"/>
  <c r="E38" i="1"/>
  <c r="D38" i="1"/>
  <c r="M37" i="1"/>
  <c r="O37" i="1" s="1"/>
  <c r="H37" i="1"/>
  <c r="H36" i="1" s="1"/>
  <c r="F37" i="1"/>
  <c r="F36" i="1" s="1"/>
  <c r="S36" i="1"/>
  <c r="P36" i="1"/>
  <c r="L36" i="1"/>
  <c r="K36" i="1"/>
  <c r="E36" i="1"/>
  <c r="D36" i="1"/>
  <c r="L35" i="1"/>
  <c r="M35" i="1" s="1"/>
  <c r="O35" i="1" s="1"/>
  <c r="H35" i="1"/>
  <c r="F35" i="1"/>
  <c r="L34" i="1"/>
  <c r="M34" i="1" s="1"/>
  <c r="H34" i="1"/>
  <c r="F34" i="1"/>
  <c r="L33" i="1"/>
  <c r="M33" i="1" s="1"/>
  <c r="H33" i="1"/>
  <c r="F33" i="1"/>
  <c r="L32" i="1"/>
  <c r="M32" i="1" s="1"/>
  <c r="H32" i="1"/>
  <c r="F32" i="1"/>
  <c r="L31" i="1"/>
  <c r="H31" i="1"/>
  <c r="F31" i="1"/>
  <c r="Q30" i="1"/>
  <c r="T30" i="1" s="1"/>
  <c r="K30" i="1"/>
  <c r="E30" i="1"/>
  <c r="D30" i="1"/>
  <c r="M29" i="1"/>
  <c r="O29" i="1" s="1"/>
  <c r="H29" i="1"/>
  <c r="F29" i="1"/>
  <c r="M28" i="1"/>
  <c r="O28" i="1" s="1"/>
  <c r="H28" i="1"/>
  <c r="F28" i="1"/>
  <c r="M27" i="1"/>
  <c r="O27" i="1" s="1"/>
  <c r="H27" i="1"/>
  <c r="F27" i="1"/>
  <c r="M26" i="1"/>
  <c r="O26" i="1" s="1"/>
  <c r="H26" i="1"/>
  <c r="F26" i="1"/>
  <c r="M25" i="1"/>
  <c r="O25" i="1" s="1"/>
  <c r="H25" i="1"/>
  <c r="F25" i="1"/>
  <c r="Q24" i="1"/>
  <c r="T24" i="1" s="1"/>
  <c r="P24" i="1"/>
  <c r="L24" i="1"/>
  <c r="K24" i="1"/>
  <c r="I24" i="1"/>
  <c r="I23" i="1" s="1"/>
  <c r="E24" i="1"/>
  <c r="D24" i="1"/>
  <c r="H133" i="1" l="1"/>
  <c r="M38" i="1"/>
  <c r="O38" i="1" s="1"/>
  <c r="T43" i="1"/>
  <c r="T93" i="1"/>
  <c r="S93" i="1"/>
  <c r="T91" i="1"/>
  <c r="S91" i="1"/>
  <c r="T36" i="1"/>
  <c r="T38" i="1"/>
  <c r="S38" i="1"/>
  <c r="S23" i="1" s="1"/>
  <c r="G134" i="1"/>
  <c r="J34" i="1"/>
  <c r="N34" i="1" s="1"/>
  <c r="D46" i="1"/>
  <c r="H38" i="1"/>
  <c r="J50" i="1"/>
  <c r="N50" i="1" s="1"/>
  <c r="J57" i="1"/>
  <c r="N57" i="1" s="1"/>
  <c r="K76" i="1"/>
  <c r="M76" i="1" s="1"/>
  <c r="L30" i="1"/>
  <c r="L23" i="1" s="1"/>
  <c r="F38" i="1"/>
  <c r="E23" i="1"/>
  <c r="E46" i="1"/>
  <c r="J54" i="1"/>
  <c r="N54" i="1" s="1"/>
  <c r="J59" i="1"/>
  <c r="N59" i="1" s="1"/>
  <c r="J77" i="1"/>
  <c r="N77" i="1" s="1"/>
  <c r="F30" i="1"/>
  <c r="J32" i="1"/>
  <c r="N32" i="1" s="1"/>
  <c r="M43" i="1"/>
  <c r="H47" i="1"/>
  <c r="J25" i="1"/>
  <c r="N25" i="1" s="1"/>
  <c r="J26" i="1"/>
  <c r="N26" i="1" s="1"/>
  <c r="J29" i="1"/>
  <c r="N29" i="1" s="1"/>
  <c r="J40" i="1"/>
  <c r="N40" i="1" s="1"/>
  <c r="J45" i="1"/>
  <c r="N45" i="1" s="1"/>
  <c r="J52" i="1"/>
  <c r="N52" i="1" s="1"/>
  <c r="M69" i="1"/>
  <c r="J71" i="1"/>
  <c r="N71" i="1" s="1"/>
  <c r="F24" i="1"/>
  <c r="J42" i="1"/>
  <c r="N42" i="1" s="1"/>
  <c r="J44" i="1"/>
  <c r="N44" i="1" s="1"/>
  <c r="J60" i="1"/>
  <c r="N60" i="1" s="1"/>
  <c r="P49" i="1"/>
  <c r="O49" i="1"/>
  <c r="P51" i="1"/>
  <c r="O51" i="1"/>
  <c r="M77" i="1"/>
  <c r="P77" i="1" s="1"/>
  <c r="K23" i="1"/>
  <c r="O24" i="1"/>
  <c r="J27" i="1"/>
  <c r="N27" i="1" s="1"/>
  <c r="J28" i="1"/>
  <c r="N28" i="1" s="1"/>
  <c r="H30" i="1"/>
  <c r="Q23" i="1"/>
  <c r="J31" i="1"/>
  <c r="N31" i="1" s="1"/>
  <c r="J33" i="1"/>
  <c r="N33" i="1" s="1"/>
  <c r="J35" i="1"/>
  <c r="N35" i="1" s="1"/>
  <c r="D23" i="1"/>
  <c r="M36" i="1"/>
  <c r="O36" i="1" s="1"/>
  <c r="J39" i="1"/>
  <c r="J41" i="1"/>
  <c r="N41" i="1" s="1"/>
  <c r="H43" i="1"/>
  <c r="F43" i="1"/>
  <c r="L47" i="1"/>
  <c r="L46" i="1" s="1"/>
  <c r="O48" i="1"/>
  <c r="J49" i="1"/>
  <c r="N49" i="1" s="1"/>
  <c r="O50" i="1"/>
  <c r="J51" i="1"/>
  <c r="N51" i="1" s="1"/>
  <c r="J53" i="1"/>
  <c r="N53" i="1" s="1"/>
  <c r="J55" i="1"/>
  <c r="N55" i="1" s="1"/>
  <c r="J58" i="1"/>
  <c r="N58" i="1" s="1"/>
  <c r="J56" i="1"/>
  <c r="N56" i="1" s="1"/>
  <c r="J66" i="1"/>
  <c r="N66" i="1" s="1"/>
  <c r="H69" i="1"/>
  <c r="O69" i="1"/>
  <c r="G135" i="1"/>
  <c r="I135" i="1"/>
  <c r="O34" i="1"/>
  <c r="P34" i="1"/>
  <c r="O32" i="1"/>
  <c r="P32" i="1"/>
  <c r="O43" i="1"/>
  <c r="O33" i="1"/>
  <c r="P33" i="1"/>
  <c r="H24" i="1"/>
  <c r="M31" i="1"/>
  <c r="J37" i="1"/>
  <c r="J48" i="1"/>
  <c r="M42" i="1"/>
  <c r="O42" i="1" s="1"/>
  <c r="K46" i="1"/>
  <c r="F47" i="1"/>
  <c r="F46" i="1" s="1"/>
  <c r="I134" i="1"/>
  <c r="M24" i="1"/>
  <c r="T23" i="1" l="1"/>
  <c r="Q73" i="1"/>
  <c r="Q76" i="1" s="1"/>
  <c r="S74" i="1"/>
  <c r="D73" i="1"/>
  <c r="D76" i="1" s="1"/>
  <c r="D133" i="1" s="1"/>
  <c r="D135" i="1"/>
  <c r="P47" i="1"/>
  <c r="P46" i="1" s="1"/>
  <c r="N30" i="1"/>
  <c r="H46" i="1"/>
  <c r="M46" i="1"/>
  <c r="O46" i="1" s="1"/>
  <c r="M47" i="1"/>
  <c r="O47" i="1" s="1"/>
  <c r="E73" i="1"/>
  <c r="E76" i="1" s="1"/>
  <c r="F23" i="1"/>
  <c r="F73" i="1" s="1"/>
  <c r="F76" i="1" s="1"/>
  <c r="L73" i="1"/>
  <c r="N43" i="1"/>
  <c r="O77" i="1"/>
  <c r="H23" i="1"/>
  <c r="J38" i="1"/>
  <c r="N24" i="1"/>
  <c r="N39" i="1"/>
  <c r="N69" i="1"/>
  <c r="J24" i="1"/>
  <c r="J43" i="1"/>
  <c r="J30" i="1"/>
  <c r="J69" i="1"/>
  <c r="O31" i="1"/>
  <c r="O30" i="1" s="1"/>
  <c r="O23" i="1" s="1"/>
  <c r="P31" i="1"/>
  <c r="P30" i="1" s="1"/>
  <c r="P23" i="1" s="1"/>
  <c r="M30" i="1"/>
  <c r="M23" i="1" s="1"/>
  <c r="P76" i="1"/>
  <c r="N48" i="1"/>
  <c r="J47" i="1"/>
  <c r="K73" i="1"/>
  <c r="K74" i="1" s="1"/>
  <c r="M74" i="1" s="1"/>
  <c r="O74" i="1" s="1"/>
  <c r="N37" i="1"/>
  <c r="J36" i="1"/>
  <c r="S73" i="1" l="1"/>
  <c r="Q94" i="1"/>
  <c r="S76" i="1"/>
  <c r="T76" i="1"/>
  <c r="T73" i="1"/>
  <c r="P73" i="1"/>
  <c r="P74" i="1" s="1"/>
  <c r="N23" i="1"/>
  <c r="N73" i="1" s="1"/>
  <c r="O73" i="1"/>
  <c r="M73" i="1"/>
  <c r="H73" i="1"/>
  <c r="H76" i="1" s="1"/>
  <c r="J23" i="1"/>
  <c r="E135" i="1"/>
  <c r="E133" i="1"/>
  <c r="J46" i="1"/>
  <c r="O76" i="1"/>
  <c r="S94" i="1" l="1"/>
  <c r="T94" i="1"/>
  <c r="J73" i="1"/>
  <c r="J76" i="1"/>
</calcChain>
</file>

<file path=xl/sharedStrings.xml><?xml version="1.0" encoding="utf-8"?>
<sst xmlns="http://schemas.openxmlformats.org/spreadsheetml/2006/main" count="238" uniqueCount="142">
  <si>
    <t xml:space="preserve">№ пп </t>
  </si>
  <si>
    <t>приказ №133-ОД от 24.06.2016,        с 01.08.2016г</t>
  </si>
  <si>
    <t>приказ №133-ОД от 24.06.2016,        с 01.08.2017г</t>
  </si>
  <si>
    <t>приказ №133-ОД от 24.06.2016,        с 01.08.2016г (январь-июль)</t>
  </si>
  <si>
    <t>приказ №133-ОД от 24.06.2016,        с 01.08.2017г  (август-декабрь)</t>
  </si>
  <si>
    <t xml:space="preserve">ТС на 2017 год ПЛАН </t>
  </si>
  <si>
    <t xml:space="preserve">Факт за 8 мес.2017 год , </t>
  </si>
  <si>
    <t>Факт прогнозный  на 4 мес</t>
  </si>
  <si>
    <t>ФАКТ за 12 мес.2017г</t>
  </si>
  <si>
    <t>отклонение (гр8-гр11)</t>
  </si>
  <si>
    <t>отклонение , +/-  (гр12-гр8)</t>
  </si>
  <si>
    <t>Корректировка Проект ТС  на 2017год 1</t>
  </si>
  <si>
    <t>I</t>
  </si>
  <si>
    <t xml:space="preserve">тыс.тенге </t>
  </si>
  <si>
    <t>Материальные затраты, всего 
в том числе</t>
  </si>
  <si>
    <t>1.1</t>
  </si>
  <si>
    <t>сырье и материалы</t>
  </si>
  <si>
    <t>1.2</t>
  </si>
  <si>
    <t>ГСМ</t>
  </si>
  <si>
    <t>1.3</t>
  </si>
  <si>
    <t>топливо</t>
  </si>
  <si>
    <t>1.4</t>
  </si>
  <si>
    <t>электроэнергия</t>
  </si>
  <si>
    <t>1.5</t>
  </si>
  <si>
    <t>ремонт автотранспорта (запасные части)</t>
  </si>
  <si>
    <t>2.1</t>
  </si>
  <si>
    <t>2.2</t>
  </si>
  <si>
    <t>социальный налог</t>
  </si>
  <si>
    <t>2.3</t>
  </si>
  <si>
    <t>2.4</t>
  </si>
  <si>
    <t xml:space="preserve">мед.страхование работника </t>
  </si>
  <si>
    <t>Амортизация</t>
  </si>
  <si>
    <t>капитальный ремонт, не приводящий к увеличению стоимости основных средств</t>
  </si>
  <si>
    <t>Прочие затраты, всего 
в том числе</t>
  </si>
  <si>
    <t>дератизационные, дезинфекционные, дезинсекционные работы</t>
  </si>
  <si>
    <t xml:space="preserve">услуги связи </t>
  </si>
  <si>
    <t>охрана труда и техника безопасности</t>
  </si>
  <si>
    <t>Обязательные виды страхования</t>
  </si>
  <si>
    <t xml:space="preserve"> </t>
  </si>
  <si>
    <t>командировочные расходы</t>
  </si>
  <si>
    <t>II</t>
  </si>
  <si>
    <t>заработная плата административного персонала</t>
  </si>
  <si>
    <t>социальные отчисления</t>
  </si>
  <si>
    <t>услуги банка</t>
  </si>
  <si>
    <t>услуги связи</t>
  </si>
  <si>
    <t>налоги на имущество</t>
  </si>
  <si>
    <t xml:space="preserve">плата за эмиссию в окружающую среду </t>
  </si>
  <si>
    <t xml:space="preserve">налог на транспорт </t>
  </si>
  <si>
    <t>налог земельный</t>
  </si>
  <si>
    <t>плата за использование водными ресурсами</t>
  </si>
  <si>
    <t>амортизация</t>
  </si>
  <si>
    <t xml:space="preserve">ГСМ </t>
  </si>
  <si>
    <t xml:space="preserve">запчасти </t>
  </si>
  <si>
    <t xml:space="preserve">текущий ремонт здания АУП, материалы </t>
  </si>
  <si>
    <t xml:space="preserve">прочие услуги </t>
  </si>
  <si>
    <t>III</t>
  </si>
  <si>
    <t>IV</t>
  </si>
  <si>
    <t>V</t>
  </si>
  <si>
    <t>Необоснованно полученный доход (по итогам 2014 года) с учетом ставки рефинансирования в 5,5%</t>
  </si>
  <si>
    <t>VI</t>
  </si>
  <si>
    <t>Всего доходов</t>
  </si>
  <si>
    <t>VII</t>
  </si>
  <si>
    <t>Объем оказываемых услуг</t>
  </si>
  <si>
    <t>тыс/м3</t>
  </si>
  <si>
    <t>отделение "Большой Алматинский канал"</t>
  </si>
  <si>
    <t xml:space="preserve">Шелекское отделение </t>
  </si>
  <si>
    <t>отделение "Куртинское водохранилище"</t>
  </si>
  <si>
    <t xml:space="preserve">отделение "Большой Алматинский канал" </t>
  </si>
  <si>
    <t>тыс.м3</t>
  </si>
  <si>
    <t xml:space="preserve">отделение "Куртинское водохранилище" </t>
  </si>
  <si>
    <t>VIII</t>
  </si>
  <si>
    <t xml:space="preserve">Нормативные потери </t>
  </si>
  <si>
    <t>%</t>
  </si>
  <si>
    <t xml:space="preserve">отделение "Большой Алматинский канал" и Шелекское отделение </t>
  </si>
  <si>
    <t>IX</t>
  </si>
  <si>
    <t xml:space="preserve">Тариф (без НДС) </t>
  </si>
  <si>
    <t>тенге/м3</t>
  </si>
  <si>
    <t>Среднесписочная численность работников, всего</t>
  </si>
  <si>
    <t xml:space="preserve">человек </t>
  </si>
  <si>
    <t>9*1</t>
  </si>
  <si>
    <t xml:space="preserve">производственного персонала </t>
  </si>
  <si>
    <t>9*2</t>
  </si>
  <si>
    <t xml:space="preserve">административного персонала </t>
  </si>
  <si>
    <t>Среднемесячная з/плата всего, в т.ч.</t>
  </si>
  <si>
    <t>10*1</t>
  </si>
  <si>
    <t>10*2</t>
  </si>
  <si>
    <t xml:space="preserve">ТС на 2017 год </t>
  </si>
  <si>
    <t xml:space="preserve">всего доходов </t>
  </si>
  <si>
    <t xml:space="preserve">объем оказанных услуг </t>
  </si>
  <si>
    <t xml:space="preserve">тариф </t>
  </si>
  <si>
    <t xml:space="preserve"> фактч. объем за 2017 год: </t>
  </si>
  <si>
    <t>7 месяцев:</t>
  </si>
  <si>
    <t>5 месяцев:</t>
  </si>
  <si>
    <t>Приложение 1</t>
  </si>
  <si>
    <t xml:space="preserve">к Правилам утверждения </t>
  </si>
  <si>
    <t>предельного уровня тарифов</t>
  </si>
  <si>
    <t>(цен, ставок сборов) и тарифных смет</t>
  </si>
  <si>
    <t>на регулируемые услуги (товары, работы)</t>
  </si>
  <si>
    <t>субъектов естественных монополий</t>
  </si>
  <si>
    <t>Затраты на производство товаров и предоставление услуг, всего в том числе</t>
  </si>
  <si>
    <t xml:space="preserve">канцелярские товары  </t>
  </si>
  <si>
    <t xml:space="preserve">наименование показателей </t>
  </si>
  <si>
    <t>единица измерения</t>
  </si>
  <si>
    <t>Расходы на оплату труда, всего 
в том числе</t>
  </si>
  <si>
    <t>заработная плата производственного  персонала</t>
  </si>
  <si>
    <t>Ремонт, всего,  в том числе</t>
  </si>
  <si>
    <t xml:space="preserve">Другие затраты , всего , в том числе </t>
  </si>
  <si>
    <t xml:space="preserve">Расходы периода, всего, в том числе </t>
  </si>
  <si>
    <t>Общие и административные расходы, всего, в том числе:</t>
  </si>
  <si>
    <t xml:space="preserve">обслуживание оргтехники </t>
  </si>
  <si>
    <t>Другие расходы, всего, в том числе</t>
  </si>
  <si>
    <t xml:space="preserve">услуги СТО </t>
  </si>
  <si>
    <t xml:space="preserve">Всего затрат на предоставления услуг </t>
  </si>
  <si>
    <t>Прибыль/Убыток</t>
  </si>
  <si>
    <t>ОТЧЁТ ОБ ИСПОЛНЕНИИ ТАРИФНОЙ СМЕТЫ</t>
  </si>
  <si>
    <t>на услуги водохозяйственной системы: "Подача воды по каналам"</t>
  </si>
  <si>
    <t>Индекс ИТС-1</t>
  </si>
  <si>
    <t>Периодичность: годовая</t>
  </si>
  <si>
    <t xml:space="preserve">Представляет: филиал Большого Алматинского канала им.Д.Кунаева  РГП "Казводхоз" </t>
  </si>
  <si>
    <t xml:space="preserve">Принято в действующей тарифной смете </t>
  </si>
  <si>
    <t xml:space="preserve">Фактические показатели за предшествующий законченный 2017 год  </t>
  </si>
  <si>
    <t xml:space="preserve">Отклонение </t>
  </si>
  <si>
    <t>тыс.тенге</t>
  </si>
  <si>
    <t>Наименование организации</t>
  </si>
  <si>
    <t>Адрес</t>
  </si>
  <si>
    <t>Телефон</t>
  </si>
  <si>
    <t>Адрес электронной почты</t>
  </si>
  <si>
    <t>Фамилия и телефон исполнителя</t>
  </si>
  <si>
    <t>Дата "____" ___________2018 года</t>
  </si>
  <si>
    <t>М.П.</t>
  </si>
  <si>
    <t xml:space="preserve">Филиал «Большого Алматинского канала им. Д.Кунаева» РГП «Казводхоз» </t>
  </si>
  <si>
    <t>8-727 - 371 80 01</t>
  </si>
  <si>
    <t>rgpbak20061@rambler.ru</t>
  </si>
  <si>
    <t xml:space="preserve">Байсалакова А.К.  8-727-371 80 08 </t>
  </si>
  <si>
    <t xml:space="preserve">Директор филиала </t>
  </si>
  <si>
    <t>С.Кудайбергенов  ___________________</t>
  </si>
  <si>
    <t xml:space="preserve">Алматинская область, г.Талгар , ул.Промышленная, 8 </t>
  </si>
  <si>
    <t>Куда представляется форма: Департамен Комитета по регулированию естественных монополий, защите конкуренции и прав потребителей МНЭ РК</t>
  </si>
  <si>
    <t>Отчётный период: 1 - ое полугодие 2018 года</t>
  </si>
  <si>
    <t xml:space="preserve">охрана труда и техники безопастности </t>
  </si>
  <si>
    <t xml:space="preserve">тех осмотр машин </t>
  </si>
  <si>
    <t xml:space="preserve">прочие затраты (услуги СТО)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</si>
</sst>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#,##0.00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4" fillId="0" borderId="0"/>
  </cellStyleXfs>
  <cellXfs count="90">
    <xf numFmtId="0" fontId="0" fillId="0" borderId="0" xfId="0"/>
    <xf numFmtId="4" fontId="8" fillId="2" borderId="1" xfId="0" applyNumberFormat="1" applyFont="1" applyFill="1" applyBorder="1" applyAlignment="1">
      <alignment horizontal="center" vertical="top"/>
    </xf>
    <xf numFmtId="4" fontId="3" fillId="2" borderId="1" xfId="0" applyNumberFormat="1" applyFont="1" applyFill="1" applyBorder="1" applyAlignment="1">
      <alignment horizontal="center" vertical="top"/>
    </xf>
    <xf numFmtId="4" fontId="6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top"/>
    </xf>
    <xf numFmtId="4" fontId="3" fillId="2" borderId="0" xfId="0" applyNumberFormat="1" applyFont="1" applyFill="1" applyAlignment="1">
      <alignment horizontal="center" vertical="top"/>
    </xf>
    <xf numFmtId="4" fontId="3" fillId="2" borderId="0" xfId="0" applyNumberFormat="1" applyFont="1" applyFill="1" applyAlignment="1">
      <alignment horizontal="center" vertical="center"/>
    </xf>
    <xf numFmtId="165" fontId="3" fillId="2" borderId="0" xfId="0" applyNumberFormat="1" applyFont="1" applyFill="1" applyAlignment="1">
      <alignment horizontal="center" vertical="top"/>
    </xf>
    <xf numFmtId="0" fontId="4" fillId="2" borderId="0" xfId="0" applyFont="1" applyFill="1" applyAlignment="1">
      <alignment horizontal="right"/>
    </xf>
    <xf numFmtId="0" fontId="5" fillId="2" borderId="0" xfId="2" applyFont="1" applyFill="1" applyAlignment="1" applyProtection="1">
      <alignment horizontal="right"/>
    </xf>
    <xf numFmtId="0" fontId="3" fillId="2" borderId="0" xfId="0" applyFont="1" applyFill="1" applyAlignment="1">
      <alignment horizontal="right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4" fontId="6" fillId="2" borderId="0" xfId="0" applyNumberFormat="1" applyFont="1" applyFill="1" applyAlignment="1">
      <alignment horizontal="center" vertical="center"/>
    </xf>
    <xf numFmtId="2" fontId="7" fillId="2" borderId="1" xfId="1" applyNumberFormat="1" applyFont="1" applyFill="1" applyBorder="1" applyAlignment="1">
      <alignment horizontal="center" vertical="center" wrapText="1"/>
    </xf>
    <xf numFmtId="2" fontId="7" fillId="2" borderId="1" xfId="1" applyNumberFormat="1" applyFont="1" applyFill="1" applyBorder="1" applyAlignment="1">
      <alignment horizontal="left" vertical="center" wrapText="1"/>
    </xf>
    <xf numFmtId="165" fontId="6" fillId="2" borderId="1" xfId="0" applyNumberFormat="1" applyFont="1" applyFill="1" applyBorder="1" applyAlignment="1">
      <alignment horizontal="center" vertical="center"/>
    </xf>
    <xf numFmtId="1" fontId="7" fillId="2" borderId="1" xfId="1" applyNumberFormat="1" applyFont="1" applyFill="1" applyBorder="1" applyAlignment="1">
      <alignment horizontal="center" vertical="center" wrapText="1"/>
    </xf>
    <xf numFmtId="2" fontId="8" fillId="2" borderId="1" xfId="1" applyNumberFormat="1" applyFont="1" applyFill="1" applyBorder="1" applyAlignment="1">
      <alignment horizontal="center" vertical="center" wrapText="1"/>
    </xf>
    <xf numFmtId="2" fontId="8" fillId="2" borderId="1" xfId="1" applyNumberFormat="1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164" fontId="8" fillId="2" borderId="1" xfId="1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0" xfId="0" applyNumberFormat="1" applyFont="1" applyFill="1" applyAlignment="1">
      <alignment horizontal="center" vertical="top"/>
    </xf>
    <xf numFmtId="1" fontId="8" fillId="2" borderId="1" xfId="1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top"/>
    </xf>
    <xf numFmtId="2" fontId="11" fillId="2" borderId="1" xfId="1" applyNumberFormat="1" applyFont="1" applyFill="1" applyBorder="1" applyAlignment="1">
      <alignment horizontal="left" vertical="center" wrapText="1"/>
    </xf>
    <xf numFmtId="2" fontId="7" fillId="2" borderId="2" xfId="1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/>
    </xf>
    <xf numFmtId="165" fontId="3" fillId="2" borderId="2" xfId="0" applyNumberFormat="1" applyFont="1" applyFill="1" applyBorder="1" applyAlignment="1">
      <alignment horizontal="center" vertical="center"/>
    </xf>
    <xf numFmtId="2" fontId="11" fillId="2" borderId="1" xfId="1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top"/>
    </xf>
    <xf numFmtId="4" fontId="3" fillId="2" borderId="2" xfId="0" applyNumberFormat="1" applyFont="1" applyFill="1" applyBorder="1" applyAlignment="1">
      <alignment horizontal="center" vertical="top"/>
    </xf>
    <xf numFmtId="2" fontId="8" fillId="2" borderId="2" xfId="1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top"/>
    </xf>
    <xf numFmtId="2" fontId="7" fillId="2" borderId="2" xfId="1" applyNumberFormat="1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top"/>
    </xf>
    <xf numFmtId="2" fontId="11" fillId="2" borderId="2" xfId="1" applyNumberFormat="1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top"/>
    </xf>
    <xf numFmtId="2" fontId="7" fillId="2" borderId="0" xfId="1" applyNumberFormat="1" applyFont="1" applyFill="1" applyBorder="1" applyAlignment="1">
      <alignment horizontal="center" vertical="center" wrapText="1"/>
    </xf>
    <xf numFmtId="2" fontId="11" fillId="2" borderId="0" xfId="1" applyNumberFormat="1" applyFont="1" applyFill="1" applyBorder="1" applyAlignment="1">
      <alignment vertical="center" wrapText="1"/>
    </xf>
    <xf numFmtId="4" fontId="3" fillId="2" borderId="0" xfId="0" applyNumberFormat="1" applyFont="1" applyFill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center" vertical="top"/>
    </xf>
    <xf numFmtId="4" fontId="6" fillId="2" borderId="0" xfId="0" applyNumberFormat="1" applyFont="1" applyFill="1" applyBorder="1" applyAlignment="1">
      <alignment horizontal="center" vertical="top"/>
    </xf>
    <xf numFmtId="2" fontId="11" fillId="2" borderId="0" xfId="1" applyNumberFormat="1" applyFont="1" applyFill="1" applyBorder="1" applyAlignment="1">
      <alignment horizontal="left" vertical="center" wrapText="1"/>
    </xf>
    <xf numFmtId="4" fontId="12" fillId="2" borderId="0" xfId="0" applyNumberFormat="1" applyFont="1" applyFill="1" applyBorder="1" applyAlignment="1">
      <alignment horizontal="center" vertical="center"/>
    </xf>
    <xf numFmtId="4" fontId="12" fillId="2" borderId="0" xfId="0" applyNumberFormat="1" applyFont="1" applyFill="1" applyBorder="1" applyAlignment="1">
      <alignment horizontal="center" vertical="top"/>
    </xf>
    <xf numFmtId="4" fontId="12" fillId="2" borderId="0" xfId="0" applyNumberFormat="1" applyFont="1" applyFill="1" applyBorder="1" applyAlignment="1">
      <alignment horizontal="left" vertical="top"/>
    </xf>
    <xf numFmtId="4" fontId="6" fillId="2" borderId="1" xfId="0" applyNumberFormat="1" applyFont="1" applyFill="1" applyBorder="1" applyAlignment="1">
      <alignment horizontal="center" vertical="top" wrapText="1"/>
    </xf>
    <xf numFmtId="4" fontId="3" fillId="2" borderId="0" xfId="0" applyNumberFormat="1" applyFont="1" applyFill="1" applyBorder="1" applyAlignment="1">
      <alignment horizontal="right" vertical="top"/>
    </xf>
    <xf numFmtId="4" fontId="13" fillId="2" borderId="0" xfId="0" applyNumberFormat="1" applyFont="1" applyFill="1" applyBorder="1" applyAlignment="1">
      <alignment horizontal="right" vertical="top"/>
    </xf>
    <xf numFmtId="4" fontId="12" fillId="2" borderId="0" xfId="0" applyNumberFormat="1" applyFont="1" applyFill="1" applyBorder="1" applyAlignment="1">
      <alignment horizontal="right" vertical="top"/>
    </xf>
    <xf numFmtId="166" fontId="3" fillId="2" borderId="0" xfId="0" applyNumberFormat="1" applyFont="1" applyFill="1" applyAlignment="1">
      <alignment horizontal="center" vertical="center"/>
    </xf>
    <xf numFmtId="0" fontId="6" fillId="0" borderId="0" xfId="0" applyFont="1"/>
    <xf numFmtId="0" fontId="7" fillId="2" borderId="0" xfId="3" applyFont="1" applyFill="1" applyAlignment="1">
      <alignment horizontal="center" vertical="center" wrapText="1"/>
    </xf>
    <xf numFmtId="0" fontId="6" fillId="0" borderId="0" xfId="0" applyFont="1" applyFill="1"/>
    <xf numFmtId="0" fontId="8" fillId="0" borderId="0" xfId="0" applyFont="1"/>
    <xf numFmtId="0" fontId="6" fillId="0" borderId="0" xfId="0" applyFont="1" applyAlignment="1"/>
    <xf numFmtId="0" fontId="8" fillId="2" borderId="0" xfId="3" applyFont="1" applyFill="1"/>
    <xf numFmtId="0" fontId="3" fillId="2" borderId="0" xfId="0" applyFont="1" applyFill="1"/>
    <xf numFmtId="0" fontId="15" fillId="2" borderId="0" xfId="0" applyFont="1" applyFill="1"/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4" fontId="17" fillId="2" borderId="0" xfId="0" applyNumberFormat="1" applyFont="1" applyFill="1"/>
    <xf numFmtId="0" fontId="2" fillId="2" borderId="0" xfId="2" applyFill="1" applyAlignment="1" applyProtection="1"/>
    <xf numFmtId="3" fontId="7" fillId="2" borderId="1" xfId="0" applyNumberFormat="1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wrapText="1"/>
    </xf>
    <xf numFmtId="2" fontId="11" fillId="2" borderId="3" xfId="1" applyNumberFormat="1" applyFont="1" applyFill="1" applyBorder="1" applyAlignment="1">
      <alignment horizontal="left" vertical="center" wrapText="1"/>
    </xf>
    <xf numFmtId="2" fontId="11" fillId="2" borderId="2" xfId="1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165" fontId="6" fillId="2" borderId="4" xfId="0" applyNumberFormat="1" applyFont="1" applyFill="1" applyBorder="1" applyAlignment="1">
      <alignment horizontal="center" vertical="center" wrapText="1"/>
    </xf>
    <xf numFmtId="165" fontId="6" fillId="2" borderId="5" xfId="0" applyNumberFormat="1" applyFont="1" applyFill="1" applyBorder="1" applyAlignment="1">
      <alignment horizontal="center" vertical="center" wrapText="1"/>
    </xf>
    <xf numFmtId="2" fontId="11" fillId="2" borderId="3" xfId="1" applyNumberFormat="1" applyFont="1" applyFill="1" applyBorder="1" applyAlignment="1">
      <alignment vertical="center" wrapText="1"/>
    </xf>
    <xf numFmtId="2" fontId="11" fillId="2" borderId="2" xfId="1" applyNumberFormat="1" applyFont="1" applyFill="1" applyBorder="1" applyAlignment="1">
      <alignment vertical="center" wrapText="1"/>
    </xf>
    <xf numFmtId="4" fontId="6" fillId="2" borderId="0" xfId="0" applyNumberFormat="1" applyFont="1" applyFill="1" applyBorder="1" applyAlignment="1">
      <alignment horizontal="center" vertical="top" wrapText="1"/>
    </xf>
    <xf numFmtId="2" fontId="7" fillId="2" borderId="3" xfId="1" applyNumberFormat="1" applyFont="1" applyFill="1" applyBorder="1" applyAlignment="1">
      <alignment horizontal="center" vertical="center" wrapText="1"/>
    </xf>
    <xf numFmtId="2" fontId="7" fillId="2" borderId="2" xfId="1" applyNumberFormat="1" applyFont="1" applyFill="1" applyBorder="1" applyAlignment="1">
      <alignment horizontal="center" vertical="center" wrapText="1"/>
    </xf>
    <xf numFmtId="2" fontId="7" fillId="2" borderId="1" xfId="1" applyNumberFormat="1" applyFont="1" applyFill="1" applyBorder="1" applyAlignment="1">
      <alignment horizontal="center" vertical="center" wrapText="1"/>
    </xf>
    <xf numFmtId="2" fontId="7" fillId="2" borderId="3" xfId="1" applyNumberFormat="1" applyFont="1" applyFill="1" applyBorder="1" applyAlignment="1">
      <alignment horizontal="left" vertical="center" wrapText="1"/>
    </xf>
    <xf numFmtId="2" fontId="7" fillId="2" borderId="2" xfId="1" applyNumberFormat="1" applyFont="1" applyFill="1" applyBorder="1" applyAlignment="1">
      <alignment horizontal="left" vertical="center" wrapText="1"/>
    </xf>
  </cellXfs>
  <cellStyles count="4">
    <cellStyle name="Гиперссылка" xfId="2" builtinId="8"/>
    <cellStyle name="Обычный" xfId="0" builtinId="0"/>
    <cellStyle name="Обычный 11 6" xfId="3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jl:1039135.100%20" TargetMode="External"/><Relationship Id="rId1" Type="http://schemas.openxmlformats.org/officeDocument/2006/relationships/hyperlink" Target="mailto:rgpbak20061@rambler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1"/>
  <sheetViews>
    <sheetView tabSelected="1" topLeftCell="A67" zoomScale="80" zoomScaleNormal="80" zoomScaleSheetLayoutView="80" workbookViewId="0">
      <selection activeCell="U95" sqref="U95"/>
    </sheetView>
  </sheetViews>
  <sheetFormatPr defaultRowHeight="15.75" x14ac:dyDescent="0.25"/>
  <cols>
    <col min="1" max="1" width="7.140625" style="5" customWidth="1"/>
    <col min="2" max="2" width="39.5703125" style="5" customWidth="1"/>
    <col min="3" max="3" width="12.7109375" style="5" customWidth="1"/>
    <col min="4" max="4" width="10.140625" style="5" hidden="1" customWidth="1"/>
    <col min="5" max="5" width="10.28515625" style="5" hidden="1" customWidth="1"/>
    <col min="6" max="6" width="10.140625" style="5" hidden="1" customWidth="1"/>
    <col min="7" max="7" width="6.42578125" style="5" hidden="1" customWidth="1"/>
    <col min="8" max="8" width="10.28515625" style="5" hidden="1" customWidth="1"/>
    <col min="9" max="9" width="6" style="5" hidden="1" customWidth="1"/>
    <col min="10" max="10" width="11.28515625" style="5" hidden="1" customWidth="1"/>
    <col min="11" max="13" width="10.42578125" style="6" hidden="1" customWidth="1"/>
    <col min="14" max="15" width="10.85546875" style="6" hidden="1" customWidth="1"/>
    <col min="16" max="16" width="11.42578125" style="5" hidden="1" customWidth="1"/>
    <col min="17" max="17" width="18.140625" style="5" customWidth="1"/>
    <col min="18" max="18" width="19.85546875" style="5" customWidth="1"/>
    <col min="19" max="19" width="12.85546875" style="5" customWidth="1"/>
    <col min="20" max="20" width="13" style="7" customWidth="1"/>
    <col min="21" max="21" width="37.42578125" style="5" customWidth="1"/>
    <col min="22" max="16384" width="9.140625" style="5"/>
  </cols>
  <sheetData>
    <row r="1" spans="1:20" x14ac:dyDescent="0.25">
      <c r="T1" s="8" t="s">
        <v>93</v>
      </c>
    </row>
    <row r="2" spans="1:20" x14ac:dyDescent="0.25">
      <c r="T2" s="9" t="s">
        <v>94</v>
      </c>
    </row>
    <row r="3" spans="1:20" x14ac:dyDescent="0.25">
      <c r="T3" s="9" t="s">
        <v>95</v>
      </c>
    </row>
    <row r="4" spans="1:20" x14ac:dyDescent="0.25">
      <c r="T4" s="8" t="s">
        <v>96</v>
      </c>
    </row>
    <row r="5" spans="1:20" x14ac:dyDescent="0.25">
      <c r="T5" s="8" t="s">
        <v>97</v>
      </c>
    </row>
    <row r="6" spans="1:20" x14ac:dyDescent="0.25">
      <c r="T6" s="8" t="s">
        <v>98</v>
      </c>
    </row>
    <row r="7" spans="1:20" x14ac:dyDescent="0.25">
      <c r="T7" s="10"/>
    </row>
    <row r="8" spans="1:20" x14ac:dyDescent="0.25">
      <c r="T8" s="10"/>
    </row>
    <row r="11" spans="1:20" x14ac:dyDescent="0.25">
      <c r="A11" s="58" t="s">
        <v>114</v>
      </c>
      <c r="B11" s="58"/>
      <c r="C11" s="58"/>
      <c r="D11" s="58"/>
      <c r="E11" s="58"/>
      <c r="F11" s="58"/>
      <c r="G11" s="59"/>
      <c r="H11" s="60"/>
      <c r="I11" s="61"/>
      <c r="J11" s="61"/>
    </row>
    <row r="12" spans="1:20" x14ac:dyDescent="0.25">
      <c r="A12" s="58" t="s">
        <v>115</v>
      </c>
      <c r="B12" s="58"/>
      <c r="C12" s="58"/>
      <c r="D12" s="58"/>
      <c r="E12" s="58"/>
      <c r="F12" s="58"/>
      <c r="G12" s="59"/>
      <c r="H12" s="60"/>
      <c r="I12" s="61"/>
      <c r="J12" s="61"/>
    </row>
    <row r="13" spans="1:20" x14ac:dyDescent="0.25">
      <c r="A13" s="58" t="s">
        <v>138</v>
      </c>
      <c r="B13" s="58"/>
      <c r="C13" s="58"/>
      <c r="D13" s="58"/>
      <c r="E13" s="58"/>
      <c r="F13" s="58"/>
      <c r="G13" s="59"/>
      <c r="H13" s="60"/>
      <c r="I13" s="61"/>
      <c r="J13" s="61"/>
    </row>
    <row r="14" spans="1:20" x14ac:dyDescent="0.25">
      <c r="A14" s="62" t="s">
        <v>116</v>
      </c>
      <c r="B14" s="62"/>
      <c r="C14" s="58"/>
      <c r="D14" s="58"/>
      <c r="E14" s="58"/>
      <c r="F14" s="58"/>
      <c r="G14" s="59"/>
      <c r="H14" s="60"/>
      <c r="I14" s="61"/>
      <c r="J14" s="61"/>
    </row>
    <row r="15" spans="1:20" x14ac:dyDescent="0.25">
      <c r="A15" s="58" t="s">
        <v>117</v>
      </c>
      <c r="B15" s="58"/>
      <c r="C15" s="58"/>
      <c r="D15" s="58"/>
      <c r="E15" s="58"/>
      <c r="F15" s="58"/>
      <c r="G15" s="59"/>
      <c r="H15" s="60"/>
      <c r="I15" s="61"/>
      <c r="J15" s="61"/>
    </row>
    <row r="16" spans="1:20" ht="15.75" customHeight="1" x14ac:dyDescent="0.25">
      <c r="A16" s="77" t="s">
        <v>118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</row>
    <row r="17" spans="1:20" ht="31.5" customHeight="1" x14ac:dyDescent="0.2">
      <c r="A17" s="74" t="s">
        <v>137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</row>
    <row r="19" spans="1:20" x14ac:dyDescent="0.25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</row>
    <row r="20" spans="1:20" s="6" customFormat="1" ht="106.5" customHeight="1" x14ac:dyDescent="0.25">
      <c r="A20" s="78" t="s">
        <v>0</v>
      </c>
      <c r="B20" s="78" t="s">
        <v>101</v>
      </c>
      <c r="C20" s="78" t="s">
        <v>102</v>
      </c>
      <c r="D20" s="11" t="s">
        <v>1</v>
      </c>
      <c r="E20" s="11" t="s">
        <v>2</v>
      </c>
      <c r="F20" s="11" t="s">
        <v>3</v>
      </c>
      <c r="G20" s="11"/>
      <c r="H20" s="11" t="s">
        <v>4</v>
      </c>
      <c r="I20" s="11"/>
      <c r="J20" s="11" t="s">
        <v>5</v>
      </c>
      <c r="K20" s="11" t="s">
        <v>6</v>
      </c>
      <c r="L20" s="11" t="s">
        <v>7</v>
      </c>
      <c r="M20" s="11" t="s">
        <v>8</v>
      </c>
      <c r="N20" s="11" t="s">
        <v>9</v>
      </c>
      <c r="O20" s="11" t="s">
        <v>10</v>
      </c>
      <c r="P20" s="11" t="s">
        <v>11</v>
      </c>
      <c r="Q20" s="78" t="s">
        <v>119</v>
      </c>
      <c r="R20" s="78" t="s">
        <v>120</v>
      </c>
      <c r="S20" s="80" t="s">
        <v>121</v>
      </c>
      <c r="T20" s="81"/>
    </row>
    <row r="21" spans="1:20" s="6" customFormat="1" ht="50.25" customHeight="1" x14ac:dyDescent="0.25">
      <c r="A21" s="79"/>
      <c r="B21" s="79"/>
      <c r="C21" s="79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79"/>
      <c r="R21" s="79"/>
      <c r="S21" s="11" t="s">
        <v>122</v>
      </c>
      <c r="T21" s="12" t="s">
        <v>72</v>
      </c>
    </row>
    <row r="22" spans="1:20" s="14" customFormat="1" x14ac:dyDescent="0.25">
      <c r="A22" s="13">
        <v>1</v>
      </c>
      <c r="B22" s="13">
        <v>2</v>
      </c>
      <c r="C22" s="13">
        <v>3</v>
      </c>
      <c r="D22" s="13">
        <v>4</v>
      </c>
      <c r="E22" s="13">
        <v>5</v>
      </c>
      <c r="F22" s="13">
        <v>6</v>
      </c>
      <c r="G22" s="13"/>
      <c r="H22" s="13">
        <v>7</v>
      </c>
      <c r="I22" s="13"/>
      <c r="J22" s="13">
        <v>8</v>
      </c>
      <c r="K22" s="13">
        <v>9</v>
      </c>
      <c r="L22" s="13">
        <v>10</v>
      </c>
      <c r="M22" s="13">
        <v>11</v>
      </c>
      <c r="N22" s="13">
        <v>12</v>
      </c>
      <c r="O22" s="13">
        <v>12</v>
      </c>
      <c r="P22" s="13">
        <v>13</v>
      </c>
      <c r="Q22" s="13">
        <v>4</v>
      </c>
      <c r="R22" s="13">
        <v>5</v>
      </c>
      <c r="S22" s="13">
        <v>6</v>
      </c>
      <c r="T22" s="13">
        <v>7</v>
      </c>
    </row>
    <row r="23" spans="1:20" ht="48.75" customHeight="1" x14ac:dyDescent="0.25">
      <c r="A23" s="15" t="s">
        <v>12</v>
      </c>
      <c r="B23" s="16" t="s">
        <v>99</v>
      </c>
      <c r="C23" s="15" t="s">
        <v>13</v>
      </c>
      <c r="D23" s="3">
        <f>D24+D30+D35+D36+D43+D38</f>
        <v>439827.81000000006</v>
      </c>
      <c r="E23" s="3">
        <f>E24+E30+E35+E36+E43+E38</f>
        <v>457435.72000000009</v>
      </c>
      <c r="F23" s="3">
        <f>F24+F30+F35+F36+F43+F38</f>
        <v>223300.57913700005</v>
      </c>
      <c r="G23" s="3"/>
      <c r="H23" s="3">
        <f>H24+H30+H35+H36+H43+H38</f>
        <v>123461.90082799998</v>
      </c>
      <c r="I23" s="3">
        <f>I24+I30+I35+I36+I43+I38</f>
        <v>-730.1</v>
      </c>
      <c r="J23" s="3">
        <f>J24+J30+J35+J36+J43+J38</f>
        <v>346762.47996500006</v>
      </c>
      <c r="K23" s="3">
        <f>K24+K30+K35+K36+K43+K38</f>
        <v>77859.921000000002</v>
      </c>
      <c r="L23" s="3">
        <f>L24+L30+L35+L36+L43+L38</f>
        <v>31836.626666666667</v>
      </c>
      <c r="M23" s="3">
        <f>M24+M30+M35+M36+M43+M38</f>
        <v>109696.54766666665</v>
      </c>
      <c r="N23" s="3">
        <f>N24+N30+N35+N36+N43+N38</f>
        <v>-272513.71796899999</v>
      </c>
      <c r="O23" s="3">
        <f>O24+O30+O35+O36+O43+O38</f>
        <v>-347739.17233333335</v>
      </c>
      <c r="P23" s="3">
        <f>P24+P30+P35+P36+P43+P38</f>
        <v>352672.21888888895</v>
      </c>
      <c r="Q23" s="3">
        <f>Q24+Q30+Q35+Q36+Q43+Q38</f>
        <v>457435.72000000009</v>
      </c>
      <c r="R23" s="3">
        <f>R24+R30+R35+R36+R43+R38</f>
        <v>51385.881000000001</v>
      </c>
      <c r="S23" s="3">
        <f>S24+S30+S35+S36+S43+S38</f>
        <v>-406049.83899999998</v>
      </c>
      <c r="T23" s="17">
        <f t="shared" ref="T23:T69" si="0">R23/Q23%</f>
        <v>11.233464889886603</v>
      </c>
    </row>
    <row r="24" spans="1:20" ht="31.5" x14ac:dyDescent="0.25">
      <c r="A24" s="18">
        <v>1</v>
      </c>
      <c r="B24" s="16" t="s">
        <v>14</v>
      </c>
      <c r="C24" s="15" t="s">
        <v>13</v>
      </c>
      <c r="D24" s="3">
        <f>SUM(D25:D29)</f>
        <v>17013.510000000002</v>
      </c>
      <c r="E24" s="3">
        <f t="shared" ref="E24:Q24" si="1">SUM(E25:E29)</f>
        <v>18034.330000000002</v>
      </c>
      <c r="F24" s="3">
        <f t="shared" si="1"/>
        <v>8637.7590270000019</v>
      </c>
      <c r="G24" s="3"/>
      <c r="H24" s="3">
        <f t="shared" si="1"/>
        <v>4867.4656669999986</v>
      </c>
      <c r="I24" s="3">
        <f>SUM(I25:I29)</f>
        <v>-365.05</v>
      </c>
      <c r="J24" s="3">
        <f t="shared" si="1"/>
        <v>13505.224693999999</v>
      </c>
      <c r="K24" s="3">
        <f t="shared" si="1"/>
        <v>11768.413</v>
      </c>
      <c r="L24" s="3">
        <f t="shared" si="1"/>
        <v>4130</v>
      </c>
      <c r="M24" s="3">
        <f t="shared" si="1"/>
        <v>15898.412999999999</v>
      </c>
      <c r="N24" s="3">
        <f t="shared" si="1"/>
        <v>-1736.8116939999989</v>
      </c>
      <c r="O24" s="3">
        <f t="shared" si="1"/>
        <v>-2135.9169999999995</v>
      </c>
      <c r="P24" s="3">
        <f t="shared" si="1"/>
        <v>15898.410000000003</v>
      </c>
      <c r="Q24" s="3">
        <f t="shared" si="1"/>
        <v>18034.330000000002</v>
      </c>
      <c r="R24" s="3">
        <f>SUM(R25:R29)</f>
        <v>3361.6330000000003</v>
      </c>
      <c r="S24" s="3">
        <f t="shared" ref="S24" si="2">SUM(S25:S29)</f>
        <v>-14672.696999999998</v>
      </c>
      <c r="T24" s="17">
        <f t="shared" si="0"/>
        <v>18.64018790828381</v>
      </c>
    </row>
    <row r="25" spans="1:20" x14ac:dyDescent="0.25">
      <c r="A25" s="19" t="s">
        <v>15</v>
      </c>
      <c r="B25" s="20" t="s">
        <v>16</v>
      </c>
      <c r="C25" s="19" t="s">
        <v>13</v>
      </c>
      <c r="D25" s="2">
        <v>1896.68</v>
      </c>
      <c r="E25" s="2">
        <v>2010.48</v>
      </c>
      <c r="F25" s="2">
        <f>D25+D25*G25/100</f>
        <v>962.944436</v>
      </c>
      <c r="G25" s="2">
        <v>-49.23</v>
      </c>
      <c r="H25" s="2">
        <f>E25+E25*I25/100</f>
        <v>542.6285519999999</v>
      </c>
      <c r="I25" s="2">
        <v>-73.010000000000005</v>
      </c>
      <c r="J25" s="21">
        <f>H25+F25</f>
        <v>1505.5729879999999</v>
      </c>
      <c r="K25" s="21">
        <v>2230.502</v>
      </c>
      <c r="L25" s="21">
        <v>810</v>
      </c>
      <c r="M25" s="21">
        <f>L25+K25</f>
        <v>3040.502</v>
      </c>
      <c r="N25" s="21">
        <f>K25-J25</f>
        <v>724.92901200000006</v>
      </c>
      <c r="O25" s="21">
        <f>M25-E25</f>
        <v>1030.0219999999999</v>
      </c>
      <c r="P25" s="2">
        <v>3040.5</v>
      </c>
      <c r="Q25" s="21">
        <v>2010.48</v>
      </c>
      <c r="R25" s="26">
        <f>73.25+1103.69</f>
        <v>1176.94</v>
      </c>
      <c r="S25" s="26">
        <f>R25-Q25</f>
        <v>-833.54</v>
      </c>
      <c r="T25" s="22">
        <f t="shared" si="0"/>
        <v>58.540249094743544</v>
      </c>
    </row>
    <row r="26" spans="1:20" x14ac:dyDescent="0.25">
      <c r="A26" s="19" t="s">
        <v>17</v>
      </c>
      <c r="B26" s="20" t="s">
        <v>18</v>
      </c>
      <c r="C26" s="19" t="s">
        <v>13</v>
      </c>
      <c r="D26" s="2">
        <v>10039.68</v>
      </c>
      <c r="E26" s="2">
        <v>10642.06</v>
      </c>
      <c r="F26" s="2">
        <f t="shared" ref="F26:F29" si="3">D26+D26*G26/100</f>
        <v>5097.1455360000009</v>
      </c>
      <c r="G26" s="2">
        <v>-49.23</v>
      </c>
      <c r="H26" s="2">
        <f t="shared" ref="H26:H29" si="4">E26+E26*I26/100</f>
        <v>2872.2919939999983</v>
      </c>
      <c r="I26" s="2">
        <v>-73.010000000000005</v>
      </c>
      <c r="J26" s="21">
        <f t="shared" ref="J26:J29" si="5">H26+F26</f>
        <v>7969.4375299999992</v>
      </c>
      <c r="K26" s="21">
        <v>5093.9690000000001</v>
      </c>
      <c r="L26" s="21">
        <v>1750</v>
      </c>
      <c r="M26" s="21">
        <f t="shared" ref="M26:M77" si="6">L26+K26</f>
        <v>6843.9690000000001</v>
      </c>
      <c r="N26" s="21">
        <f t="shared" ref="N26:N45" si="7">K26-J26</f>
        <v>-2875.4685299999992</v>
      </c>
      <c r="O26" s="21">
        <f t="shared" ref="O26:O29" si="8">M26-E26</f>
        <v>-3798.0909999999994</v>
      </c>
      <c r="P26" s="2">
        <v>6843.97</v>
      </c>
      <c r="Q26" s="2">
        <v>10642.06</v>
      </c>
      <c r="R26" s="1">
        <f>778.75+69.605+8.291</f>
        <v>856.64600000000007</v>
      </c>
      <c r="S26" s="26">
        <f t="shared" ref="S26:S72" si="9">R26-Q26</f>
        <v>-9785.4139999999989</v>
      </c>
      <c r="T26" s="22">
        <f t="shared" si="0"/>
        <v>8.049625730356718</v>
      </c>
    </row>
    <row r="27" spans="1:20" x14ac:dyDescent="0.25">
      <c r="A27" s="19" t="s">
        <v>19</v>
      </c>
      <c r="B27" s="20" t="s">
        <v>20</v>
      </c>
      <c r="C27" s="19" t="s">
        <v>13</v>
      </c>
      <c r="D27" s="2">
        <v>1878.87</v>
      </c>
      <c r="E27" s="2">
        <v>1991.61</v>
      </c>
      <c r="F27" s="2">
        <f t="shared" si="3"/>
        <v>953.90229899999997</v>
      </c>
      <c r="G27" s="2">
        <v>-49.23</v>
      </c>
      <c r="H27" s="2">
        <f t="shared" si="4"/>
        <v>537.53553899999997</v>
      </c>
      <c r="I27" s="2">
        <v>-73.010000000000005</v>
      </c>
      <c r="J27" s="21">
        <f t="shared" si="5"/>
        <v>1491.4378379999998</v>
      </c>
      <c r="K27" s="21">
        <v>468.541</v>
      </c>
      <c r="L27" s="21">
        <v>300</v>
      </c>
      <c r="M27" s="21">
        <f t="shared" si="6"/>
        <v>768.54099999999994</v>
      </c>
      <c r="N27" s="21">
        <f t="shared" si="7"/>
        <v>-1022.8968379999999</v>
      </c>
      <c r="O27" s="21">
        <f t="shared" si="8"/>
        <v>-1223.069</v>
      </c>
      <c r="P27" s="2">
        <v>768.54</v>
      </c>
      <c r="Q27" s="2">
        <v>1991.61</v>
      </c>
      <c r="R27" s="1">
        <v>362.79300000000001</v>
      </c>
      <c r="S27" s="26">
        <f t="shared" si="9"/>
        <v>-1628.817</v>
      </c>
      <c r="T27" s="22">
        <f t="shared" si="0"/>
        <v>18.216066398541884</v>
      </c>
    </row>
    <row r="28" spans="1:20" x14ac:dyDescent="0.25">
      <c r="A28" s="19" t="s">
        <v>21</v>
      </c>
      <c r="B28" s="20" t="s">
        <v>22</v>
      </c>
      <c r="C28" s="19" t="s">
        <v>13</v>
      </c>
      <c r="D28" s="2">
        <v>1198.28</v>
      </c>
      <c r="E28" s="2">
        <v>1270.18</v>
      </c>
      <c r="F28" s="2">
        <f t="shared" si="3"/>
        <v>608.36675600000001</v>
      </c>
      <c r="G28" s="2">
        <v>-49.23</v>
      </c>
      <c r="H28" s="2">
        <f t="shared" si="4"/>
        <v>342.82158199999992</v>
      </c>
      <c r="I28" s="2">
        <v>-73.010000000000005</v>
      </c>
      <c r="J28" s="21">
        <f t="shared" si="5"/>
        <v>951.18833799999993</v>
      </c>
      <c r="K28" s="21">
        <v>2227.0990000000002</v>
      </c>
      <c r="L28" s="21">
        <v>510</v>
      </c>
      <c r="M28" s="21">
        <f t="shared" si="6"/>
        <v>2737.0990000000002</v>
      </c>
      <c r="N28" s="21">
        <f t="shared" si="7"/>
        <v>1275.9106620000002</v>
      </c>
      <c r="O28" s="21">
        <f t="shared" si="8"/>
        <v>1466.9190000000001</v>
      </c>
      <c r="P28" s="2">
        <v>2737.1</v>
      </c>
      <c r="Q28" s="2">
        <v>1270.18</v>
      </c>
      <c r="R28" s="2">
        <v>956.25599999999997</v>
      </c>
      <c r="S28" s="26">
        <f t="shared" si="9"/>
        <v>-313.92400000000009</v>
      </c>
      <c r="T28" s="22">
        <f t="shared" si="0"/>
        <v>75.285077705522042</v>
      </c>
    </row>
    <row r="29" spans="1:20" ht="31.5" x14ac:dyDescent="0.25">
      <c r="A29" s="19" t="s">
        <v>23</v>
      </c>
      <c r="B29" s="20" t="s">
        <v>24</v>
      </c>
      <c r="C29" s="19" t="s">
        <v>13</v>
      </c>
      <c r="D29" s="21">
        <v>2000</v>
      </c>
      <c r="E29" s="21">
        <v>2120</v>
      </c>
      <c r="F29" s="21">
        <f t="shared" si="3"/>
        <v>1015.4</v>
      </c>
      <c r="G29" s="2">
        <v>-49.23</v>
      </c>
      <c r="H29" s="21">
        <f t="shared" si="4"/>
        <v>572.18799999999987</v>
      </c>
      <c r="I29" s="2">
        <v>-73.010000000000005</v>
      </c>
      <c r="J29" s="21">
        <f t="shared" si="5"/>
        <v>1587.5879999999997</v>
      </c>
      <c r="K29" s="21">
        <v>1748.3019999999999</v>
      </c>
      <c r="L29" s="21">
        <v>760</v>
      </c>
      <c r="M29" s="21">
        <f t="shared" si="6"/>
        <v>2508.3019999999997</v>
      </c>
      <c r="N29" s="21">
        <f t="shared" si="7"/>
        <v>160.71400000000017</v>
      </c>
      <c r="O29" s="21">
        <f t="shared" si="8"/>
        <v>388.30199999999968</v>
      </c>
      <c r="P29" s="21">
        <v>2508.3000000000002</v>
      </c>
      <c r="Q29" s="21">
        <v>2120</v>
      </c>
      <c r="R29" s="21">
        <v>8.9979999999999993</v>
      </c>
      <c r="S29" s="26">
        <f t="shared" si="9"/>
        <v>-2111.002</v>
      </c>
      <c r="T29" s="22">
        <f t="shared" si="0"/>
        <v>0.42443396226415092</v>
      </c>
    </row>
    <row r="30" spans="1:20" ht="31.5" x14ac:dyDescent="0.25">
      <c r="A30" s="18">
        <v>2</v>
      </c>
      <c r="B30" s="16" t="s">
        <v>103</v>
      </c>
      <c r="C30" s="15" t="s">
        <v>13</v>
      </c>
      <c r="D30" s="3">
        <f>SUM(D31:D34)</f>
        <v>83204.209999999992</v>
      </c>
      <c r="E30" s="3">
        <f>SUM(E31:E34)</f>
        <v>88196.450000000012</v>
      </c>
      <c r="F30" s="3">
        <f t="shared" ref="F30:Q30" si="10">SUM(F31:F34)</f>
        <v>42242.777417000005</v>
      </c>
      <c r="G30" s="2">
        <v>-49.23</v>
      </c>
      <c r="H30" s="3">
        <f t="shared" si="10"/>
        <v>23804.221854999989</v>
      </c>
      <c r="I30" s="2">
        <v>-73.010000000000005</v>
      </c>
      <c r="J30" s="3">
        <f t="shared" si="10"/>
        <v>66046.999271999986</v>
      </c>
      <c r="K30" s="3">
        <f t="shared" si="10"/>
        <v>47715.41</v>
      </c>
      <c r="L30" s="3">
        <f t="shared" si="10"/>
        <v>21206.84888888889</v>
      </c>
      <c r="M30" s="3">
        <f t="shared" si="10"/>
        <v>68922.258888888886</v>
      </c>
      <c r="N30" s="3">
        <f t="shared" si="10"/>
        <v>-18331.589271999994</v>
      </c>
      <c r="O30" s="3">
        <f t="shared" si="10"/>
        <v>-19274.191111111111</v>
      </c>
      <c r="P30" s="3">
        <f t="shared" si="10"/>
        <v>68922.258888888886</v>
      </c>
      <c r="Q30" s="3">
        <f t="shared" si="10"/>
        <v>88196.450000000012</v>
      </c>
      <c r="R30" s="3">
        <f>SUM(R31:R34)</f>
        <v>25824.27</v>
      </c>
      <c r="S30" s="3">
        <f>SUM(S31:S34)</f>
        <v>-62372.180000000008</v>
      </c>
      <c r="T30" s="17">
        <f t="shared" si="0"/>
        <v>29.280396206423269</v>
      </c>
    </row>
    <row r="31" spans="1:20" ht="31.5" x14ac:dyDescent="0.25">
      <c r="A31" s="19" t="s">
        <v>25</v>
      </c>
      <c r="B31" s="20" t="s">
        <v>104</v>
      </c>
      <c r="C31" s="19" t="s">
        <v>13</v>
      </c>
      <c r="D31" s="2">
        <v>75709.009999999995</v>
      </c>
      <c r="E31" s="2">
        <v>80251.55</v>
      </c>
      <c r="F31" s="2">
        <f t="shared" ref="F31:F34" si="11">D31+D31*G31/100</f>
        <v>38437.464377000004</v>
      </c>
      <c r="G31" s="2">
        <v>-49.23</v>
      </c>
      <c r="H31" s="2">
        <f t="shared" ref="H31:H34" si="12">E31+E31*I31/100</f>
        <v>21659.893344999989</v>
      </c>
      <c r="I31" s="2">
        <v>-73.010000000000005</v>
      </c>
      <c r="J31" s="21">
        <f>H31+F31</f>
        <v>60097.357721999993</v>
      </c>
      <c r="K31" s="21">
        <v>43231.481</v>
      </c>
      <c r="L31" s="21">
        <f>(K31/9)*4</f>
        <v>19213.991555555556</v>
      </c>
      <c r="M31" s="21">
        <f t="shared" si="6"/>
        <v>62445.472555555556</v>
      </c>
      <c r="N31" s="21">
        <f t="shared" si="7"/>
        <v>-16865.876721999994</v>
      </c>
      <c r="O31" s="21">
        <f>M31-E31</f>
        <v>-17806.077444444447</v>
      </c>
      <c r="P31" s="2">
        <f>M31</f>
        <v>62445.472555555556</v>
      </c>
      <c r="Q31" s="21">
        <v>80251.55</v>
      </c>
      <c r="R31" s="21">
        <v>23940.12</v>
      </c>
      <c r="S31" s="26">
        <f t="shared" si="9"/>
        <v>-56311.430000000008</v>
      </c>
      <c r="T31" s="22">
        <f t="shared" si="0"/>
        <v>29.831349051825168</v>
      </c>
    </row>
    <row r="32" spans="1:20" x14ac:dyDescent="0.25">
      <c r="A32" s="19" t="s">
        <v>26</v>
      </c>
      <c r="B32" s="20" t="s">
        <v>27</v>
      </c>
      <c r="C32" s="19" t="s">
        <v>13</v>
      </c>
      <c r="D32" s="2">
        <v>4088.29</v>
      </c>
      <c r="E32" s="2">
        <v>4333.58</v>
      </c>
      <c r="F32" s="2">
        <f t="shared" si="11"/>
        <v>2075.6248329999999</v>
      </c>
      <c r="G32" s="2">
        <v>-49.23</v>
      </c>
      <c r="H32" s="2">
        <f t="shared" si="12"/>
        <v>1169.6332419999999</v>
      </c>
      <c r="I32" s="2">
        <v>-73.010000000000005</v>
      </c>
      <c r="J32" s="21">
        <f t="shared" ref="J32:J34" si="13">H32+F32</f>
        <v>3245.2580749999997</v>
      </c>
      <c r="K32" s="21">
        <v>2470.33</v>
      </c>
      <c r="L32" s="21">
        <f t="shared" ref="L32:L34" si="14">(K32/9)*4</f>
        <v>1097.9244444444444</v>
      </c>
      <c r="M32" s="21">
        <f t="shared" si="6"/>
        <v>3568.2544444444443</v>
      </c>
      <c r="N32" s="21">
        <f t="shared" si="7"/>
        <v>-774.92807499999981</v>
      </c>
      <c r="O32" s="21">
        <f t="shared" ref="O32:O77" si="15">M32-E32</f>
        <v>-765.32555555555564</v>
      </c>
      <c r="P32" s="2">
        <f t="shared" ref="P32:P34" si="16">M32</f>
        <v>3568.2544444444443</v>
      </c>
      <c r="Q32" s="21">
        <v>4333.58</v>
      </c>
      <c r="R32" s="2">
        <v>1053.5899999999999</v>
      </c>
      <c r="S32" s="26">
        <f t="shared" si="9"/>
        <v>-3279.99</v>
      </c>
      <c r="T32" s="22">
        <f t="shared" si="0"/>
        <v>24.312231457593953</v>
      </c>
    </row>
    <row r="33" spans="1:26" x14ac:dyDescent="0.25">
      <c r="A33" s="19" t="s">
        <v>28</v>
      </c>
      <c r="B33" s="20" t="s">
        <v>42</v>
      </c>
      <c r="C33" s="19" t="s">
        <v>13</v>
      </c>
      <c r="D33" s="2">
        <v>3406.91</v>
      </c>
      <c r="E33" s="2">
        <v>3611.32</v>
      </c>
      <c r="F33" s="2">
        <f t="shared" si="11"/>
        <v>1729.6882069999999</v>
      </c>
      <c r="G33" s="2">
        <v>-49.23</v>
      </c>
      <c r="H33" s="2">
        <f t="shared" si="12"/>
        <v>974.69526799999994</v>
      </c>
      <c r="I33" s="2">
        <v>-73.010000000000005</v>
      </c>
      <c r="J33" s="21">
        <f t="shared" si="13"/>
        <v>2704.3834749999996</v>
      </c>
      <c r="K33" s="21">
        <v>1875.3130000000001</v>
      </c>
      <c r="L33" s="21">
        <f t="shared" si="14"/>
        <v>833.47244444444448</v>
      </c>
      <c r="M33" s="21">
        <f t="shared" si="6"/>
        <v>2708.7854444444447</v>
      </c>
      <c r="N33" s="21">
        <f t="shared" si="7"/>
        <v>-829.07047499999953</v>
      </c>
      <c r="O33" s="21">
        <f t="shared" si="15"/>
        <v>-902.53455555555547</v>
      </c>
      <c r="P33" s="2">
        <f t="shared" si="16"/>
        <v>2708.7854444444447</v>
      </c>
      <c r="Q33" s="21">
        <v>3611.32</v>
      </c>
      <c r="R33" s="2">
        <v>561.05999999999995</v>
      </c>
      <c r="S33" s="26">
        <f t="shared" si="9"/>
        <v>-3050.26</v>
      </c>
      <c r="T33" s="22">
        <f t="shared" si="0"/>
        <v>15.53614744747073</v>
      </c>
    </row>
    <row r="34" spans="1:26" x14ac:dyDescent="0.25">
      <c r="A34" s="19" t="s">
        <v>29</v>
      </c>
      <c r="B34" s="20" t="s">
        <v>30</v>
      </c>
      <c r="C34" s="19" t="s">
        <v>13</v>
      </c>
      <c r="D34" s="2"/>
      <c r="E34" s="2"/>
      <c r="F34" s="2">
        <f t="shared" si="11"/>
        <v>0</v>
      </c>
      <c r="G34" s="2">
        <v>-49.23</v>
      </c>
      <c r="H34" s="2">
        <f t="shared" si="12"/>
        <v>0</v>
      </c>
      <c r="I34" s="2">
        <v>-73.010000000000005</v>
      </c>
      <c r="J34" s="21">
        <f t="shared" si="13"/>
        <v>0</v>
      </c>
      <c r="K34" s="21">
        <v>138.286</v>
      </c>
      <c r="L34" s="21">
        <f t="shared" si="14"/>
        <v>61.460444444444448</v>
      </c>
      <c r="M34" s="21">
        <f t="shared" si="6"/>
        <v>199.74644444444445</v>
      </c>
      <c r="N34" s="21">
        <f t="shared" si="7"/>
        <v>138.286</v>
      </c>
      <c r="O34" s="21">
        <f t="shared" si="15"/>
        <v>199.74644444444445</v>
      </c>
      <c r="P34" s="2">
        <f t="shared" si="16"/>
        <v>199.74644444444445</v>
      </c>
      <c r="Q34" s="21"/>
      <c r="R34" s="2">
        <v>269.5</v>
      </c>
      <c r="S34" s="26">
        <f t="shared" si="9"/>
        <v>269.5</v>
      </c>
      <c r="T34" s="22"/>
    </row>
    <row r="35" spans="1:26" x14ac:dyDescent="0.25">
      <c r="A35" s="18">
        <v>3</v>
      </c>
      <c r="B35" s="16" t="s">
        <v>31</v>
      </c>
      <c r="C35" s="15" t="s">
        <v>13</v>
      </c>
      <c r="D35" s="4">
        <v>334474.59000000003</v>
      </c>
      <c r="E35" s="4">
        <v>345761.2</v>
      </c>
      <c r="F35" s="4">
        <f>D35+D35*G35/100</f>
        <v>169812.74934300003</v>
      </c>
      <c r="G35" s="2">
        <v>-49.23</v>
      </c>
      <c r="H35" s="4">
        <f>E35+E35*I35/100</f>
        <v>93320.947879999992</v>
      </c>
      <c r="I35" s="2">
        <v>-73.010000000000005</v>
      </c>
      <c r="J35" s="3">
        <f>H35+F35</f>
        <v>263133.697223</v>
      </c>
      <c r="K35" s="3">
        <v>10889.6</v>
      </c>
      <c r="L35" s="3">
        <f t="shared" ref="L35" si="17">(K35/9)*5</f>
        <v>6049.7777777777774</v>
      </c>
      <c r="M35" s="23">
        <f t="shared" si="6"/>
        <v>16939.37777777778</v>
      </c>
      <c r="N35" s="3">
        <f>K35-J35</f>
        <v>-252244.09722299999</v>
      </c>
      <c r="O35" s="21">
        <f t="shared" si="15"/>
        <v>-328821.82222222222</v>
      </c>
      <c r="P35" s="4">
        <v>263133.86</v>
      </c>
      <c r="Q35" s="3">
        <v>345761.2</v>
      </c>
      <c r="R35" s="3">
        <v>19746.766</v>
      </c>
      <c r="S35" s="40">
        <f t="shared" si="9"/>
        <v>-326014.43400000001</v>
      </c>
      <c r="T35" s="17">
        <f t="shared" si="0"/>
        <v>5.7110994524544685</v>
      </c>
    </row>
    <row r="36" spans="1:26" x14ac:dyDescent="0.25">
      <c r="A36" s="18">
        <v>4</v>
      </c>
      <c r="B36" s="16" t="s">
        <v>105</v>
      </c>
      <c r="C36" s="15" t="s">
        <v>13</v>
      </c>
      <c r="D36" s="3">
        <f t="shared" ref="D36:L36" si="18">SUM(D37)</f>
        <v>1898.96</v>
      </c>
      <c r="E36" s="3">
        <f t="shared" si="18"/>
        <v>2012.9</v>
      </c>
      <c r="F36" s="3">
        <f t="shared" si="18"/>
        <v>964.10199200000011</v>
      </c>
      <c r="G36" s="2">
        <v>-49.23</v>
      </c>
      <c r="H36" s="3">
        <f t="shared" si="18"/>
        <v>543.28170999999975</v>
      </c>
      <c r="I36" s="2">
        <v>-73.010000000000005</v>
      </c>
      <c r="J36" s="3">
        <f>SUM(J37)</f>
        <v>1507.3837019999999</v>
      </c>
      <c r="K36" s="3">
        <f t="shared" si="18"/>
        <v>5231.7110000000002</v>
      </c>
      <c r="L36" s="3">
        <f t="shared" si="18"/>
        <v>0</v>
      </c>
      <c r="M36" s="3">
        <f t="shared" si="6"/>
        <v>5231.7110000000002</v>
      </c>
      <c r="N36" s="3"/>
      <c r="O36" s="3">
        <f t="shared" si="15"/>
        <v>3218.8110000000001</v>
      </c>
      <c r="P36" s="3">
        <f t="shared" ref="P36" si="19">SUM(P37)</f>
        <v>2012.9</v>
      </c>
      <c r="Q36" s="3">
        <f>SUM(Q37)</f>
        <v>2012.9</v>
      </c>
      <c r="R36" s="3">
        <f>SUM(R37)</f>
        <v>0</v>
      </c>
      <c r="S36" s="40">
        <f t="shared" si="9"/>
        <v>-2012.9</v>
      </c>
      <c r="T36" s="17">
        <f t="shared" si="0"/>
        <v>0</v>
      </c>
    </row>
    <row r="37" spans="1:26" ht="47.25" x14ac:dyDescent="0.25">
      <c r="A37" s="24">
        <v>4.0999999999999996</v>
      </c>
      <c r="B37" s="20" t="s">
        <v>32</v>
      </c>
      <c r="C37" s="19" t="s">
        <v>13</v>
      </c>
      <c r="D37" s="21">
        <v>1898.96</v>
      </c>
      <c r="E37" s="21">
        <v>2012.9</v>
      </c>
      <c r="F37" s="21">
        <f>D37+D37*G37/100</f>
        <v>964.10199200000011</v>
      </c>
      <c r="G37" s="2">
        <v>-49.23</v>
      </c>
      <c r="H37" s="21">
        <f>E37+E37*I37/100</f>
        <v>543.28170999999975</v>
      </c>
      <c r="I37" s="2">
        <v>-73.010000000000005</v>
      </c>
      <c r="J37" s="21">
        <f>H37+F37</f>
        <v>1507.3837019999999</v>
      </c>
      <c r="K37" s="21">
        <v>5231.7110000000002</v>
      </c>
      <c r="L37" s="21"/>
      <c r="M37" s="21">
        <f t="shared" si="6"/>
        <v>5231.7110000000002</v>
      </c>
      <c r="N37" s="21">
        <f t="shared" si="7"/>
        <v>3724.3272980000002</v>
      </c>
      <c r="O37" s="21">
        <f>M37-E37</f>
        <v>3218.8110000000001</v>
      </c>
      <c r="P37" s="25">
        <v>2012.9</v>
      </c>
      <c r="Q37" s="26">
        <v>2012.9</v>
      </c>
      <c r="R37" s="21"/>
      <c r="S37" s="26">
        <f t="shared" si="9"/>
        <v>-2012.9</v>
      </c>
      <c r="T37" s="22">
        <f t="shared" si="0"/>
        <v>0</v>
      </c>
    </row>
    <row r="38" spans="1:26" ht="31.5" x14ac:dyDescent="0.25">
      <c r="A38" s="18">
        <v>5</v>
      </c>
      <c r="B38" s="16" t="s">
        <v>33</v>
      </c>
      <c r="C38" s="15" t="s">
        <v>13</v>
      </c>
      <c r="D38" s="3">
        <f>SUM(D39:D42)</f>
        <v>1551.9099999999999</v>
      </c>
      <c r="E38" s="3">
        <f>SUM(E39:E42)</f>
        <v>1645.1299999999999</v>
      </c>
      <c r="F38" s="3">
        <f>SUM(F39:F42)</f>
        <v>787.90470699999992</v>
      </c>
      <c r="G38" s="2">
        <v>-49.23</v>
      </c>
      <c r="H38" s="3">
        <f>SUM(H39:H42)</f>
        <v>444.02058699999992</v>
      </c>
      <c r="I38" s="2">
        <v>-73.010000000000005</v>
      </c>
      <c r="J38" s="3">
        <f>SUM(J39:J42)</f>
        <v>1231.9252939999999</v>
      </c>
      <c r="K38" s="3">
        <f>SUM(K39:K42)</f>
        <v>1118.7569999999998</v>
      </c>
      <c r="L38" s="3">
        <f>SUM(L39:L42)</f>
        <v>170</v>
      </c>
      <c r="M38" s="3">
        <f t="shared" si="6"/>
        <v>1288.7569999999998</v>
      </c>
      <c r="N38" s="3"/>
      <c r="O38" s="3">
        <f t="shared" si="15"/>
        <v>-356.37300000000005</v>
      </c>
      <c r="P38" s="3">
        <f>SUM(P39:P42)</f>
        <v>1288.76</v>
      </c>
      <c r="Q38" s="3">
        <f>SUM(Q39:Q42)</f>
        <v>1645.1299999999999</v>
      </c>
      <c r="R38" s="3">
        <f>SUM(R39:R42)</f>
        <v>537.88499999999999</v>
      </c>
      <c r="S38" s="40">
        <f t="shared" si="9"/>
        <v>-1107.2449999999999</v>
      </c>
      <c r="T38" s="17">
        <f t="shared" si="0"/>
        <v>32.695592445581809</v>
      </c>
    </row>
    <row r="39" spans="1:26" ht="31.5" x14ac:dyDescent="0.25">
      <c r="A39" s="24">
        <v>5.0999999999999996</v>
      </c>
      <c r="B39" s="20" t="s">
        <v>34</v>
      </c>
      <c r="C39" s="19" t="s">
        <v>13</v>
      </c>
      <c r="D39" s="21">
        <v>296</v>
      </c>
      <c r="E39" s="21">
        <v>313.87</v>
      </c>
      <c r="F39" s="21">
        <f>D39+D39*G39/100</f>
        <v>150.2792</v>
      </c>
      <c r="G39" s="2">
        <v>-49.23</v>
      </c>
      <c r="H39" s="21">
        <f t="shared" ref="H39:H42" si="20">E39+E39*I39/100</f>
        <v>84.713512999999978</v>
      </c>
      <c r="I39" s="2">
        <v>-73.010000000000005</v>
      </c>
      <c r="J39" s="21">
        <f>H39+F39</f>
        <v>234.99271299999998</v>
      </c>
      <c r="K39" s="21"/>
      <c r="L39" s="21"/>
      <c r="M39" s="21">
        <f t="shared" si="6"/>
        <v>0</v>
      </c>
      <c r="N39" s="21">
        <f t="shared" si="7"/>
        <v>-234.99271299999998</v>
      </c>
      <c r="O39" s="21">
        <f t="shared" si="15"/>
        <v>-313.87</v>
      </c>
      <c r="P39" s="21">
        <v>0</v>
      </c>
      <c r="Q39" s="21">
        <v>313.87</v>
      </c>
      <c r="R39" s="2"/>
      <c r="S39" s="26">
        <f t="shared" si="9"/>
        <v>-313.87</v>
      </c>
      <c r="T39" s="22"/>
    </row>
    <row r="40" spans="1:26" x14ac:dyDescent="0.25">
      <c r="A40" s="24">
        <v>5.2</v>
      </c>
      <c r="B40" s="20" t="s">
        <v>35</v>
      </c>
      <c r="C40" s="19" t="s">
        <v>13</v>
      </c>
      <c r="D40" s="2"/>
      <c r="E40" s="2"/>
      <c r="F40" s="2">
        <f t="shared" ref="F40:F42" si="21">D40+D40*G40/100</f>
        <v>0</v>
      </c>
      <c r="G40" s="2">
        <v>-49.23</v>
      </c>
      <c r="H40" s="2">
        <f t="shared" si="20"/>
        <v>0</v>
      </c>
      <c r="I40" s="2">
        <v>-73.010000000000005</v>
      </c>
      <c r="J40" s="21">
        <f t="shared" ref="J40:J74" si="22">H40+F40</f>
        <v>0</v>
      </c>
      <c r="K40" s="21">
        <v>115.10899999999999</v>
      </c>
      <c r="L40" s="21">
        <v>70</v>
      </c>
      <c r="M40" s="21">
        <f t="shared" si="6"/>
        <v>185.10899999999998</v>
      </c>
      <c r="N40" s="21">
        <f t="shared" si="7"/>
        <v>115.10899999999999</v>
      </c>
      <c r="O40" s="21">
        <f t="shared" si="15"/>
        <v>185.10899999999998</v>
      </c>
      <c r="P40" s="2">
        <v>185.11</v>
      </c>
      <c r="Q40" s="2"/>
      <c r="R40" s="2">
        <v>27.469000000000001</v>
      </c>
      <c r="S40" s="26">
        <f>R40-Q40</f>
        <v>27.469000000000001</v>
      </c>
      <c r="T40" s="22"/>
    </row>
    <row r="41" spans="1:26" x14ac:dyDescent="0.25">
      <c r="A41" s="24">
        <v>5.3</v>
      </c>
      <c r="B41" s="20" t="s">
        <v>36</v>
      </c>
      <c r="C41" s="19" t="s">
        <v>13</v>
      </c>
      <c r="D41" s="21">
        <v>278</v>
      </c>
      <c r="E41" s="21">
        <v>294.68</v>
      </c>
      <c r="F41" s="21">
        <f t="shared" si="21"/>
        <v>141.14060000000001</v>
      </c>
      <c r="G41" s="2">
        <v>-49.23</v>
      </c>
      <c r="H41" s="21">
        <f t="shared" si="20"/>
        <v>79.534132</v>
      </c>
      <c r="I41" s="2">
        <v>-73.010000000000005</v>
      </c>
      <c r="J41" s="21">
        <f>H41+F41</f>
        <v>220.67473200000001</v>
      </c>
      <c r="K41" s="21"/>
      <c r="L41" s="21">
        <v>100</v>
      </c>
      <c r="M41" s="21">
        <f t="shared" si="6"/>
        <v>100</v>
      </c>
      <c r="N41" s="21">
        <f t="shared" si="7"/>
        <v>-220.67473200000001</v>
      </c>
      <c r="O41" s="21">
        <f t="shared" si="15"/>
        <v>-194.68</v>
      </c>
      <c r="P41" s="21">
        <v>100</v>
      </c>
      <c r="Q41" s="21">
        <v>294.68</v>
      </c>
      <c r="R41" s="2"/>
      <c r="S41" s="26"/>
      <c r="T41" s="22"/>
    </row>
    <row r="42" spans="1:26" x14ac:dyDescent="0.25">
      <c r="A42" s="24">
        <v>5.4</v>
      </c>
      <c r="B42" s="20" t="s">
        <v>37</v>
      </c>
      <c r="C42" s="19" t="s">
        <v>13</v>
      </c>
      <c r="D42" s="21">
        <v>977.91</v>
      </c>
      <c r="E42" s="21">
        <v>1036.58</v>
      </c>
      <c r="F42" s="21">
        <f t="shared" si="21"/>
        <v>496.48490699999996</v>
      </c>
      <c r="G42" s="2">
        <v>-49.23</v>
      </c>
      <c r="H42" s="21">
        <f t="shared" si="20"/>
        <v>279.77294199999994</v>
      </c>
      <c r="I42" s="2">
        <v>-73.010000000000005</v>
      </c>
      <c r="J42" s="21">
        <f>H42+F42</f>
        <v>776.25784899999985</v>
      </c>
      <c r="K42" s="21">
        <f>57.738+945.91</f>
        <v>1003.6479999999999</v>
      </c>
      <c r="L42" s="21"/>
      <c r="M42" s="21">
        <f t="shared" si="6"/>
        <v>1003.6479999999999</v>
      </c>
      <c r="N42" s="21">
        <f t="shared" si="7"/>
        <v>227.39015100000006</v>
      </c>
      <c r="O42" s="21">
        <f t="shared" si="15"/>
        <v>-32.932000000000016</v>
      </c>
      <c r="P42" s="2">
        <v>1003.65</v>
      </c>
      <c r="Q42" s="21">
        <v>1036.58</v>
      </c>
      <c r="R42" s="21">
        <v>510.416</v>
      </c>
      <c r="S42" s="26">
        <f t="shared" si="9"/>
        <v>-526.16399999999999</v>
      </c>
      <c r="T42" s="22">
        <f t="shared" si="0"/>
        <v>49.240386656119163</v>
      </c>
    </row>
    <row r="43" spans="1:26" s="27" customFormat="1" x14ac:dyDescent="0.25">
      <c r="A43" s="18">
        <v>6</v>
      </c>
      <c r="B43" s="16" t="s">
        <v>106</v>
      </c>
      <c r="C43" s="15" t="s">
        <v>13</v>
      </c>
      <c r="D43" s="3">
        <f>SUM(D44:D45)</f>
        <v>1684.63</v>
      </c>
      <c r="E43" s="3">
        <f>SUM(E44:E45)</f>
        <v>1785.71</v>
      </c>
      <c r="F43" s="3">
        <f>SUM(F44:F45)</f>
        <v>855.28665100000012</v>
      </c>
      <c r="G43" s="2">
        <v>-49.23</v>
      </c>
      <c r="H43" s="3">
        <f>SUM(H44:H45)</f>
        <v>481.96312899999992</v>
      </c>
      <c r="I43" s="2">
        <v>-73.010000000000005</v>
      </c>
      <c r="J43" s="3">
        <f>SUM(J44:J45)</f>
        <v>1337.2497800000001</v>
      </c>
      <c r="K43" s="3">
        <f>SUM(K44:K45)</f>
        <v>1136.0300000000002</v>
      </c>
      <c r="L43" s="3">
        <f>SUM(L44:L45)</f>
        <v>280</v>
      </c>
      <c r="M43" s="3">
        <f>SUM(M44:M45)</f>
        <v>1416.0300000000002</v>
      </c>
      <c r="N43" s="3">
        <f>SUM(N44:N45)</f>
        <v>-201.21977999999996</v>
      </c>
      <c r="O43" s="3">
        <f>SUM(O44:O45)</f>
        <v>-369.67999999999995</v>
      </c>
      <c r="P43" s="3">
        <f>SUM(P44:P45)</f>
        <v>1416.03</v>
      </c>
      <c r="Q43" s="3">
        <f>SUM(Q44:Q45)</f>
        <v>1785.71</v>
      </c>
      <c r="R43" s="3">
        <f>SUM(R44:R45)</f>
        <v>1915.327</v>
      </c>
      <c r="S43" s="40">
        <f t="shared" si="9"/>
        <v>129.61699999999996</v>
      </c>
      <c r="T43" s="17">
        <f t="shared" si="0"/>
        <v>107.25856942056662</v>
      </c>
      <c r="Z43" s="27" t="s">
        <v>38</v>
      </c>
    </row>
    <row r="44" spans="1:26" x14ac:dyDescent="0.25">
      <c r="A44" s="24">
        <v>6.1</v>
      </c>
      <c r="B44" s="20" t="s">
        <v>39</v>
      </c>
      <c r="C44" s="19" t="s">
        <v>13</v>
      </c>
      <c r="D44" s="2">
        <v>582.13</v>
      </c>
      <c r="E44" s="2">
        <v>617.05999999999995</v>
      </c>
      <c r="F44" s="2">
        <f t="shared" ref="F44:F45" si="23">D44+D44*G44/100</f>
        <v>295.54740100000004</v>
      </c>
      <c r="G44" s="2">
        <v>-49.23</v>
      </c>
      <c r="H44" s="2">
        <f t="shared" ref="H44:H45" si="24">E44+E44*I44/100</f>
        <v>166.54449399999993</v>
      </c>
      <c r="I44" s="2">
        <v>-73.010000000000005</v>
      </c>
      <c r="J44" s="21">
        <f t="shared" si="22"/>
        <v>462.09189499999997</v>
      </c>
      <c r="K44" s="21">
        <v>575.00800000000004</v>
      </c>
      <c r="L44" s="21">
        <v>200</v>
      </c>
      <c r="M44" s="21">
        <f t="shared" si="6"/>
        <v>775.00800000000004</v>
      </c>
      <c r="N44" s="21">
        <f t="shared" si="7"/>
        <v>112.91610500000007</v>
      </c>
      <c r="O44" s="21">
        <f t="shared" si="15"/>
        <v>157.94800000000009</v>
      </c>
      <c r="P44" s="2">
        <v>775.01</v>
      </c>
      <c r="Q44" s="21">
        <v>617.05999999999995</v>
      </c>
      <c r="R44" s="21">
        <f>685.6+162.307+634.92</f>
        <v>1482.827</v>
      </c>
      <c r="S44" s="26">
        <f t="shared" si="9"/>
        <v>865.76700000000005</v>
      </c>
      <c r="T44" s="22">
        <f t="shared" si="0"/>
        <v>240.30515671085473</v>
      </c>
    </row>
    <row r="45" spans="1:26" x14ac:dyDescent="0.25">
      <c r="A45" s="24">
        <v>6.2</v>
      </c>
      <c r="B45" s="20" t="s">
        <v>141</v>
      </c>
      <c r="C45" s="19" t="s">
        <v>13</v>
      </c>
      <c r="D45" s="21">
        <v>1102.5</v>
      </c>
      <c r="E45" s="21">
        <v>1168.6500000000001</v>
      </c>
      <c r="F45" s="2">
        <f t="shared" si="23"/>
        <v>559.73925000000008</v>
      </c>
      <c r="G45" s="2">
        <v>-49.23</v>
      </c>
      <c r="H45" s="2">
        <f t="shared" si="24"/>
        <v>315.41863499999999</v>
      </c>
      <c r="I45" s="2">
        <v>-73.010000000000005</v>
      </c>
      <c r="J45" s="21">
        <f t="shared" si="22"/>
        <v>875.15788500000008</v>
      </c>
      <c r="K45" s="21">
        <v>561.02200000000005</v>
      </c>
      <c r="L45" s="21">
        <v>80</v>
      </c>
      <c r="M45" s="21">
        <f t="shared" si="6"/>
        <v>641.02200000000005</v>
      </c>
      <c r="N45" s="21">
        <f t="shared" si="7"/>
        <v>-314.13588500000003</v>
      </c>
      <c r="O45" s="21">
        <f t="shared" si="15"/>
        <v>-527.62800000000004</v>
      </c>
      <c r="P45" s="21">
        <v>641.02</v>
      </c>
      <c r="Q45" s="21">
        <v>1168.6500000000001</v>
      </c>
      <c r="R45" s="21">
        <v>432.5</v>
      </c>
      <c r="S45" s="26">
        <f t="shared" si="9"/>
        <v>-736.15000000000009</v>
      </c>
      <c r="T45" s="22">
        <f t="shared" si="0"/>
        <v>37.008514097462886</v>
      </c>
    </row>
    <row r="46" spans="1:26" s="27" customFormat="1" ht="31.5" x14ac:dyDescent="0.25">
      <c r="A46" s="15" t="s">
        <v>40</v>
      </c>
      <c r="B46" s="16" t="s">
        <v>107</v>
      </c>
      <c r="C46" s="15" t="s">
        <v>13</v>
      </c>
      <c r="D46" s="3">
        <f>D47+D69</f>
        <v>25128.69</v>
      </c>
      <c r="E46" s="3">
        <f>E47+E69</f>
        <v>26636.42</v>
      </c>
      <c r="F46" s="3">
        <f>F47+F69</f>
        <v>12757.835913000003</v>
      </c>
      <c r="G46" s="2">
        <v>-49.23</v>
      </c>
      <c r="H46" s="3">
        <f>H47+H69</f>
        <v>7189.1697579999991</v>
      </c>
      <c r="I46" s="2">
        <v>-73.010000000000005</v>
      </c>
      <c r="J46" s="3">
        <f>J47+J69</f>
        <v>19947.005670999999</v>
      </c>
      <c r="K46" s="3">
        <f>K47+K69</f>
        <v>33970.248</v>
      </c>
      <c r="L46" s="3">
        <f>L47+L69</f>
        <v>11013.295555555556</v>
      </c>
      <c r="M46" s="3">
        <f t="shared" si="6"/>
        <v>44983.54355555556</v>
      </c>
      <c r="N46" s="3"/>
      <c r="O46" s="3">
        <f t="shared" si="15"/>
        <v>18347.123555555561</v>
      </c>
      <c r="P46" s="3">
        <f>P47+P69</f>
        <v>44983.550555555565</v>
      </c>
      <c r="Q46" s="3">
        <f>Q47+Q69</f>
        <v>26676.489999999998</v>
      </c>
      <c r="R46" s="3">
        <f>R47+R69</f>
        <v>17649.715999999997</v>
      </c>
      <c r="S46" s="3">
        <f>S47+S69</f>
        <v>-9026.7740000000031</v>
      </c>
      <c r="T46" s="17">
        <f t="shared" si="0"/>
        <v>66.162062550208063</v>
      </c>
    </row>
    <row r="47" spans="1:26" ht="31.5" x14ac:dyDescent="0.25">
      <c r="A47" s="28">
        <v>7</v>
      </c>
      <c r="B47" s="20" t="s">
        <v>108</v>
      </c>
      <c r="C47" s="19" t="s">
        <v>13</v>
      </c>
      <c r="D47" s="21">
        <f>SUM(D48:D66)</f>
        <v>24428.16</v>
      </c>
      <c r="E47" s="21">
        <f>SUM(E48:E66)</f>
        <v>25893.85</v>
      </c>
      <c r="F47" s="21">
        <f>SUM(F48:F66)</f>
        <v>12402.176832000003</v>
      </c>
      <c r="G47" s="2">
        <v>-49.23</v>
      </c>
      <c r="H47" s="21">
        <f>SUM(H48:H66)</f>
        <v>6988.7501149999989</v>
      </c>
      <c r="I47" s="2">
        <v>-73.010000000000005</v>
      </c>
      <c r="J47" s="21">
        <f>SUM(J48:J66)</f>
        <v>19390.926947</v>
      </c>
      <c r="K47" s="21">
        <f>SUM(K48:K66)</f>
        <v>33181.449999999997</v>
      </c>
      <c r="L47" s="21">
        <f>SUM(L48:L66)</f>
        <v>11013.295555555556</v>
      </c>
      <c r="M47" s="21">
        <f t="shared" si="6"/>
        <v>44194.74555555555</v>
      </c>
      <c r="N47" s="21"/>
      <c r="O47" s="21">
        <f t="shared" si="15"/>
        <v>18300.895555555551</v>
      </c>
      <c r="P47" s="21">
        <f>SUM(P48:P66)</f>
        <v>44194.750555555562</v>
      </c>
      <c r="Q47" s="21">
        <f>SUM(Q48:Q68)</f>
        <v>25893.85</v>
      </c>
      <c r="R47" s="21">
        <f>SUM(R48:R68)</f>
        <v>17116.066999999995</v>
      </c>
      <c r="S47" s="26">
        <f t="shared" si="9"/>
        <v>-8777.7830000000031</v>
      </c>
      <c r="T47" s="22">
        <f t="shared" si="0"/>
        <v>66.100896544932468</v>
      </c>
    </row>
    <row r="48" spans="1:26" ht="48.75" customHeight="1" x14ac:dyDescent="0.25">
      <c r="A48" s="24">
        <v>7.1</v>
      </c>
      <c r="B48" s="20" t="s">
        <v>41</v>
      </c>
      <c r="C48" s="19" t="s">
        <v>13</v>
      </c>
      <c r="D48" s="21">
        <v>14264.02</v>
      </c>
      <c r="E48" s="21">
        <v>15119.86</v>
      </c>
      <c r="F48" s="21">
        <f t="shared" ref="F48:F66" si="25">D48+D48*G48/100</f>
        <v>7241.8429540000006</v>
      </c>
      <c r="G48" s="2">
        <v>-49.23</v>
      </c>
      <c r="H48" s="21">
        <f>E48+E48*I48/100</f>
        <v>4080.8502140000001</v>
      </c>
      <c r="I48" s="2">
        <v>-73.010000000000005</v>
      </c>
      <c r="J48" s="21">
        <f>H48+F48</f>
        <v>11322.693168000002</v>
      </c>
      <c r="K48" s="21">
        <v>19409.72</v>
      </c>
      <c r="L48" s="21">
        <f>(K48/9)*4</f>
        <v>8626.5422222222223</v>
      </c>
      <c r="M48" s="21">
        <f t="shared" si="6"/>
        <v>28036.262222222223</v>
      </c>
      <c r="N48" s="21">
        <f t="shared" ref="N48:N66" si="26">K48-J48</f>
        <v>8087.0268319999996</v>
      </c>
      <c r="O48" s="21">
        <f t="shared" si="15"/>
        <v>12916.402222222223</v>
      </c>
      <c r="P48" s="21">
        <f>M48</f>
        <v>28036.262222222223</v>
      </c>
      <c r="Q48" s="21">
        <v>15119.86</v>
      </c>
      <c r="R48" s="21">
        <v>9514.5669999999991</v>
      </c>
      <c r="S48" s="26">
        <f t="shared" si="9"/>
        <v>-5605.2930000000015</v>
      </c>
      <c r="T48" s="22">
        <f t="shared" si="0"/>
        <v>62.927613086364552</v>
      </c>
    </row>
    <row r="49" spans="1:20" x14ac:dyDescent="0.25">
      <c r="A49" s="24">
        <v>7.2</v>
      </c>
      <c r="B49" s="20" t="s">
        <v>27</v>
      </c>
      <c r="C49" s="19" t="s">
        <v>13</v>
      </c>
      <c r="D49" s="2">
        <v>770.26</v>
      </c>
      <c r="E49" s="2">
        <v>816.47</v>
      </c>
      <c r="F49" s="2">
        <f t="shared" si="25"/>
        <v>391.06100199999997</v>
      </c>
      <c r="G49" s="2">
        <v>-49.23</v>
      </c>
      <c r="H49" s="2">
        <f t="shared" ref="H49:H66" si="27">E49+E49*I49/100</f>
        <v>220.36525299999994</v>
      </c>
      <c r="I49" s="2">
        <v>-73.010000000000005</v>
      </c>
      <c r="J49" s="21">
        <f>H49+F49</f>
        <v>611.42625499999986</v>
      </c>
      <c r="K49" s="21">
        <v>1124.6179999999999</v>
      </c>
      <c r="L49" s="21">
        <f t="shared" ref="L49:L51" si="28">(K49/9)*4</f>
        <v>499.83022222222218</v>
      </c>
      <c r="M49" s="21">
        <f t="shared" si="6"/>
        <v>1624.4482222222221</v>
      </c>
      <c r="N49" s="21">
        <f t="shared" si="26"/>
        <v>513.19174500000008</v>
      </c>
      <c r="O49" s="21">
        <f t="shared" si="15"/>
        <v>807.97822222222203</v>
      </c>
      <c r="P49" s="21">
        <f t="shared" ref="P49:P51" si="29">M49</f>
        <v>1624.4482222222221</v>
      </c>
      <c r="Q49" s="21">
        <v>816.47</v>
      </c>
      <c r="R49" s="2">
        <v>561.68499999999995</v>
      </c>
      <c r="S49" s="26">
        <f t="shared" si="9"/>
        <v>-254.78500000000008</v>
      </c>
      <c r="T49" s="22">
        <f t="shared" si="0"/>
        <v>68.794321897926437</v>
      </c>
    </row>
    <row r="50" spans="1:20" x14ac:dyDescent="0.25">
      <c r="A50" s="24">
        <v>7.3</v>
      </c>
      <c r="B50" s="20" t="s">
        <v>42</v>
      </c>
      <c r="C50" s="19" t="s">
        <v>13</v>
      </c>
      <c r="D50" s="2">
        <v>641.88</v>
      </c>
      <c r="E50" s="2">
        <v>680.39</v>
      </c>
      <c r="F50" s="2">
        <f t="shared" si="25"/>
        <v>325.882476</v>
      </c>
      <c r="G50" s="2">
        <v>-49.23</v>
      </c>
      <c r="H50" s="2">
        <f t="shared" si="27"/>
        <v>183.63726099999997</v>
      </c>
      <c r="I50" s="2">
        <v>-73.010000000000005</v>
      </c>
      <c r="J50" s="21">
        <f t="shared" ref="J50:J59" si="30">H50+F50</f>
        <v>509.51973699999996</v>
      </c>
      <c r="K50" s="21">
        <v>813.23099999999999</v>
      </c>
      <c r="L50" s="21">
        <f t="shared" si="28"/>
        <v>361.43599999999998</v>
      </c>
      <c r="M50" s="21">
        <f t="shared" si="6"/>
        <v>1174.6669999999999</v>
      </c>
      <c r="N50" s="21">
        <f t="shared" si="26"/>
        <v>303.71126300000003</v>
      </c>
      <c r="O50" s="21">
        <f t="shared" si="15"/>
        <v>494.27699999999993</v>
      </c>
      <c r="P50" s="21">
        <f t="shared" si="29"/>
        <v>1174.6669999999999</v>
      </c>
      <c r="Q50" s="21">
        <v>680.39</v>
      </c>
      <c r="R50" s="2">
        <v>282.68700000000001</v>
      </c>
      <c r="S50" s="26">
        <f t="shared" si="9"/>
        <v>-397.70299999999997</v>
      </c>
      <c r="T50" s="22">
        <f t="shared" si="0"/>
        <v>41.547788768206473</v>
      </c>
    </row>
    <row r="51" spans="1:20" x14ac:dyDescent="0.25">
      <c r="A51" s="24">
        <v>7.4</v>
      </c>
      <c r="B51" s="20" t="s">
        <v>30</v>
      </c>
      <c r="C51" s="19" t="s">
        <v>13</v>
      </c>
      <c r="D51" s="2"/>
      <c r="E51" s="2"/>
      <c r="F51" s="2">
        <f t="shared" si="25"/>
        <v>0</v>
      </c>
      <c r="G51" s="2">
        <v>-49.23</v>
      </c>
      <c r="H51" s="2">
        <f t="shared" si="27"/>
        <v>0</v>
      </c>
      <c r="I51" s="2">
        <v>-73.010000000000005</v>
      </c>
      <c r="J51" s="21">
        <f t="shared" si="30"/>
        <v>0</v>
      </c>
      <c r="K51" s="21">
        <v>57.345999999999997</v>
      </c>
      <c r="L51" s="21">
        <f t="shared" si="28"/>
        <v>25.487111111111108</v>
      </c>
      <c r="M51" s="21">
        <f t="shared" si="6"/>
        <v>82.833111111111108</v>
      </c>
      <c r="N51" s="21">
        <f t="shared" si="26"/>
        <v>57.345999999999997</v>
      </c>
      <c r="O51" s="21">
        <f t="shared" si="15"/>
        <v>82.833111111111108</v>
      </c>
      <c r="P51" s="21">
        <f t="shared" si="29"/>
        <v>82.833111111111108</v>
      </c>
      <c r="Q51" s="21"/>
      <c r="R51" s="2">
        <v>120.20399999999999</v>
      </c>
      <c r="S51" s="26">
        <f t="shared" si="9"/>
        <v>120.20399999999999</v>
      </c>
      <c r="T51" s="22"/>
    </row>
    <row r="52" spans="1:20" x14ac:dyDescent="0.25">
      <c r="A52" s="24">
        <v>7.5</v>
      </c>
      <c r="B52" s="20" t="s">
        <v>43</v>
      </c>
      <c r="C52" s="19" t="s">
        <v>13</v>
      </c>
      <c r="D52" s="2">
        <v>183.5</v>
      </c>
      <c r="E52" s="2">
        <v>194.51</v>
      </c>
      <c r="F52" s="2">
        <f t="shared" si="25"/>
        <v>93.162949999999995</v>
      </c>
      <c r="G52" s="2">
        <v>-49.23</v>
      </c>
      <c r="H52" s="2">
        <f t="shared" si="27"/>
        <v>52.498248999999987</v>
      </c>
      <c r="I52" s="2">
        <v>-73.010000000000005</v>
      </c>
      <c r="J52" s="21">
        <f t="shared" si="30"/>
        <v>145.66119899999998</v>
      </c>
      <c r="K52" s="21">
        <v>413.12799999999999</v>
      </c>
      <c r="L52" s="21">
        <v>120</v>
      </c>
      <c r="M52" s="21">
        <f t="shared" si="6"/>
        <v>533.12799999999993</v>
      </c>
      <c r="N52" s="21">
        <f t="shared" si="26"/>
        <v>267.46680100000003</v>
      </c>
      <c r="O52" s="21">
        <f t="shared" si="15"/>
        <v>338.61799999999994</v>
      </c>
      <c r="P52" s="2">
        <v>533.13</v>
      </c>
      <c r="Q52" s="2">
        <v>194.51</v>
      </c>
      <c r="R52" s="21">
        <v>309.245</v>
      </c>
      <c r="S52" s="26">
        <f t="shared" si="9"/>
        <v>114.73500000000001</v>
      </c>
      <c r="T52" s="22">
        <f t="shared" si="0"/>
        <v>158.98668448922936</v>
      </c>
    </row>
    <row r="53" spans="1:20" x14ac:dyDescent="0.25">
      <c r="A53" s="24">
        <v>7.6</v>
      </c>
      <c r="B53" s="20" t="s">
        <v>39</v>
      </c>
      <c r="C53" s="19" t="s">
        <v>13</v>
      </c>
      <c r="D53" s="2">
        <v>611.03</v>
      </c>
      <c r="E53" s="2">
        <v>647.69000000000005</v>
      </c>
      <c r="F53" s="2">
        <f t="shared" si="25"/>
        <v>310.21993100000003</v>
      </c>
      <c r="G53" s="2">
        <v>-49.23</v>
      </c>
      <c r="H53" s="2">
        <f t="shared" si="27"/>
        <v>174.811531</v>
      </c>
      <c r="I53" s="2">
        <v>-73.010000000000005</v>
      </c>
      <c r="J53" s="21">
        <f t="shared" si="30"/>
        <v>485.03146200000003</v>
      </c>
      <c r="K53" s="21">
        <v>3090.1550000000002</v>
      </c>
      <c r="L53" s="21">
        <v>810</v>
      </c>
      <c r="M53" s="21">
        <f t="shared" si="6"/>
        <v>3900.1550000000002</v>
      </c>
      <c r="N53" s="21">
        <f t="shared" si="26"/>
        <v>2605.1235380000003</v>
      </c>
      <c r="O53" s="21">
        <f t="shared" si="15"/>
        <v>3252.4650000000001</v>
      </c>
      <c r="P53" s="2">
        <v>3900.16</v>
      </c>
      <c r="Q53" s="21">
        <v>647.69000000000005</v>
      </c>
      <c r="R53" s="21">
        <f>356.21</f>
        <v>356.21</v>
      </c>
      <c r="S53" s="26">
        <f t="shared" si="9"/>
        <v>-291.48000000000008</v>
      </c>
      <c r="T53" s="22">
        <f t="shared" si="0"/>
        <v>54.99698930043693</v>
      </c>
    </row>
    <row r="54" spans="1:20" x14ac:dyDescent="0.25">
      <c r="A54" s="24">
        <v>7.7</v>
      </c>
      <c r="B54" s="20" t="s">
        <v>44</v>
      </c>
      <c r="C54" s="19" t="s">
        <v>13</v>
      </c>
      <c r="D54" s="2">
        <v>652.57000000000005</v>
      </c>
      <c r="E54" s="2">
        <v>691.72</v>
      </c>
      <c r="F54" s="2">
        <f t="shared" si="25"/>
        <v>331.30978900000002</v>
      </c>
      <c r="G54" s="2">
        <v>-49.23</v>
      </c>
      <c r="H54" s="2">
        <f t="shared" si="27"/>
        <v>186.69522799999993</v>
      </c>
      <c r="I54" s="2">
        <v>-73.010000000000005</v>
      </c>
      <c r="J54" s="21">
        <f t="shared" si="30"/>
        <v>518.00501699999995</v>
      </c>
      <c r="K54" s="21">
        <v>843.75</v>
      </c>
      <c r="L54" s="21">
        <v>200</v>
      </c>
      <c r="M54" s="21">
        <f t="shared" si="6"/>
        <v>1043.75</v>
      </c>
      <c r="N54" s="21">
        <f t="shared" si="26"/>
        <v>325.74498300000005</v>
      </c>
      <c r="O54" s="21">
        <f t="shared" si="15"/>
        <v>352.03</v>
      </c>
      <c r="P54" s="2">
        <v>1043.75</v>
      </c>
      <c r="Q54" s="2">
        <v>691.72</v>
      </c>
      <c r="R54" s="2">
        <v>328.8</v>
      </c>
      <c r="S54" s="26">
        <f t="shared" si="9"/>
        <v>-362.92</v>
      </c>
      <c r="T54" s="22">
        <f t="shared" si="0"/>
        <v>47.533684149655933</v>
      </c>
    </row>
    <row r="55" spans="1:20" x14ac:dyDescent="0.25">
      <c r="A55" s="24">
        <v>7.8</v>
      </c>
      <c r="B55" s="20" t="s">
        <v>100</v>
      </c>
      <c r="C55" s="19" t="s">
        <v>13</v>
      </c>
      <c r="D55" s="21">
        <v>301.14</v>
      </c>
      <c r="E55" s="21">
        <v>319.20999999999998</v>
      </c>
      <c r="F55" s="21">
        <f t="shared" si="25"/>
        <v>152.888778</v>
      </c>
      <c r="G55" s="2">
        <v>-49.23</v>
      </c>
      <c r="H55" s="21">
        <f t="shared" si="27"/>
        <v>86.154778999999962</v>
      </c>
      <c r="I55" s="2">
        <v>-73.010000000000005</v>
      </c>
      <c r="J55" s="21">
        <f t="shared" si="30"/>
        <v>239.04355699999996</v>
      </c>
      <c r="K55" s="21">
        <v>671.66399999999999</v>
      </c>
      <c r="L55" s="21">
        <v>100</v>
      </c>
      <c r="M55" s="21">
        <f t="shared" si="6"/>
        <v>771.66399999999999</v>
      </c>
      <c r="N55" s="21">
        <f t="shared" si="26"/>
        <v>432.62044300000002</v>
      </c>
      <c r="O55" s="21">
        <f t="shared" si="15"/>
        <v>452.45400000000001</v>
      </c>
      <c r="P55" s="2">
        <v>771.66</v>
      </c>
      <c r="Q55" s="21">
        <v>319.20999999999998</v>
      </c>
      <c r="R55" s="2">
        <v>479.44799999999998</v>
      </c>
      <c r="S55" s="26">
        <f t="shared" si="9"/>
        <v>160.238</v>
      </c>
      <c r="T55" s="22">
        <f t="shared" si="0"/>
        <v>150.1983020582062</v>
      </c>
    </row>
    <row r="56" spans="1:20" x14ac:dyDescent="0.25">
      <c r="A56" s="24">
        <v>7.9</v>
      </c>
      <c r="B56" s="20" t="s">
        <v>48</v>
      </c>
      <c r="C56" s="19" t="s">
        <v>13</v>
      </c>
      <c r="D56" s="2">
        <v>23.5</v>
      </c>
      <c r="E56" s="2">
        <v>24.91</v>
      </c>
      <c r="F56" s="2">
        <f>D56+D56*G56/100</f>
        <v>11.930950000000001</v>
      </c>
      <c r="G56" s="2">
        <v>-49.23</v>
      </c>
      <c r="H56" s="2">
        <f>E56+E56*I56/100</f>
        <v>6.7232090000000007</v>
      </c>
      <c r="I56" s="2">
        <v>-73.010000000000005</v>
      </c>
      <c r="J56" s="21">
        <f>H56+F56</f>
        <v>18.654159</v>
      </c>
      <c r="K56" s="21">
        <v>272.85899999999998</v>
      </c>
      <c r="L56" s="21"/>
      <c r="M56" s="21">
        <f>L56+K56</f>
        <v>272.85899999999998</v>
      </c>
      <c r="N56" s="21">
        <f>K56-J56</f>
        <v>254.20484099999999</v>
      </c>
      <c r="O56" s="21">
        <f>M56-E56</f>
        <v>247.94899999999998</v>
      </c>
      <c r="P56" s="2">
        <v>272.86</v>
      </c>
      <c r="Q56" s="21">
        <v>24.91</v>
      </c>
      <c r="R56" s="21">
        <v>559.56100000000004</v>
      </c>
      <c r="S56" s="26">
        <f t="shared" si="9"/>
        <v>534.65100000000007</v>
      </c>
      <c r="T56" s="22">
        <f t="shared" si="0"/>
        <v>2246.3307908470497</v>
      </c>
    </row>
    <row r="57" spans="1:20" ht="18.75" customHeight="1" x14ac:dyDescent="0.25">
      <c r="A57" s="24">
        <v>8.0000000000000107</v>
      </c>
      <c r="B57" s="20" t="s">
        <v>45</v>
      </c>
      <c r="C57" s="19" t="s">
        <v>13</v>
      </c>
      <c r="D57" s="2">
        <v>1832.5</v>
      </c>
      <c r="E57" s="2">
        <v>1942.45</v>
      </c>
      <c r="F57" s="2">
        <f t="shared" si="25"/>
        <v>930.36025000000006</v>
      </c>
      <c r="G57" s="2">
        <v>-49.23</v>
      </c>
      <c r="H57" s="2">
        <f t="shared" si="27"/>
        <v>524.26725499999998</v>
      </c>
      <c r="I57" s="2">
        <v>-73.010000000000005</v>
      </c>
      <c r="J57" s="21">
        <f t="shared" si="30"/>
        <v>1454.6275049999999</v>
      </c>
      <c r="K57" s="21">
        <v>1967.37</v>
      </c>
      <c r="L57" s="21"/>
      <c r="M57" s="21">
        <f t="shared" si="6"/>
        <v>1967.37</v>
      </c>
      <c r="N57" s="21">
        <f t="shared" si="26"/>
        <v>512.74249499999996</v>
      </c>
      <c r="O57" s="21">
        <f t="shared" si="15"/>
        <v>24.919999999999845</v>
      </c>
      <c r="P57" s="2">
        <v>1967.37</v>
      </c>
      <c r="Q57" s="2">
        <v>1942.45</v>
      </c>
      <c r="R57" s="2">
        <v>1853.954</v>
      </c>
      <c r="S57" s="26">
        <f t="shared" si="9"/>
        <v>-88.496000000000095</v>
      </c>
      <c r="T57" s="22">
        <f t="shared" si="0"/>
        <v>95.444104095343491</v>
      </c>
    </row>
    <row r="58" spans="1:20" ht="34.5" customHeight="1" x14ac:dyDescent="0.25">
      <c r="A58" s="24">
        <v>8.1000000000000103</v>
      </c>
      <c r="B58" s="20" t="s">
        <v>46</v>
      </c>
      <c r="C58" s="19" t="s">
        <v>13</v>
      </c>
      <c r="D58" s="21">
        <v>143.15</v>
      </c>
      <c r="E58" s="21">
        <v>151.74</v>
      </c>
      <c r="F58" s="21">
        <f t="shared" si="25"/>
        <v>72.677255000000017</v>
      </c>
      <c r="G58" s="2">
        <v>-49.23</v>
      </c>
      <c r="H58" s="21">
        <f t="shared" si="27"/>
        <v>40.954626000000005</v>
      </c>
      <c r="I58" s="2">
        <v>-73.010000000000005</v>
      </c>
      <c r="J58" s="21">
        <f t="shared" si="30"/>
        <v>113.63188100000002</v>
      </c>
      <c r="K58" s="21">
        <v>185.10499999999999</v>
      </c>
      <c r="L58" s="21"/>
      <c r="M58" s="21">
        <f t="shared" si="6"/>
        <v>185.10499999999999</v>
      </c>
      <c r="N58" s="21">
        <f t="shared" si="26"/>
        <v>71.473118999999969</v>
      </c>
      <c r="O58" s="21">
        <f t="shared" si="15"/>
        <v>33.364999999999981</v>
      </c>
      <c r="P58" s="21">
        <v>185.11</v>
      </c>
      <c r="Q58" s="21">
        <v>151.74</v>
      </c>
      <c r="R58" s="21">
        <v>201.30500000000001</v>
      </c>
      <c r="S58" s="26">
        <f t="shared" si="9"/>
        <v>49.564999999999998</v>
      </c>
      <c r="T58" s="22">
        <f t="shared" si="0"/>
        <v>132.66442599182813</v>
      </c>
    </row>
    <row r="59" spans="1:20" x14ac:dyDescent="0.25">
      <c r="A59" s="24">
        <v>8.2000000000000099</v>
      </c>
      <c r="B59" s="20" t="s">
        <v>47</v>
      </c>
      <c r="C59" s="19" t="s">
        <v>13</v>
      </c>
      <c r="D59" s="2">
        <v>260.25</v>
      </c>
      <c r="E59" s="2">
        <v>275.87</v>
      </c>
      <c r="F59" s="2">
        <f t="shared" si="25"/>
        <v>132.12892500000001</v>
      </c>
      <c r="G59" s="2">
        <v>-49.23</v>
      </c>
      <c r="H59" s="2">
        <f>E59+E59*I59/100</f>
        <v>74.457312999999999</v>
      </c>
      <c r="I59" s="2">
        <v>-73.010000000000005</v>
      </c>
      <c r="J59" s="21">
        <f t="shared" si="30"/>
        <v>206.58623800000001</v>
      </c>
      <c r="K59" s="21">
        <v>455.91199999999998</v>
      </c>
      <c r="L59" s="21"/>
      <c r="M59" s="21">
        <f t="shared" si="6"/>
        <v>455.91199999999998</v>
      </c>
      <c r="N59" s="21">
        <f t="shared" si="26"/>
        <v>249.32576199999997</v>
      </c>
      <c r="O59" s="21">
        <f t="shared" si="15"/>
        <v>180.04199999999997</v>
      </c>
      <c r="P59" s="2">
        <v>455.91</v>
      </c>
      <c r="Q59" s="21">
        <v>275.87</v>
      </c>
      <c r="R59" s="21"/>
      <c r="S59" s="26">
        <f t="shared" si="9"/>
        <v>-275.87</v>
      </c>
      <c r="T59" s="22">
        <f t="shared" si="0"/>
        <v>0</v>
      </c>
    </row>
    <row r="60" spans="1:20" ht="37.5" customHeight="1" x14ac:dyDescent="0.25">
      <c r="A60" s="24">
        <v>8.3000000000000096</v>
      </c>
      <c r="B60" s="20" t="s">
        <v>49</v>
      </c>
      <c r="C60" s="19" t="s">
        <v>13</v>
      </c>
      <c r="D60" s="21">
        <v>4342.8</v>
      </c>
      <c r="E60" s="21">
        <v>4603.37</v>
      </c>
      <c r="F60" s="21">
        <f t="shared" si="25"/>
        <v>2204.8395600000003</v>
      </c>
      <c r="G60" s="2">
        <v>-49.23</v>
      </c>
      <c r="H60" s="21">
        <f>E60+E60*I60/100</f>
        <v>1242.4495629999997</v>
      </c>
      <c r="I60" s="2">
        <v>-73.010000000000005</v>
      </c>
      <c r="J60" s="21">
        <f>H60+F60</f>
        <v>3447.289123</v>
      </c>
      <c r="K60" s="21">
        <v>1332.0619999999999</v>
      </c>
      <c r="L60" s="21"/>
      <c r="M60" s="21">
        <f t="shared" si="6"/>
        <v>1332.0619999999999</v>
      </c>
      <c r="N60" s="21">
        <f t="shared" si="26"/>
        <v>-2115.2271230000001</v>
      </c>
      <c r="O60" s="21">
        <f t="shared" si="15"/>
        <v>-3271.308</v>
      </c>
      <c r="P60" s="21">
        <v>1332.06</v>
      </c>
      <c r="Q60" s="21">
        <v>4603.37</v>
      </c>
      <c r="R60" s="21"/>
      <c r="S60" s="26">
        <f t="shared" si="9"/>
        <v>-4603.37</v>
      </c>
      <c r="T60" s="22">
        <f t="shared" si="0"/>
        <v>0</v>
      </c>
    </row>
    <row r="61" spans="1:20" x14ac:dyDescent="0.25">
      <c r="A61" s="24">
        <v>8.4000000000000092</v>
      </c>
      <c r="B61" s="20" t="s">
        <v>50</v>
      </c>
      <c r="C61" s="19" t="s">
        <v>13</v>
      </c>
      <c r="D61" s="2"/>
      <c r="E61" s="2"/>
      <c r="F61" s="2">
        <f t="shared" si="25"/>
        <v>0</v>
      </c>
      <c r="G61" s="2">
        <v>-49.23</v>
      </c>
      <c r="H61" s="2">
        <f t="shared" si="27"/>
        <v>0</v>
      </c>
      <c r="I61" s="2">
        <v>-73.010000000000005</v>
      </c>
      <c r="J61" s="21"/>
      <c r="K61" s="21">
        <v>371.74799999999999</v>
      </c>
      <c r="L61" s="21">
        <v>100</v>
      </c>
      <c r="M61" s="21">
        <f t="shared" si="6"/>
        <v>471.74799999999999</v>
      </c>
      <c r="N61" s="21">
        <f t="shared" si="26"/>
        <v>371.74799999999999</v>
      </c>
      <c r="O61" s="21">
        <f t="shared" si="15"/>
        <v>471.74799999999999</v>
      </c>
      <c r="P61" s="2">
        <v>471.75</v>
      </c>
      <c r="Q61" s="21"/>
      <c r="R61" s="21">
        <v>372.33</v>
      </c>
      <c r="S61" s="26">
        <f t="shared" si="9"/>
        <v>372.33</v>
      </c>
      <c r="T61" s="22"/>
    </row>
    <row r="62" spans="1:20" x14ac:dyDescent="0.25">
      <c r="A62" s="24">
        <v>8.5000000000000107</v>
      </c>
      <c r="B62" s="20" t="s">
        <v>51</v>
      </c>
      <c r="C62" s="19" t="s">
        <v>13</v>
      </c>
      <c r="D62" s="2"/>
      <c r="E62" s="2"/>
      <c r="F62" s="2">
        <f t="shared" si="25"/>
        <v>0</v>
      </c>
      <c r="G62" s="2">
        <v>-49.23</v>
      </c>
      <c r="H62" s="2">
        <f t="shared" si="27"/>
        <v>0</v>
      </c>
      <c r="I62" s="2">
        <v>-73.010000000000005</v>
      </c>
      <c r="J62" s="21"/>
      <c r="K62" s="21">
        <v>1022.936</v>
      </c>
      <c r="L62" s="21">
        <v>170</v>
      </c>
      <c r="M62" s="21">
        <f t="shared" si="6"/>
        <v>1192.9360000000001</v>
      </c>
      <c r="N62" s="21">
        <f t="shared" si="26"/>
        <v>1022.936</v>
      </c>
      <c r="O62" s="21">
        <f t="shared" si="15"/>
        <v>1192.9360000000001</v>
      </c>
      <c r="P62" s="2">
        <v>1192.94</v>
      </c>
      <c r="Q62" s="2"/>
      <c r="R62" s="2">
        <f>295.61+1744.961</f>
        <v>2040.5709999999999</v>
      </c>
      <c r="S62" s="26">
        <f t="shared" si="9"/>
        <v>2040.5709999999999</v>
      </c>
      <c r="T62" s="22"/>
    </row>
    <row r="63" spans="1:20" ht="15.75" hidden="1" customHeight="1" x14ac:dyDescent="0.25">
      <c r="A63" s="24">
        <v>8.6000000000000103</v>
      </c>
      <c r="B63" s="20" t="s">
        <v>52</v>
      </c>
      <c r="C63" s="19" t="s">
        <v>13</v>
      </c>
      <c r="D63" s="2"/>
      <c r="E63" s="2"/>
      <c r="F63" s="2">
        <f t="shared" si="25"/>
        <v>0</v>
      </c>
      <c r="G63" s="2">
        <v>-49.23</v>
      </c>
      <c r="H63" s="2">
        <f t="shared" si="27"/>
        <v>0</v>
      </c>
      <c r="I63" s="2">
        <v>-73.010000000000005</v>
      </c>
      <c r="J63" s="21"/>
      <c r="K63" s="21">
        <v>9.4499999999999993</v>
      </c>
      <c r="L63" s="21"/>
      <c r="M63" s="21">
        <f t="shared" si="6"/>
        <v>9.4499999999999993</v>
      </c>
      <c r="N63" s="21">
        <f t="shared" si="26"/>
        <v>9.4499999999999993</v>
      </c>
      <c r="O63" s="21">
        <f t="shared" si="15"/>
        <v>9.4499999999999993</v>
      </c>
      <c r="P63" s="2">
        <v>9.4499999999999993</v>
      </c>
      <c r="Q63" s="2"/>
      <c r="R63" s="2"/>
      <c r="S63" s="26">
        <f t="shared" si="9"/>
        <v>0</v>
      </c>
      <c r="T63" s="22" t="e">
        <f t="shared" si="0"/>
        <v>#DIV/0!</v>
      </c>
    </row>
    <row r="64" spans="1:20" ht="31.5" hidden="1" customHeight="1" x14ac:dyDescent="0.25">
      <c r="A64" s="24">
        <v>8.7000000000000099</v>
      </c>
      <c r="B64" s="20" t="s">
        <v>53</v>
      </c>
      <c r="C64" s="19" t="s">
        <v>13</v>
      </c>
      <c r="D64" s="2"/>
      <c r="E64" s="2"/>
      <c r="F64" s="2">
        <f t="shared" si="25"/>
        <v>0</v>
      </c>
      <c r="G64" s="2">
        <v>-49.23</v>
      </c>
      <c r="H64" s="2">
        <f t="shared" si="27"/>
        <v>0</v>
      </c>
      <c r="I64" s="2">
        <v>-73.010000000000005</v>
      </c>
      <c r="J64" s="21"/>
      <c r="K64" s="21">
        <v>958.13300000000004</v>
      </c>
      <c r="L64" s="21"/>
      <c r="M64" s="21">
        <f t="shared" si="6"/>
        <v>958.13300000000004</v>
      </c>
      <c r="N64" s="21">
        <f t="shared" si="26"/>
        <v>958.13300000000004</v>
      </c>
      <c r="O64" s="21">
        <f t="shared" si="15"/>
        <v>958.13300000000004</v>
      </c>
      <c r="P64" s="2">
        <v>958.13</v>
      </c>
      <c r="Q64" s="2"/>
      <c r="R64" s="2"/>
      <c r="S64" s="26">
        <f t="shared" si="9"/>
        <v>0</v>
      </c>
      <c r="T64" s="22" t="e">
        <f t="shared" si="0"/>
        <v>#DIV/0!</v>
      </c>
    </row>
    <row r="65" spans="1:21" ht="15.75" hidden="1" customHeight="1" x14ac:dyDescent="0.25">
      <c r="A65" s="24">
        <v>8.8000000000000096</v>
      </c>
      <c r="B65" s="20" t="s">
        <v>22</v>
      </c>
      <c r="C65" s="19" t="s">
        <v>13</v>
      </c>
      <c r="D65" s="2"/>
      <c r="E65" s="2"/>
      <c r="F65" s="2">
        <f t="shared" si="25"/>
        <v>0</v>
      </c>
      <c r="G65" s="2">
        <v>-49.23</v>
      </c>
      <c r="H65" s="2">
        <f t="shared" si="27"/>
        <v>0</v>
      </c>
      <c r="I65" s="2">
        <v>-73.010000000000005</v>
      </c>
      <c r="J65" s="21"/>
      <c r="K65" s="21">
        <v>182.26300000000001</v>
      </c>
      <c r="L65" s="21"/>
      <c r="M65" s="21">
        <f t="shared" si="6"/>
        <v>182.26300000000001</v>
      </c>
      <c r="N65" s="21">
        <f t="shared" si="26"/>
        <v>182.26300000000001</v>
      </c>
      <c r="O65" s="21">
        <f t="shared" si="15"/>
        <v>182.26300000000001</v>
      </c>
      <c r="P65" s="2">
        <v>182.26</v>
      </c>
      <c r="Q65" s="2"/>
      <c r="R65" s="2"/>
      <c r="S65" s="26">
        <f t="shared" si="9"/>
        <v>0</v>
      </c>
      <c r="T65" s="22" t="e">
        <f t="shared" si="0"/>
        <v>#DIV/0!</v>
      </c>
    </row>
    <row r="66" spans="1:21" ht="15.75" hidden="1" customHeight="1" x14ac:dyDescent="0.25">
      <c r="A66" s="24">
        <v>8.9000000000000092</v>
      </c>
      <c r="B66" s="20" t="s">
        <v>36</v>
      </c>
      <c r="C66" s="19" t="s">
        <v>13</v>
      </c>
      <c r="D66" s="21">
        <v>401.56</v>
      </c>
      <c r="E66" s="21">
        <v>425.66</v>
      </c>
      <c r="F66" s="21">
        <f t="shared" si="25"/>
        <v>203.87201199999998</v>
      </c>
      <c r="G66" s="2">
        <v>-49.23</v>
      </c>
      <c r="H66" s="21">
        <f t="shared" si="27"/>
        <v>114.88563399999998</v>
      </c>
      <c r="I66" s="2">
        <v>-73.010000000000005</v>
      </c>
      <c r="J66" s="21">
        <f>H66+F66</f>
        <v>318.75764599999997</v>
      </c>
      <c r="K66" s="21"/>
      <c r="L66" s="21"/>
      <c r="M66" s="21">
        <f t="shared" si="6"/>
        <v>0</v>
      </c>
      <c r="N66" s="21">
        <f t="shared" si="26"/>
        <v>-318.75764599999997</v>
      </c>
      <c r="O66" s="21">
        <f>M66-E66</f>
        <v>-425.66</v>
      </c>
      <c r="P66" s="21">
        <v>0</v>
      </c>
      <c r="Q66" s="21"/>
      <c r="R66" s="2"/>
      <c r="S66" s="26">
        <f t="shared" si="9"/>
        <v>0</v>
      </c>
      <c r="T66" s="22" t="e">
        <f t="shared" si="0"/>
        <v>#DIV/0!</v>
      </c>
    </row>
    <row r="67" spans="1:21" ht="27" customHeight="1" x14ac:dyDescent="0.25">
      <c r="A67" s="24">
        <v>9.0000000000000107</v>
      </c>
      <c r="B67" s="20" t="s">
        <v>139</v>
      </c>
      <c r="C67" s="19" t="s">
        <v>13</v>
      </c>
      <c r="D67" s="21"/>
      <c r="E67" s="21"/>
      <c r="F67" s="21"/>
      <c r="G67" s="2"/>
      <c r="H67" s="21"/>
      <c r="I67" s="2"/>
      <c r="J67" s="21"/>
      <c r="K67" s="21"/>
      <c r="L67" s="21"/>
      <c r="M67" s="21"/>
      <c r="N67" s="21"/>
      <c r="O67" s="21"/>
      <c r="P67" s="21"/>
      <c r="Q67" s="21">
        <v>425.66</v>
      </c>
      <c r="R67" s="21"/>
      <c r="S67" s="26">
        <f t="shared" si="9"/>
        <v>-425.66</v>
      </c>
      <c r="T67" s="22"/>
    </row>
    <row r="68" spans="1:21" ht="28.5" customHeight="1" x14ac:dyDescent="0.25">
      <c r="A68" s="24">
        <v>9.1000000000000103</v>
      </c>
      <c r="B68" s="20" t="s">
        <v>109</v>
      </c>
      <c r="C68" s="19" t="s">
        <v>13</v>
      </c>
      <c r="D68" s="21"/>
      <c r="E68" s="21"/>
      <c r="F68" s="21"/>
      <c r="G68" s="2"/>
      <c r="H68" s="21"/>
      <c r="I68" s="2"/>
      <c r="J68" s="21"/>
      <c r="K68" s="21"/>
      <c r="L68" s="21"/>
      <c r="M68" s="21"/>
      <c r="N68" s="21"/>
      <c r="O68" s="21"/>
      <c r="P68" s="21"/>
      <c r="Q68" s="21"/>
      <c r="R68" s="21">
        <f>120+15.5</f>
        <v>135.5</v>
      </c>
      <c r="S68" s="26">
        <f t="shared" si="9"/>
        <v>135.5</v>
      </c>
      <c r="T68" s="22"/>
    </row>
    <row r="69" spans="1:21" x14ac:dyDescent="0.25">
      <c r="A69" s="18">
        <v>8</v>
      </c>
      <c r="B69" s="16" t="s">
        <v>110</v>
      </c>
      <c r="C69" s="15" t="s">
        <v>13</v>
      </c>
      <c r="D69" s="3">
        <f>SUM(D71:D71)</f>
        <v>700.53</v>
      </c>
      <c r="E69" s="3">
        <f>SUM(E71:E71)</f>
        <v>742.57</v>
      </c>
      <c r="F69" s="3">
        <f>SUM(F71:F71)</f>
        <v>355.65908099999996</v>
      </c>
      <c r="G69" s="2">
        <v>-49.23</v>
      </c>
      <c r="H69" s="3">
        <f>SUM(H71:H71)</f>
        <v>200.41964299999995</v>
      </c>
      <c r="I69" s="2">
        <v>-73.010000000000005</v>
      </c>
      <c r="J69" s="3">
        <f t="shared" ref="J69:P69" si="31">SUM(J71:J71)</f>
        <v>556.07872399999997</v>
      </c>
      <c r="K69" s="3">
        <f t="shared" si="31"/>
        <v>788.798</v>
      </c>
      <c r="L69" s="3">
        <f t="shared" si="31"/>
        <v>0</v>
      </c>
      <c r="M69" s="3">
        <f t="shared" si="31"/>
        <v>788.798</v>
      </c>
      <c r="N69" s="3">
        <f t="shared" si="31"/>
        <v>232.71927600000004</v>
      </c>
      <c r="O69" s="3">
        <f t="shared" si="31"/>
        <v>46.227999999999952</v>
      </c>
      <c r="P69" s="3">
        <f t="shared" si="31"/>
        <v>788.8</v>
      </c>
      <c r="Q69" s="3">
        <f>SUM(Q70:Q72)</f>
        <v>782.6400000000001</v>
      </c>
      <c r="R69" s="3">
        <f>SUM(R70:R71)</f>
        <v>533.649</v>
      </c>
      <c r="S69" s="40">
        <f t="shared" si="9"/>
        <v>-248.9910000000001</v>
      </c>
      <c r="T69" s="17">
        <f t="shared" si="0"/>
        <v>68.185755903097203</v>
      </c>
    </row>
    <row r="70" spans="1:21" ht="30" customHeight="1" x14ac:dyDescent="0.25">
      <c r="A70" s="24">
        <v>8.1</v>
      </c>
      <c r="B70" s="20" t="s">
        <v>111</v>
      </c>
      <c r="C70" s="19" t="s">
        <v>13</v>
      </c>
      <c r="D70" s="3"/>
      <c r="E70" s="3"/>
      <c r="F70" s="3"/>
      <c r="G70" s="2"/>
      <c r="H70" s="3"/>
      <c r="I70" s="2"/>
      <c r="J70" s="3"/>
      <c r="K70" s="3"/>
      <c r="L70" s="3"/>
      <c r="M70" s="3"/>
      <c r="N70" s="3"/>
      <c r="O70" s="3"/>
      <c r="P70" s="3"/>
      <c r="Q70" s="21"/>
      <c r="R70" s="21">
        <v>116.589</v>
      </c>
      <c r="S70" s="26">
        <f t="shared" si="9"/>
        <v>116.589</v>
      </c>
      <c r="T70" s="22"/>
    </row>
    <row r="71" spans="1:21" x14ac:dyDescent="0.25">
      <c r="A71" s="24">
        <v>8.1999999999999993</v>
      </c>
      <c r="B71" s="20" t="s">
        <v>54</v>
      </c>
      <c r="C71" s="19" t="s">
        <v>13</v>
      </c>
      <c r="D71" s="2">
        <v>700.53</v>
      </c>
      <c r="E71" s="2">
        <v>742.57</v>
      </c>
      <c r="F71" s="2">
        <f t="shared" ref="F71" si="32">D71+D71*G71/100</f>
        <v>355.65908099999996</v>
      </c>
      <c r="G71" s="2">
        <v>-49.23</v>
      </c>
      <c r="H71" s="2">
        <f t="shared" ref="H71" si="33">E71+E71*I71/100</f>
        <v>200.41964299999995</v>
      </c>
      <c r="I71" s="2">
        <v>-73.010000000000005</v>
      </c>
      <c r="J71" s="21">
        <f>H71+F71</f>
        <v>556.07872399999997</v>
      </c>
      <c r="K71" s="21">
        <v>788.798</v>
      </c>
      <c r="L71" s="21"/>
      <c r="M71" s="21">
        <f t="shared" si="6"/>
        <v>788.798</v>
      </c>
      <c r="N71" s="21">
        <f>K71-J71</f>
        <v>232.71927600000004</v>
      </c>
      <c r="O71" s="21">
        <f t="shared" si="15"/>
        <v>46.227999999999952</v>
      </c>
      <c r="P71" s="2">
        <v>788.8</v>
      </c>
      <c r="Q71" s="2">
        <v>742.57</v>
      </c>
      <c r="R71" s="2">
        <v>417.06</v>
      </c>
      <c r="S71" s="26">
        <f t="shared" si="9"/>
        <v>-325.51000000000005</v>
      </c>
      <c r="T71" s="22">
        <f t="shared" ref="T71:T75" si="34">R71/Q71%</f>
        <v>56.164402009238181</v>
      </c>
      <c r="U71" s="47"/>
    </row>
    <row r="72" spans="1:21" ht="27.75" customHeight="1" x14ac:dyDescent="0.25">
      <c r="A72" s="24">
        <v>8.3000000000000007</v>
      </c>
      <c r="B72" s="20" t="s">
        <v>140</v>
      </c>
      <c r="C72" s="19" t="s">
        <v>13</v>
      </c>
      <c r="D72" s="2"/>
      <c r="E72" s="2"/>
      <c r="F72" s="2"/>
      <c r="G72" s="2"/>
      <c r="H72" s="2"/>
      <c r="I72" s="2"/>
      <c r="J72" s="21"/>
      <c r="K72" s="21"/>
      <c r="L72" s="21"/>
      <c r="M72" s="21"/>
      <c r="N72" s="21"/>
      <c r="O72" s="21"/>
      <c r="P72" s="2"/>
      <c r="Q72" s="2">
        <v>40.07</v>
      </c>
      <c r="R72" s="2">
        <v>151.06</v>
      </c>
      <c r="S72" s="26">
        <f t="shared" si="9"/>
        <v>110.99000000000001</v>
      </c>
      <c r="T72" s="22"/>
    </row>
    <row r="73" spans="1:21" ht="34.5" customHeight="1" x14ac:dyDescent="0.25">
      <c r="A73" s="15" t="s">
        <v>55</v>
      </c>
      <c r="B73" s="16" t="s">
        <v>112</v>
      </c>
      <c r="C73" s="15" t="s">
        <v>13</v>
      </c>
      <c r="D73" s="4">
        <f>D23+D46</f>
        <v>464956.50000000006</v>
      </c>
      <c r="E73" s="4">
        <f>E23+E46</f>
        <v>484072.14000000007</v>
      </c>
      <c r="F73" s="4">
        <f>F23+F46</f>
        <v>236058.41505000007</v>
      </c>
      <c r="G73" s="2">
        <v>-49.23</v>
      </c>
      <c r="H73" s="4">
        <f>H23+H46</f>
        <v>130651.07058599999</v>
      </c>
      <c r="I73" s="2">
        <v>-73.010000000000005</v>
      </c>
      <c r="J73" s="4">
        <f>J23+J46</f>
        <v>366709.48563600006</v>
      </c>
      <c r="K73" s="4">
        <f>K23+K46</f>
        <v>111830.16899999999</v>
      </c>
      <c r="L73" s="4">
        <f>L23+L46</f>
        <v>42849.922222222223</v>
      </c>
      <c r="M73" s="4">
        <f>M23+M46</f>
        <v>154680.0912222222</v>
      </c>
      <c r="N73" s="4">
        <f>N23+N46</f>
        <v>-272513.71796899999</v>
      </c>
      <c r="O73" s="4">
        <f>O23+O46</f>
        <v>-329392.04877777782</v>
      </c>
      <c r="P73" s="4">
        <f>P23+P46</f>
        <v>397655.76944444451</v>
      </c>
      <c r="Q73" s="3">
        <f>Q23+Q46</f>
        <v>484112.21000000008</v>
      </c>
      <c r="R73" s="3">
        <f>R23+R46</f>
        <v>69035.596999999994</v>
      </c>
      <c r="S73" s="40">
        <f t="shared" ref="S73:S103" si="35">R73-Q73</f>
        <v>-415076.61300000007</v>
      </c>
      <c r="T73" s="17">
        <f t="shared" si="34"/>
        <v>14.260247020003893</v>
      </c>
    </row>
    <row r="74" spans="1:21" s="27" customFormat="1" x14ac:dyDescent="0.25">
      <c r="A74" s="15" t="s">
        <v>56</v>
      </c>
      <c r="B74" s="16" t="s">
        <v>113</v>
      </c>
      <c r="C74" s="15" t="s">
        <v>13</v>
      </c>
      <c r="D74" s="4"/>
      <c r="E74" s="4"/>
      <c r="F74" s="4"/>
      <c r="G74" s="4">
        <v>-49.23</v>
      </c>
      <c r="H74" s="4"/>
      <c r="I74" s="4">
        <v>-73.010000000000005</v>
      </c>
      <c r="J74" s="3">
        <f t="shared" si="22"/>
        <v>0</v>
      </c>
      <c r="K74" s="3">
        <f>K76-K73</f>
        <v>233047.47499999998</v>
      </c>
      <c r="L74" s="3"/>
      <c r="M74" s="23">
        <f t="shared" si="6"/>
        <v>233047.47499999998</v>
      </c>
      <c r="N74" s="3"/>
      <c r="O74" s="3">
        <f t="shared" si="15"/>
        <v>233047.47499999998</v>
      </c>
      <c r="P74" s="4">
        <f>P76-P73</f>
        <v>-52778.125444444537</v>
      </c>
      <c r="Q74" s="4">
        <v>0</v>
      </c>
      <c r="R74" s="4">
        <f>R76-R73</f>
        <v>-48278.166999999994</v>
      </c>
      <c r="S74" s="40">
        <f t="shared" si="35"/>
        <v>-48278.166999999994</v>
      </c>
      <c r="T74" s="17"/>
    </row>
    <row r="75" spans="1:21" ht="47.25" hidden="1" x14ac:dyDescent="0.25">
      <c r="A75" s="15" t="s">
        <v>57</v>
      </c>
      <c r="B75" s="16" t="s">
        <v>58</v>
      </c>
      <c r="C75" s="15" t="s">
        <v>13</v>
      </c>
      <c r="D75" s="21">
        <v>44664.78</v>
      </c>
      <c r="E75" s="21"/>
      <c r="F75" s="21">
        <f>D75+D75*G75/100</f>
        <v>22676.308806000001</v>
      </c>
      <c r="G75" s="2">
        <v>-49.23</v>
      </c>
      <c r="H75" s="2"/>
      <c r="I75" s="2">
        <v>-73.010000000000005</v>
      </c>
      <c r="J75" s="21">
        <f>F75+H75</f>
        <v>22676.308806000001</v>
      </c>
      <c r="K75" s="21"/>
      <c r="L75" s="21"/>
      <c r="M75" s="21">
        <f t="shared" si="6"/>
        <v>0</v>
      </c>
      <c r="N75" s="21"/>
      <c r="O75" s="21">
        <f t="shared" si="15"/>
        <v>0</v>
      </c>
      <c r="P75" s="2"/>
      <c r="Q75" s="2"/>
      <c r="R75" s="2"/>
      <c r="S75" s="26">
        <f t="shared" si="35"/>
        <v>0</v>
      </c>
      <c r="T75" s="17" t="e">
        <f t="shared" si="34"/>
        <v>#DIV/0!</v>
      </c>
    </row>
    <row r="76" spans="1:21" s="27" customFormat="1" x14ac:dyDescent="0.25">
      <c r="A76" s="15" t="s">
        <v>59</v>
      </c>
      <c r="B76" s="16" t="s">
        <v>60</v>
      </c>
      <c r="C76" s="15" t="s">
        <v>13</v>
      </c>
      <c r="D76" s="4">
        <f>D73-D75</f>
        <v>420291.72000000009</v>
      </c>
      <c r="E76" s="4">
        <f>E73-E75</f>
        <v>484072.14000000007</v>
      </c>
      <c r="F76" s="29">
        <f>F73-F75</f>
        <v>213382.10624400008</v>
      </c>
      <c r="G76" s="4">
        <v>-49.23</v>
      </c>
      <c r="H76" s="4">
        <f>H73-H75</f>
        <v>130651.07058599999</v>
      </c>
      <c r="I76" s="4">
        <v>-73.010000000000005</v>
      </c>
      <c r="J76" s="3">
        <f>F76+H76</f>
        <v>344033.17683000007</v>
      </c>
      <c r="K76" s="4">
        <f>F133+H133</f>
        <v>344877.64399999997</v>
      </c>
      <c r="L76" s="4"/>
      <c r="M76" s="3">
        <f>L76+K76</f>
        <v>344877.64399999997</v>
      </c>
      <c r="N76" s="4"/>
      <c r="O76" s="3">
        <f t="shared" si="15"/>
        <v>-139194.4960000001</v>
      </c>
      <c r="P76" s="4">
        <f>M76</f>
        <v>344877.64399999997</v>
      </c>
      <c r="Q76" s="4">
        <f>Q73</f>
        <v>484112.21000000008</v>
      </c>
      <c r="R76" s="4">
        <v>20757.43</v>
      </c>
      <c r="S76" s="40">
        <f t="shared" si="35"/>
        <v>-463354.78000000009</v>
      </c>
      <c r="T76" s="17">
        <f t="shared" ref="T76" si="36">R76/Q76*100-100</f>
        <v>-95.712268856015839</v>
      </c>
    </row>
    <row r="77" spans="1:21" s="27" customFormat="1" x14ac:dyDescent="0.25">
      <c r="A77" s="15" t="s">
        <v>61</v>
      </c>
      <c r="B77" s="16" t="s">
        <v>62</v>
      </c>
      <c r="C77" s="3" t="s">
        <v>63</v>
      </c>
      <c r="D77" s="3">
        <v>587665</v>
      </c>
      <c r="E77" s="3">
        <v>587665</v>
      </c>
      <c r="F77" s="3">
        <f>F134</f>
        <v>298368.95</v>
      </c>
      <c r="G77" s="4">
        <v>-49.23</v>
      </c>
      <c r="H77" s="3">
        <f>H134</f>
        <v>158600</v>
      </c>
      <c r="I77" s="4">
        <v>-73.010000000000005</v>
      </c>
      <c r="J77" s="3">
        <f>H77+F77</f>
        <v>456968.95</v>
      </c>
      <c r="K77" s="3">
        <f>D137</f>
        <v>456968.95</v>
      </c>
      <c r="L77" s="3"/>
      <c r="M77" s="3">
        <f t="shared" si="6"/>
        <v>456968.95</v>
      </c>
      <c r="N77" s="3">
        <f>K77-J77</f>
        <v>0</v>
      </c>
      <c r="O77" s="3">
        <f t="shared" si="15"/>
        <v>-130696.04999999999</v>
      </c>
      <c r="P77" s="4">
        <f>M77</f>
        <v>456968.95</v>
      </c>
      <c r="Q77" s="3">
        <v>587665</v>
      </c>
      <c r="R77" s="4">
        <v>121213</v>
      </c>
      <c r="S77" s="40">
        <f t="shared" si="35"/>
        <v>-466452</v>
      </c>
      <c r="T77" s="17">
        <f>R77/Q77*100-100</f>
        <v>-79.373792892208996</v>
      </c>
    </row>
    <row r="78" spans="1:21" ht="31.5" hidden="1" x14ac:dyDescent="0.25">
      <c r="A78" s="15"/>
      <c r="B78" s="30" t="s">
        <v>64</v>
      </c>
      <c r="C78" s="15" t="s">
        <v>63</v>
      </c>
      <c r="D78" s="21">
        <v>310411</v>
      </c>
      <c r="E78" s="22">
        <v>310411</v>
      </c>
      <c r="F78" s="21"/>
      <c r="G78" s="21"/>
      <c r="H78" s="21"/>
      <c r="I78" s="21"/>
      <c r="J78" s="2"/>
      <c r="K78" s="21"/>
      <c r="L78" s="21"/>
      <c r="M78" s="21"/>
      <c r="N78" s="21"/>
      <c r="O78" s="21"/>
      <c r="P78" s="2"/>
      <c r="Q78" s="22">
        <v>310411</v>
      </c>
      <c r="R78" s="2"/>
      <c r="S78" s="40">
        <f t="shared" si="35"/>
        <v>-310411</v>
      </c>
      <c r="T78" s="17">
        <f t="shared" ref="T78:T94" si="37">R78/Q78*100-100</f>
        <v>-100</v>
      </c>
    </row>
    <row r="79" spans="1:21" hidden="1" x14ac:dyDescent="0.25">
      <c r="A79" s="15"/>
      <c r="B79" s="30" t="s">
        <v>65</v>
      </c>
      <c r="C79" s="31" t="s">
        <v>63</v>
      </c>
      <c r="D79" s="32">
        <v>257094</v>
      </c>
      <c r="E79" s="33">
        <v>257094</v>
      </c>
      <c r="F79" s="32"/>
      <c r="G79" s="32"/>
      <c r="H79" s="32"/>
      <c r="I79" s="32"/>
      <c r="J79" s="2"/>
      <c r="K79" s="21"/>
      <c r="L79" s="21"/>
      <c r="M79" s="21"/>
      <c r="N79" s="21"/>
      <c r="O79" s="21"/>
      <c r="P79" s="2"/>
      <c r="Q79" s="33">
        <v>257094</v>
      </c>
      <c r="R79" s="2"/>
      <c r="S79" s="40">
        <f t="shared" si="35"/>
        <v>-257094</v>
      </c>
      <c r="T79" s="17">
        <f t="shared" si="37"/>
        <v>-100</v>
      </c>
    </row>
    <row r="80" spans="1:21" ht="31.5" hidden="1" x14ac:dyDescent="0.25">
      <c r="A80" s="15"/>
      <c r="B80" s="30" t="s">
        <v>66</v>
      </c>
      <c r="C80" s="31" t="s">
        <v>63</v>
      </c>
      <c r="D80" s="32">
        <v>20160</v>
      </c>
      <c r="E80" s="33">
        <v>20160</v>
      </c>
      <c r="F80" s="32"/>
      <c r="G80" s="32"/>
      <c r="H80" s="32"/>
      <c r="I80" s="32"/>
      <c r="J80" s="2"/>
      <c r="K80" s="21"/>
      <c r="L80" s="21"/>
      <c r="M80" s="21"/>
      <c r="N80" s="21"/>
      <c r="O80" s="21"/>
      <c r="P80" s="2"/>
      <c r="Q80" s="33">
        <v>20160</v>
      </c>
      <c r="R80" s="2"/>
      <c r="S80" s="40">
        <f t="shared" si="35"/>
        <v>-20160</v>
      </c>
      <c r="T80" s="17">
        <f t="shared" si="37"/>
        <v>-100</v>
      </c>
    </row>
    <row r="81" spans="1:20" ht="31.5" x14ac:dyDescent="0.25">
      <c r="A81" s="15"/>
      <c r="B81" s="30" t="s">
        <v>67</v>
      </c>
      <c r="C81" s="34" t="s">
        <v>68</v>
      </c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1"/>
      <c r="O81" s="1"/>
      <c r="P81" s="1"/>
      <c r="Q81" s="26">
        <v>310411</v>
      </c>
      <c r="R81" s="21">
        <f>3013+7359+15390+16397+3183</f>
        <v>45342</v>
      </c>
      <c r="S81" s="26">
        <f t="shared" si="35"/>
        <v>-265069</v>
      </c>
      <c r="T81" s="22">
        <f t="shared" si="37"/>
        <v>-85.392914555218724</v>
      </c>
    </row>
    <row r="82" spans="1:20" x14ac:dyDescent="0.25">
      <c r="A82" s="15"/>
      <c r="B82" s="30" t="s">
        <v>65</v>
      </c>
      <c r="C82" s="34" t="s">
        <v>68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1"/>
      <c r="O82" s="1"/>
      <c r="P82" s="1"/>
      <c r="Q82" s="1">
        <v>257094</v>
      </c>
      <c r="R82" s="2">
        <f>39288+36583</f>
        <v>75871</v>
      </c>
      <c r="S82" s="26">
        <f t="shared" si="35"/>
        <v>-181223</v>
      </c>
      <c r="T82" s="22">
        <f t="shared" si="37"/>
        <v>-70.489004021875274</v>
      </c>
    </row>
    <row r="83" spans="1:20" ht="31.5" x14ac:dyDescent="0.25">
      <c r="A83" s="15"/>
      <c r="B83" s="30" t="s">
        <v>69</v>
      </c>
      <c r="C83" s="34" t="s">
        <v>68</v>
      </c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1"/>
      <c r="O83" s="1"/>
      <c r="P83" s="1"/>
      <c r="Q83" s="26">
        <v>20160</v>
      </c>
      <c r="R83" s="21">
        <v>0</v>
      </c>
      <c r="S83" s="26">
        <f t="shared" si="35"/>
        <v>-20160</v>
      </c>
      <c r="T83" s="22">
        <f t="shared" si="37"/>
        <v>-100</v>
      </c>
    </row>
    <row r="84" spans="1:20" s="27" customFormat="1" x14ac:dyDescent="0.25">
      <c r="A84" s="87" t="s">
        <v>70</v>
      </c>
      <c r="B84" s="88" t="s">
        <v>71</v>
      </c>
      <c r="C84" s="35" t="s">
        <v>72</v>
      </c>
      <c r="D84" s="4">
        <v>26.13</v>
      </c>
      <c r="E84" s="4">
        <v>25.97</v>
      </c>
      <c r="F84" s="4"/>
      <c r="G84" s="4"/>
      <c r="H84" s="4"/>
      <c r="I84" s="4"/>
      <c r="J84" s="4"/>
      <c r="K84" s="3"/>
      <c r="L84" s="3"/>
      <c r="M84" s="3"/>
      <c r="N84" s="3"/>
      <c r="O84" s="3"/>
      <c r="P84" s="4"/>
      <c r="Q84" s="4">
        <v>25.97</v>
      </c>
      <c r="R84" s="4">
        <v>20</v>
      </c>
      <c r="S84" s="40">
        <f t="shared" si="35"/>
        <v>-5.9699999999999989</v>
      </c>
      <c r="T84" s="17">
        <f t="shared" si="37"/>
        <v>-22.988063149788218</v>
      </c>
    </row>
    <row r="85" spans="1:20" s="27" customFormat="1" x14ac:dyDescent="0.25">
      <c r="A85" s="87"/>
      <c r="B85" s="89"/>
      <c r="C85" s="31" t="s">
        <v>63</v>
      </c>
      <c r="D85" s="4">
        <v>153532.56</v>
      </c>
      <c r="E85" s="4">
        <v>152628.42000000001</v>
      </c>
      <c r="F85" s="4"/>
      <c r="G85" s="4"/>
      <c r="H85" s="4"/>
      <c r="I85" s="4"/>
      <c r="J85" s="4"/>
      <c r="K85" s="3"/>
      <c r="L85" s="3"/>
      <c r="M85" s="3"/>
      <c r="N85" s="3"/>
      <c r="O85" s="3"/>
      <c r="P85" s="4"/>
      <c r="Q85" s="4">
        <f>Q77*Q84/100</f>
        <v>152616.6005</v>
      </c>
      <c r="R85" s="4">
        <v>124145</v>
      </c>
      <c r="S85" s="40">
        <f t="shared" si="35"/>
        <v>-28471.6005</v>
      </c>
      <c r="T85" s="17">
        <f t="shared" si="37"/>
        <v>-18.655637988738988</v>
      </c>
    </row>
    <row r="86" spans="1:20" ht="12" hidden="1" customHeight="1" x14ac:dyDescent="0.25">
      <c r="A86" s="85"/>
      <c r="B86" s="82" t="s">
        <v>73</v>
      </c>
      <c r="C86" s="35" t="s">
        <v>72</v>
      </c>
      <c r="D86" s="2">
        <v>18.850000000000001</v>
      </c>
      <c r="E86" s="2">
        <v>18.75</v>
      </c>
      <c r="F86" s="2"/>
      <c r="G86" s="2"/>
      <c r="H86" s="2"/>
      <c r="I86" s="2"/>
      <c r="J86" s="2"/>
      <c r="K86" s="21"/>
      <c r="L86" s="21"/>
      <c r="M86" s="21"/>
      <c r="N86" s="21"/>
      <c r="O86" s="21"/>
      <c r="P86" s="2"/>
      <c r="Q86" s="2">
        <v>18.75</v>
      </c>
      <c r="R86" s="2"/>
      <c r="S86" s="40">
        <f t="shared" si="35"/>
        <v>-18.75</v>
      </c>
      <c r="T86" s="17">
        <f t="shared" si="37"/>
        <v>-100</v>
      </c>
    </row>
    <row r="87" spans="1:20" ht="25.5" hidden="1" customHeight="1" x14ac:dyDescent="0.25">
      <c r="A87" s="86"/>
      <c r="B87" s="83"/>
      <c r="C87" s="31" t="s">
        <v>63</v>
      </c>
      <c r="D87" s="2">
        <v>131823.4</v>
      </c>
      <c r="E87" s="2">
        <v>130962.69</v>
      </c>
      <c r="F87" s="2"/>
      <c r="G87" s="2"/>
      <c r="H87" s="2"/>
      <c r="I87" s="2"/>
      <c r="J87" s="2"/>
      <c r="K87" s="21"/>
      <c r="L87" s="21"/>
      <c r="M87" s="21"/>
      <c r="N87" s="21"/>
      <c r="O87" s="21"/>
      <c r="P87" s="2"/>
      <c r="Q87" s="2">
        <v>130962.69</v>
      </c>
      <c r="R87" s="2"/>
      <c r="S87" s="40">
        <f t="shared" si="35"/>
        <v>-130962.69</v>
      </c>
      <c r="T87" s="17">
        <f t="shared" si="37"/>
        <v>-100</v>
      </c>
    </row>
    <row r="88" spans="1:20" hidden="1" x14ac:dyDescent="0.25">
      <c r="A88" s="85"/>
      <c r="B88" s="82" t="s">
        <v>66</v>
      </c>
      <c r="C88" s="35" t="s">
        <v>72</v>
      </c>
      <c r="D88" s="2">
        <v>51.85</v>
      </c>
      <c r="E88" s="2">
        <v>51.8</v>
      </c>
      <c r="F88" s="2"/>
      <c r="G88" s="2"/>
      <c r="H88" s="2"/>
      <c r="I88" s="2"/>
      <c r="J88" s="2"/>
      <c r="K88" s="21"/>
      <c r="L88" s="21"/>
      <c r="M88" s="21"/>
      <c r="N88" s="21"/>
      <c r="O88" s="21"/>
      <c r="P88" s="2"/>
      <c r="Q88" s="2">
        <v>51.8</v>
      </c>
      <c r="R88" s="2"/>
      <c r="S88" s="40">
        <f t="shared" si="35"/>
        <v>-51.8</v>
      </c>
      <c r="T88" s="17">
        <f t="shared" si="37"/>
        <v>-100</v>
      </c>
    </row>
    <row r="89" spans="1:20" hidden="1" x14ac:dyDescent="0.25">
      <c r="A89" s="86"/>
      <c r="B89" s="83"/>
      <c r="C89" s="31" t="s">
        <v>63</v>
      </c>
      <c r="D89" s="2">
        <v>21709.16</v>
      </c>
      <c r="E89" s="2">
        <v>21665.73</v>
      </c>
      <c r="F89" s="2"/>
      <c r="G89" s="2"/>
      <c r="H89" s="2"/>
      <c r="I89" s="2"/>
      <c r="J89" s="2"/>
      <c r="K89" s="21"/>
      <c r="L89" s="21"/>
      <c r="M89" s="21"/>
      <c r="N89" s="21"/>
      <c r="O89" s="21"/>
      <c r="P89" s="2"/>
      <c r="Q89" s="2">
        <v>21665.73</v>
      </c>
      <c r="R89" s="2"/>
      <c r="S89" s="40">
        <f t="shared" si="35"/>
        <v>-21665.73</v>
      </c>
      <c r="T89" s="17">
        <f t="shared" si="37"/>
        <v>-100</v>
      </c>
    </row>
    <row r="90" spans="1:20" x14ac:dyDescent="0.25">
      <c r="A90" s="31"/>
      <c r="B90" s="75" t="s">
        <v>73</v>
      </c>
      <c r="C90" s="36" t="s">
        <v>72</v>
      </c>
      <c r="D90" s="2"/>
      <c r="E90" s="2"/>
      <c r="F90" s="2"/>
      <c r="G90" s="2"/>
      <c r="H90" s="2"/>
      <c r="I90" s="2"/>
      <c r="J90" s="2"/>
      <c r="K90" s="21"/>
      <c r="L90" s="21"/>
      <c r="M90" s="21"/>
      <c r="N90" s="21"/>
      <c r="O90" s="21"/>
      <c r="P90" s="2"/>
      <c r="Q90" s="2">
        <v>18.75</v>
      </c>
      <c r="R90" s="2">
        <v>20</v>
      </c>
      <c r="S90" s="26">
        <f t="shared" si="35"/>
        <v>1.25</v>
      </c>
      <c r="T90" s="22">
        <f t="shared" si="37"/>
        <v>6.6666666666666714</v>
      </c>
    </row>
    <row r="91" spans="1:20" x14ac:dyDescent="0.25">
      <c r="A91" s="31"/>
      <c r="B91" s="76"/>
      <c r="C91" s="37" t="s">
        <v>63</v>
      </c>
      <c r="D91" s="2"/>
      <c r="E91" s="2"/>
      <c r="F91" s="2"/>
      <c r="G91" s="2"/>
      <c r="H91" s="2"/>
      <c r="I91" s="2"/>
      <c r="J91" s="2"/>
      <c r="K91" s="21"/>
      <c r="L91" s="21"/>
      <c r="M91" s="21"/>
      <c r="N91" s="21"/>
      <c r="O91" s="21"/>
      <c r="P91" s="2"/>
      <c r="Q91" s="2">
        <v>130962.69</v>
      </c>
      <c r="R91" s="2">
        <v>116339</v>
      </c>
      <c r="S91" s="26">
        <f t="shared" si="35"/>
        <v>-14623.690000000002</v>
      </c>
      <c r="T91" s="22">
        <f t="shared" si="37"/>
        <v>-11.166302402615585</v>
      </c>
    </row>
    <row r="92" spans="1:20" x14ac:dyDescent="0.25">
      <c r="A92" s="31"/>
      <c r="B92" s="75" t="s">
        <v>69</v>
      </c>
      <c r="C92" s="36" t="s">
        <v>72</v>
      </c>
      <c r="D92" s="2"/>
      <c r="E92" s="2"/>
      <c r="F92" s="2"/>
      <c r="G92" s="2"/>
      <c r="H92" s="2"/>
      <c r="I92" s="2"/>
      <c r="J92" s="2"/>
      <c r="K92" s="21"/>
      <c r="L92" s="21"/>
      <c r="M92" s="21"/>
      <c r="N92" s="21"/>
      <c r="O92" s="21"/>
      <c r="P92" s="2"/>
      <c r="Q92" s="2">
        <v>51.8</v>
      </c>
      <c r="R92" s="2">
        <v>52</v>
      </c>
      <c r="S92" s="26">
        <f t="shared" si="35"/>
        <v>0.20000000000000284</v>
      </c>
      <c r="T92" s="22">
        <f t="shared" si="37"/>
        <v>0.38610038610038089</v>
      </c>
    </row>
    <row r="93" spans="1:20" x14ac:dyDescent="0.25">
      <c r="A93" s="31"/>
      <c r="B93" s="76"/>
      <c r="C93" s="37" t="s">
        <v>63</v>
      </c>
      <c r="D93" s="2"/>
      <c r="E93" s="2"/>
      <c r="F93" s="2"/>
      <c r="G93" s="2"/>
      <c r="H93" s="2"/>
      <c r="I93" s="2"/>
      <c r="J93" s="2"/>
      <c r="K93" s="21"/>
      <c r="L93" s="21"/>
      <c r="M93" s="21"/>
      <c r="N93" s="21"/>
      <c r="O93" s="21"/>
      <c r="P93" s="2"/>
      <c r="Q93" s="2">
        <v>21665.73</v>
      </c>
      <c r="R93" s="2">
        <v>7807</v>
      </c>
      <c r="S93" s="26">
        <f t="shared" si="35"/>
        <v>-13858.73</v>
      </c>
      <c r="T93" s="22">
        <f t="shared" si="37"/>
        <v>-63.966134535969935</v>
      </c>
    </row>
    <row r="94" spans="1:20" x14ac:dyDescent="0.25">
      <c r="A94" s="38" t="s">
        <v>74</v>
      </c>
      <c r="B94" s="39" t="s">
        <v>75</v>
      </c>
      <c r="C94" s="40" t="s">
        <v>76</v>
      </c>
      <c r="D94" s="1"/>
      <c r="E94" s="1"/>
      <c r="F94" s="1"/>
      <c r="G94" s="26"/>
      <c r="H94" s="1"/>
      <c r="I94" s="1"/>
      <c r="J94" s="1"/>
      <c r="K94" s="1"/>
      <c r="L94" s="1"/>
      <c r="M94" s="26"/>
      <c r="N94" s="1"/>
      <c r="O94" s="1"/>
      <c r="P94" s="1"/>
      <c r="Q94" s="38">
        <f>Q76/Q77</f>
        <v>0.82378942084350792</v>
      </c>
      <c r="R94" s="38">
        <f>R76/R77</f>
        <v>0.17124755595521932</v>
      </c>
      <c r="S94" s="26">
        <f t="shared" si="35"/>
        <v>-0.65254186488828858</v>
      </c>
      <c r="T94" s="22">
        <f t="shared" si="37"/>
        <v>-79.212217148907698</v>
      </c>
    </row>
    <row r="95" spans="1:20" ht="31.5" x14ac:dyDescent="0.25">
      <c r="A95" s="1"/>
      <c r="B95" s="30" t="s">
        <v>67</v>
      </c>
      <c r="C95" s="26" t="s">
        <v>76</v>
      </c>
      <c r="D95" s="1"/>
      <c r="E95" s="1"/>
      <c r="F95" s="1"/>
      <c r="G95" s="26"/>
      <c r="H95" s="1"/>
      <c r="I95" s="1"/>
      <c r="J95" s="1"/>
      <c r="K95" s="1"/>
      <c r="L95" s="1"/>
      <c r="M95" s="26"/>
      <c r="N95" s="1"/>
      <c r="O95" s="1"/>
      <c r="P95" s="1"/>
      <c r="Q95" s="1"/>
      <c r="R95" s="2"/>
      <c r="S95" s="40"/>
      <c r="T95" s="17"/>
    </row>
    <row r="96" spans="1:20" x14ac:dyDescent="0.25">
      <c r="A96" s="1"/>
      <c r="B96" s="30" t="s">
        <v>65</v>
      </c>
      <c r="C96" s="26" t="s">
        <v>76</v>
      </c>
      <c r="D96" s="1"/>
      <c r="E96" s="1"/>
      <c r="F96" s="1"/>
      <c r="G96" s="26"/>
      <c r="H96" s="1"/>
      <c r="I96" s="1"/>
      <c r="J96" s="1"/>
      <c r="K96" s="1"/>
      <c r="L96" s="1"/>
      <c r="M96" s="26"/>
      <c r="N96" s="1"/>
      <c r="O96" s="1"/>
      <c r="P96" s="1"/>
      <c r="Q96" s="1"/>
      <c r="R96" s="2"/>
      <c r="S96" s="40"/>
      <c r="T96" s="17"/>
    </row>
    <row r="97" spans="1:20" ht="31.5" x14ac:dyDescent="0.25">
      <c r="A97" s="1"/>
      <c r="B97" s="30" t="s">
        <v>69</v>
      </c>
      <c r="C97" s="26" t="s">
        <v>76</v>
      </c>
      <c r="D97" s="1"/>
      <c r="E97" s="1"/>
      <c r="F97" s="1"/>
      <c r="G97" s="26"/>
      <c r="H97" s="1"/>
      <c r="I97" s="1"/>
      <c r="J97" s="1"/>
      <c r="K97" s="1"/>
      <c r="L97" s="1"/>
      <c r="M97" s="26"/>
      <c r="N97" s="1"/>
      <c r="O97" s="1"/>
      <c r="P97" s="1"/>
      <c r="Q97" s="1"/>
      <c r="R97" s="2"/>
      <c r="S97" s="40"/>
      <c r="T97" s="17"/>
    </row>
    <row r="98" spans="1:20" ht="31.5" x14ac:dyDescent="0.25">
      <c r="A98" s="41">
        <v>9</v>
      </c>
      <c r="B98" s="39" t="s">
        <v>77</v>
      </c>
      <c r="C98" s="40" t="s">
        <v>78</v>
      </c>
      <c r="D98" s="1"/>
      <c r="E98" s="1"/>
      <c r="F98" s="1"/>
      <c r="G98" s="26"/>
      <c r="H98" s="1"/>
      <c r="I98" s="1"/>
      <c r="J98" s="1"/>
      <c r="K98" s="1"/>
      <c r="L98" s="1"/>
      <c r="M98" s="26"/>
      <c r="N98" s="1"/>
      <c r="O98" s="1"/>
      <c r="P98" s="1"/>
      <c r="Q98" s="72">
        <v>105</v>
      </c>
      <c r="R98" s="13">
        <v>100</v>
      </c>
      <c r="S98" s="72">
        <f t="shared" si="35"/>
        <v>-5</v>
      </c>
      <c r="T98" s="17">
        <f t="shared" ref="T98:T103" si="38">R98/Q98*100-100</f>
        <v>-4.7619047619047734</v>
      </c>
    </row>
    <row r="99" spans="1:20" x14ac:dyDescent="0.25">
      <c r="A99" s="1" t="s">
        <v>79</v>
      </c>
      <c r="B99" s="42" t="s">
        <v>80</v>
      </c>
      <c r="C99" s="26" t="s">
        <v>78</v>
      </c>
      <c r="D99" s="1"/>
      <c r="E99" s="1"/>
      <c r="F99" s="1"/>
      <c r="G99" s="26"/>
      <c r="H99" s="1"/>
      <c r="I99" s="1"/>
      <c r="J99" s="1"/>
      <c r="K99" s="1"/>
      <c r="L99" s="1"/>
      <c r="M99" s="26"/>
      <c r="N99" s="1"/>
      <c r="O99" s="1"/>
      <c r="P99" s="1"/>
      <c r="Q99" s="41">
        <v>92</v>
      </c>
      <c r="R99" s="43">
        <v>85</v>
      </c>
      <c r="S99" s="72">
        <f t="shared" si="35"/>
        <v>-7</v>
      </c>
      <c r="T99" s="22">
        <f t="shared" si="38"/>
        <v>-7.6086956521739069</v>
      </c>
    </row>
    <row r="100" spans="1:20" x14ac:dyDescent="0.25">
      <c r="A100" s="1" t="s">
        <v>81</v>
      </c>
      <c r="B100" s="42" t="s">
        <v>82</v>
      </c>
      <c r="C100" s="26" t="s">
        <v>78</v>
      </c>
      <c r="D100" s="1"/>
      <c r="E100" s="1"/>
      <c r="F100" s="1"/>
      <c r="G100" s="26"/>
      <c r="H100" s="1"/>
      <c r="I100" s="1"/>
      <c r="J100" s="1"/>
      <c r="K100" s="1"/>
      <c r="L100" s="1"/>
      <c r="M100" s="26"/>
      <c r="N100" s="1"/>
      <c r="O100" s="1"/>
      <c r="P100" s="1"/>
      <c r="Q100" s="41">
        <v>13</v>
      </c>
      <c r="R100" s="43">
        <v>15</v>
      </c>
      <c r="S100" s="72">
        <f t="shared" si="35"/>
        <v>2</v>
      </c>
      <c r="T100" s="22">
        <f t="shared" si="38"/>
        <v>15.384615384615373</v>
      </c>
    </row>
    <row r="101" spans="1:20" ht="31.5" x14ac:dyDescent="0.25">
      <c r="A101" s="41">
        <v>10</v>
      </c>
      <c r="B101" s="39" t="s">
        <v>83</v>
      </c>
      <c r="C101" s="40" t="s">
        <v>78</v>
      </c>
      <c r="D101" s="1"/>
      <c r="E101" s="1"/>
      <c r="F101" s="1"/>
      <c r="G101" s="26"/>
      <c r="H101" s="1"/>
      <c r="I101" s="1"/>
      <c r="J101" s="1"/>
      <c r="K101" s="1"/>
      <c r="L101" s="1"/>
      <c r="M101" s="26"/>
      <c r="N101" s="1"/>
      <c r="O101" s="1"/>
      <c r="P101" s="1"/>
      <c r="Q101" s="72">
        <v>75692</v>
      </c>
      <c r="R101" s="13">
        <f>(R31+R48)/R98/12*1000</f>
        <v>27878.905833333331</v>
      </c>
      <c r="S101" s="72">
        <f t="shared" si="35"/>
        <v>-47813.094166666669</v>
      </c>
      <c r="T101" s="17">
        <f t="shared" si="38"/>
        <v>-63.167962488329906</v>
      </c>
    </row>
    <row r="102" spans="1:20" x14ac:dyDescent="0.25">
      <c r="A102" s="1" t="s">
        <v>84</v>
      </c>
      <c r="B102" s="42" t="s">
        <v>80</v>
      </c>
      <c r="C102" s="26" t="s">
        <v>78</v>
      </c>
      <c r="D102" s="1"/>
      <c r="E102" s="1"/>
      <c r="F102" s="1"/>
      <c r="G102" s="26"/>
      <c r="H102" s="1"/>
      <c r="I102" s="1"/>
      <c r="J102" s="1"/>
      <c r="K102" s="1"/>
      <c r="L102" s="1"/>
      <c r="M102" s="26"/>
      <c r="N102" s="1"/>
      <c r="O102" s="1"/>
      <c r="P102" s="1"/>
      <c r="Q102" s="41">
        <v>72692</v>
      </c>
      <c r="R102" s="43">
        <f>R31/R99/12*1000</f>
        <v>23470.705882352941</v>
      </c>
      <c r="S102" s="73">
        <f t="shared" si="35"/>
        <v>-49221.294117647063</v>
      </c>
      <c r="T102" s="22">
        <f t="shared" si="38"/>
        <v>-67.712119789862783</v>
      </c>
    </row>
    <row r="103" spans="1:20" x14ac:dyDescent="0.25">
      <c r="A103" s="1" t="s">
        <v>85</v>
      </c>
      <c r="B103" s="42" t="s">
        <v>82</v>
      </c>
      <c r="C103" s="26" t="s">
        <v>78</v>
      </c>
      <c r="D103" s="1"/>
      <c r="E103" s="1"/>
      <c r="F103" s="1"/>
      <c r="G103" s="26"/>
      <c r="H103" s="1"/>
      <c r="I103" s="1"/>
      <c r="J103" s="1"/>
      <c r="K103" s="1"/>
      <c r="L103" s="1"/>
      <c r="M103" s="26"/>
      <c r="N103" s="1"/>
      <c r="O103" s="1"/>
      <c r="P103" s="1"/>
      <c r="Q103" s="41">
        <v>96922.16</v>
      </c>
      <c r="R103" s="43">
        <f>R48/R100/12*1000</f>
        <v>52858.705555555549</v>
      </c>
      <c r="S103" s="73">
        <f t="shared" si="35"/>
        <v>-44063.454444444455</v>
      </c>
      <c r="T103" s="22">
        <f t="shared" si="38"/>
        <v>-45.462724359882664</v>
      </c>
    </row>
    <row r="104" spans="1:20" x14ac:dyDescent="0.25">
      <c r="A104" s="44"/>
      <c r="B104" s="45"/>
      <c r="C104" s="44"/>
      <c r="D104" s="46"/>
      <c r="E104" s="46"/>
      <c r="F104" s="46"/>
      <c r="G104" s="46"/>
      <c r="H104" s="46"/>
      <c r="I104" s="46"/>
      <c r="J104" s="47"/>
      <c r="K104" s="46"/>
      <c r="L104" s="46"/>
      <c r="M104" s="46"/>
      <c r="N104" s="46"/>
      <c r="O104" s="46"/>
      <c r="P104" s="47"/>
    </row>
    <row r="105" spans="1:20" x14ac:dyDescent="0.25">
      <c r="A105" s="44"/>
      <c r="B105" s="45"/>
      <c r="C105" s="44"/>
      <c r="D105" s="46"/>
      <c r="E105" s="46"/>
      <c r="F105" s="46"/>
      <c r="G105" s="46"/>
      <c r="H105" s="46"/>
      <c r="I105" s="46"/>
      <c r="J105" s="47"/>
      <c r="K105" s="46"/>
      <c r="L105" s="46"/>
      <c r="M105" s="46"/>
      <c r="N105" s="46"/>
      <c r="O105" s="46"/>
      <c r="P105" s="47"/>
    </row>
    <row r="106" spans="1:20" x14ac:dyDescent="0.25">
      <c r="A106" s="44"/>
      <c r="B106" s="45"/>
      <c r="C106" s="44"/>
      <c r="D106" s="46"/>
      <c r="E106" s="46"/>
      <c r="F106" s="46"/>
      <c r="G106" s="46"/>
      <c r="H106" s="46"/>
      <c r="I106" s="46"/>
      <c r="J106" s="47"/>
      <c r="K106" s="46"/>
      <c r="L106" s="46"/>
      <c r="M106" s="46"/>
      <c r="N106" s="46"/>
      <c r="O106" s="46"/>
      <c r="P106" s="47"/>
    </row>
    <row r="107" spans="1:20" x14ac:dyDescent="0.25">
      <c r="A107" s="44"/>
      <c r="B107" s="45"/>
      <c r="C107" s="44"/>
      <c r="D107" s="46"/>
      <c r="E107" s="46"/>
      <c r="F107" s="46"/>
      <c r="G107" s="46"/>
      <c r="H107" s="46"/>
      <c r="I107" s="46"/>
      <c r="J107" s="47"/>
      <c r="K107" s="46"/>
      <c r="L107" s="46"/>
      <c r="M107" s="46"/>
      <c r="N107" s="46"/>
      <c r="O107" s="46"/>
      <c r="P107" s="47"/>
    </row>
    <row r="108" spans="1:20" x14ac:dyDescent="0.25">
      <c r="A108" s="44"/>
      <c r="B108" s="45"/>
      <c r="C108" s="44"/>
      <c r="D108" s="46"/>
      <c r="E108" s="46"/>
      <c r="F108" s="46"/>
      <c r="G108" s="46"/>
      <c r="H108" s="46"/>
      <c r="I108" s="46"/>
      <c r="J108" s="47"/>
      <c r="K108" s="46"/>
      <c r="L108" s="46"/>
      <c r="M108" s="46"/>
      <c r="N108" s="46"/>
      <c r="O108" s="46"/>
      <c r="P108" s="47"/>
    </row>
    <row r="109" spans="1:20" x14ac:dyDescent="0.25">
      <c r="A109" s="63"/>
      <c r="B109" s="64" t="s">
        <v>123</v>
      </c>
      <c r="C109" s="64" t="s">
        <v>130</v>
      </c>
      <c r="D109" s="64"/>
      <c r="E109" s="65"/>
      <c r="F109" s="66"/>
      <c r="G109" s="46"/>
      <c r="H109" s="46"/>
      <c r="I109" s="46"/>
      <c r="J109" s="47"/>
      <c r="K109" s="46"/>
      <c r="L109" s="46"/>
      <c r="M109" s="46"/>
      <c r="N109" s="46"/>
      <c r="O109" s="46"/>
      <c r="P109" s="47"/>
    </row>
    <row r="110" spans="1:20" x14ac:dyDescent="0.25">
      <c r="A110" s="63"/>
      <c r="B110" s="64" t="s">
        <v>124</v>
      </c>
      <c r="C110" s="64" t="s">
        <v>136</v>
      </c>
      <c r="D110" s="64"/>
      <c r="E110" s="65"/>
      <c r="F110" s="67"/>
      <c r="G110" s="46"/>
      <c r="H110" s="46"/>
      <c r="I110" s="46"/>
      <c r="J110" s="47"/>
      <c r="K110" s="46"/>
      <c r="L110" s="46"/>
      <c r="M110" s="46"/>
      <c r="N110" s="46"/>
      <c r="O110" s="46"/>
      <c r="P110" s="47"/>
    </row>
    <row r="111" spans="1:20" x14ac:dyDescent="0.25">
      <c r="A111" s="63"/>
      <c r="B111" s="64" t="s">
        <v>125</v>
      </c>
      <c r="C111" s="64" t="s">
        <v>131</v>
      </c>
      <c r="D111" s="64"/>
      <c r="E111" s="65"/>
      <c r="F111" s="67"/>
      <c r="G111" s="46"/>
      <c r="H111" s="46"/>
      <c r="I111" s="46"/>
      <c r="J111" s="47"/>
      <c r="K111" s="46"/>
      <c r="L111" s="46"/>
      <c r="M111" s="46"/>
      <c r="N111" s="46"/>
      <c r="O111" s="46"/>
      <c r="P111" s="47"/>
    </row>
    <row r="112" spans="1:20" x14ac:dyDescent="0.25">
      <c r="A112" s="63"/>
      <c r="B112" s="64" t="s">
        <v>126</v>
      </c>
      <c r="C112" s="71" t="s">
        <v>132</v>
      </c>
      <c r="D112" s="64"/>
      <c r="E112" s="65"/>
      <c r="F112" s="67"/>
      <c r="G112" s="46"/>
      <c r="H112" s="46"/>
      <c r="I112" s="46"/>
      <c r="J112" s="47"/>
      <c r="K112" s="46"/>
      <c r="L112" s="46"/>
      <c r="M112" s="46"/>
      <c r="N112" s="46"/>
      <c r="O112" s="46"/>
      <c r="P112" s="47"/>
    </row>
    <row r="113" spans="1:16" x14ac:dyDescent="0.25">
      <c r="A113" s="63"/>
      <c r="B113" s="64" t="s">
        <v>127</v>
      </c>
      <c r="C113" s="64" t="s">
        <v>133</v>
      </c>
      <c r="D113" s="64"/>
      <c r="E113" s="65"/>
      <c r="F113" s="68"/>
      <c r="G113" s="46"/>
      <c r="H113" s="46"/>
      <c r="I113" s="46"/>
      <c r="J113" s="47"/>
      <c r="K113" s="46"/>
      <c r="L113" s="46"/>
      <c r="M113" s="46"/>
      <c r="N113" s="46"/>
      <c r="O113" s="46"/>
      <c r="P113" s="47"/>
    </row>
    <row r="114" spans="1:16" x14ac:dyDescent="0.25">
      <c r="A114" s="63"/>
      <c r="B114" s="64" t="s">
        <v>134</v>
      </c>
      <c r="C114" s="64" t="s">
        <v>135</v>
      </c>
      <c r="D114" s="64"/>
      <c r="E114" s="65"/>
      <c r="F114" s="68"/>
      <c r="G114" s="46"/>
      <c r="H114" s="46"/>
      <c r="I114" s="46"/>
      <c r="J114" s="47"/>
      <c r="K114" s="46"/>
      <c r="L114" s="46"/>
      <c r="M114" s="46"/>
      <c r="N114" s="46"/>
      <c r="O114" s="46"/>
      <c r="P114" s="47"/>
    </row>
    <row r="115" spans="1:16" x14ac:dyDescent="0.25">
      <c r="A115" s="63"/>
      <c r="B115" s="64" t="s">
        <v>128</v>
      </c>
      <c r="C115" s="64"/>
      <c r="D115" s="64"/>
      <c r="E115" s="65"/>
      <c r="F115" s="69"/>
      <c r="G115" s="46"/>
      <c r="H115" s="46"/>
      <c r="I115" s="46"/>
      <c r="J115" s="47"/>
      <c r="K115" s="46"/>
      <c r="L115" s="46"/>
      <c r="M115" s="46"/>
      <c r="N115" s="46"/>
      <c r="O115" s="46"/>
      <c r="P115" s="47"/>
    </row>
    <row r="116" spans="1:16" x14ac:dyDescent="0.25">
      <c r="A116" s="63"/>
      <c r="B116" s="64"/>
      <c r="C116" s="64"/>
      <c r="D116" s="64"/>
      <c r="E116" s="65"/>
      <c r="F116" s="66"/>
      <c r="G116" s="46"/>
      <c r="H116" s="46"/>
      <c r="I116" s="46"/>
      <c r="J116" s="47"/>
      <c r="K116" s="46"/>
      <c r="L116" s="46"/>
      <c r="M116" s="46"/>
      <c r="N116" s="46"/>
      <c r="O116" s="46"/>
      <c r="P116" s="47"/>
    </row>
    <row r="117" spans="1:16" x14ac:dyDescent="0.25">
      <c r="A117" s="63"/>
      <c r="B117" s="64" t="s">
        <v>129</v>
      </c>
      <c r="C117" s="64"/>
      <c r="D117" s="64"/>
      <c r="E117" s="65"/>
      <c r="F117" s="70"/>
      <c r="G117" s="46"/>
      <c r="H117" s="46"/>
      <c r="I117" s="46"/>
      <c r="J117" s="47"/>
      <c r="K117" s="46"/>
      <c r="L117" s="46"/>
      <c r="M117" s="46"/>
      <c r="N117" s="46"/>
      <c r="O117" s="46"/>
      <c r="P117" s="47"/>
    </row>
    <row r="118" spans="1:16" x14ac:dyDescent="0.25">
      <c r="A118" s="44"/>
      <c r="B118" s="45"/>
      <c r="C118" s="44"/>
      <c r="D118" s="46"/>
      <c r="E118" s="46"/>
      <c r="F118" s="46"/>
      <c r="G118" s="46"/>
      <c r="H118" s="46"/>
      <c r="I118" s="46"/>
      <c r="J118" s="47"/>
      <c r="K118" s="46"/>
      <c r="L118" s="46"/>
      <c r="M118" s="46"/>
      <c r="N118" s="46"/>
      <c r="O118" s="46"/>
      <c r="P118" s="47"/>
    </row>
    <row r="119" spans="1:16" x14ac:dyDescent="0.25">
      <c r="A119" s="44"/>
      <c r="B119" s="49"/>
      <c r="C119" s="50"/>
      <c r="D119" s="51"/>
      <c r="E119" s="52"/>
      <c r="F119" s="51"/>
      <c r="G119" s="51"/>
      <c r="H119" s="51"/>
      <c r="I119" s="51"/>
      <c r="J119" s="51"/>
      <c r="K119" s="51"/>
      <c r="L119" s="46"/>
      <c r="M119" s="46"/>
      <c r="N119" s="46"/>
      <c r="O119" s="46"/>
      <c r="P119" s="47"/>
    </row>
    <row r="120" spans="1:16" x14ac:dyDescent="0.25">
      <c r="A120" s="44"/>
      <c r="B120" s="49"/>
      <c r="C120" s="50"/>
      <c r="D120" s="51"/>
      <c r="E120" s="52"/>
      <c r="F120" s="51"/>
      <c r="G120" s="51"/>
      <c r="H120" s="51"/>
      <c r="I120" s="51"/>
      <c r="J120" s="51"/>
      <c r="K120" s="51"/>
      <c r="L120" s="46"/>
      <c r="M120" s="46"/>
      <c r="N120" s="46"/>
      <c r="O120" s="46"/>
      <c r="P120" s="47"/>
    </row>
    <row r="121" spans="1:16" x14ac:dyDescent="0.25">
      <c r="A121" s="44"/>
      <c r="B121" s="49"/>
      <c r="C121" s="50"/>
      <c r="D121" s="51"/>
      <c r="E121" s="51"/>
      <c r="F121" s="51"/>
      <c r="G121" s="51"/>
      <c r="H121" s="51"/>
      <c r="I121" s="51"/>
      <c r="J121" s="51"/>
      <c r="K121" s="51"/>
      <c r="L121" s="46"/>
      <c r="M121" s="46"/>
      <c r="N121" s="46"/>
      <c r="O121" s="46"/>
      <c r="P121" s="47"/>
    </row>
    <row r="122" spans="1:16" x14ac:dyDescent="0.25">
      <c r="A122" s="44"/>
      <c r="B122" s="49"/>
      <c r="C122" s="50"/>
      <c r="D122" s="51"/>
      <c r="E122" s="52"/>
      <c r="F122" s="51"/>
      <c r="G122" s="51"/>
      <c r="H122" s="51"/>
      <c r="I122" s="51"/>
      <c r="J122" s="51"/>
      <c r="K122" s="51"/>
      <c r="L122" s="46"/>
      <c r="M122" s="46"/>
      <c r="N122" s="46"/>
      <c r="O122" s="46"/>
      <c r="P122" s="47"/>
    </row>
    <row r="123" spans="1:16" x14ac:dyDescent="0.25">
      <c r="A123" s="44"/>
      <c r="B123" s="49"/>
      <c r="C123" s="46"/>
      <c r="D123" s="47"/>
      <c r="E123" s="47"/>
      <c r="F123" s="47"/>
      <c r="G123" s="47"/>
      <c r="H123" s="47"/>
      <c r="I123" s="47"/>
      <c r="J123" s="47"/>
      <c r="K123" s="47"/>
      <c r="L123" s="46"/>
      <c r="M123" s="46"/>
      <c r="N123" s="46"/>
      <c r="O123" s="46"/>
      <c r="P123" s="47"/>
    </row>
    <row r="124" spans="1:16" x14ac:dyDescent="0.25">
      <c r="A124" s="44"/>
      <c r="B124" s="49"/>
      <c r="C124" s="46"/>
      <c r="D124" s="47"/>
      <c r="E124" s="47"/>
      <c r="F124" s="47"/>
      <c r="G124" s="47"/>
      <c r="H124" s="47"/>
      <c r="I124" s="47"/>
      <c r="J124" s="47"/>
      <c r="K124" s="47"/>
      <c r="L124" s="46"/>
      <c r="M124" s="46"/>
      <c r="N124" s="46"/>
      <c r="O124" s="46"/>
      <c r="P124" s="47"/>
    </row>
    <row r="125" spans="1:16" x14ac:dyDescent="0.25">
      <c r="A125" s="44"/>
      <c r="B125" s="49"/>
      <c r="C125" s="46"/>
      <c r="D125" s="47"/>
      <c r="E125" s="52"/>
      <c r="F125" s="47"/>
      <c r="G125" s="47"/>
      <c r="H125" s="47"/>
      <c r="I125" s="47"/>
      <c r="J125" s="47"/>
      <c r="K125" s="47"/>
      <c r="L125" s="46"/>
      <c r="M125" s="46"/>
      <c r="N125" s="46"/>
      <c r="O125" s="46"/>
      <c r="P125" s="47"/>
    </row>
    <row r="126" spans="1:16" x14ac:dyDescent="0.25">
      <c r="A126" s="44"/>
      <c r="B126" s="49"/>
      <c r="C126" s="46"/>
      <c r="D126" s="47"/>
      <c r="E126" s="47"/>
      <c r="F126" s="47"/>
      <c r="G126" s="47"/>
      <c r="H126" s="47"/>
      <c r="I126" s="47"/>
      <c r="J126" s="47"/>
      <c r="K126" s="47"/>
      <c r="L126" s="46"/>
      <c r="M126" s="46"/>
      <c r="N126" s="46"/>
      <c r="O126" s="46"/>
      <c r="P126" s="47"/>
    </row>
    <row r="127" spans="1:16" x14ac:dyDescent="0.25">
      <c r="A127" s="44"/>
      <c r="B127" s="45"/>
      <c r="C127" s="44"/>
      <c r="D127" s="46"/>
      <c r="E127" s="46"/>
      <c r="F127" s="46"/>
      <c r="G127" s="46"/>
      <c r="H127" s="46"/>
      <c r="I127" s="46"/>
      <c r="J127" s="47"/>
      <c r="K127" s="46"/>
      <c r="L127" s="46"/>
      <c r="M127" s="46"/>
      <c r="N127" s="46"/>
      <c r="O127" s="46"/>
      <c r="P127" s="47"/>
    </row>
    <row r="128" spans="1:16" x14ac:dyDescent="0.25">
      <c r="A128" s="44"/>
      <c r="B128" s="45"/>
      <c r="C128" s="44"/>
      <c r="D128" s="46"/>
      <c r="E128" s="46"/>
      <c r="F128" s="46"/>
      <c r="G128" s="46"/>
      <c r="H128" s="46"/>
      <c r="I128" s="46"/>
      <c r="J128" s="47"/>
      <c r="K128" s="46"/>
      <c r="L128" s="46"/>
      <c r="M128" s="46"/>
      <c r="N128" s="46"/>
      <c r="O128" s="46"/>
      <c r="P128" s="47"/>
    </row>
    <row r="129" spans="1:26" x14ac:dyDescent="0.25">
      <c r="A129" s="44"/>
      <c r="B129" s="45"/>
      <c r="C129" s="44"/>
      <c r="D129" s="46"/>
      <c r="E129" s="46"/>
      <c r="F129" s="46"/>
      <c r="G129" s="46"/>
      <c r="H129" s="46"/>
      <c r="I129" s="46"/>
      <c r="J129" s="47"/>
      <c r="K129" s="46"/>
      <c r="L129" s="46"/>
      <c r="M129" s="46"/>
      <c r="N129" s="46"/>
      <c r="O129" s="46"/>
      <c r="P129" s="47"/>
    </row>
    <row r="130" spans="1:26" ht="141.75" x14ac:dyDescent="0.25">
      <c r="A130" s="44"/>
      <c r="B130" s="45"/>
      <c r="C130" s="44"/>
      <c r="D130" s="53" t="s">
        <v>1</v>
      </c>
      <c r="E130" s="53" t="s">
        <v>2</v>
      </c>
      <c r="F130" s="53" t="s">
        <v>3</v>
      </c>
      <c r="G130" s="53"/>
      <c r="H130" s="53" t="s">
        <v>4</v>
      </c>
      <c r="I130" s="53"/>
      <c r="J130" s="53" t="s">
        <v>86</v>
      </c>
      <c r="K130" s="46"/>
      <c r="L130" s="46"/>
      <c r="M130" s="46"/>
      <c r="N130" s="46"/>
      <c r="O130" s="46"/>
      <c r="P130" s="47"/>
    </row>
    <row r="131" spans="1:26" x14ac:dyDescent="0.25">
      <c r="A131" s="44"/>
      <c r="B131" s="45"/>
      <c r="C131" s="44"/>
      <c r="D131" s="46"/>
      <c r="E131" s="46"/>
      <c r="F131" s="46"/>
      <c r="G131" s="46"/>
      <c r="H131" s="46"/>
      <c r="I131" s="46"/>
      <c r="J131" s="47"/>
      <c r="K131" s="46"/>
      <c r="L131" s="46"/>
      <c r="M131" s="46"/>
      <c r="N131" s="46"/>
      <c r="O131" s="46"/>
      <c r="P131" s="47"/>
    </row>
    <row r="132" spans="1:26" x14ac:dyDescent="0.25">
      <c r="A132" s="44"/>
      <c r="B132" s="45"/>
      <c r="C132" s="44"/>
      <c r="D132" s="47"/>
      <c r="E132" s="47"/>
      <c r="F132" s="47"/>
      <c r="G132" s="47"/>
      <c r="H132" s="47"/>
      <c r="I132" s="47"/>
      <c r="J132" s="47"/>
      <c r="K132" s="46"/>
      <c r="L132" s="46"/>
      <c r="M132" s="46"/>
      <c r="N132" s="46"/>
      <c r="O132" s="46"/>
      <c r="P132" s="47"/>
    </row>
    <row r="133" spans="1:26" x14ac:dyDescent="0.25">
      <c r="A133" s="44"/>
      <c r="B133" s="54" t="s">
        <v>87</v>
      </c>
      <c r="C133" s="44"/>
      <c r="D133" s="47">
        <f>D76</f>
        <v>420291.72000000009</v>
      </c>
      <c r="E133" s="47">
        <f>E76</f>
        <v>484072.14000000007</v>
      </c>
      <c r="F133" s="47">
        <f>F135*F134</f>
        <v>214825.644</v>
      </c>
      <c r="G133" s="47"/>
      <c r="H133" s="47">
        <f>H135*H134</f>
        <v>130051.99999999999</v>
      </c>
      <c r="I133" s="47"/>
      <c r="J133" s="47"/>
      <c r="K133" s="46"/>
      <c r="L133" s="46"/>
      <c r="M133" s="46"/>
      <c r="N133" s="46"/>
      <c r="O133" s="46"/>
      <c r="P133" s="47"/>
    </row>
    <row r="134" spans="1:26" x14ac:dyDescent="0.25">
      <c r="A134" s="44"/>
      <c r="B134" s="54" t="s">
        <v>88</v>
      </c>
      <c r="C134" s="44"/>
      <c r="D134" s="47">
        <f>D77</f>
        <v>587665</v>
      </c>
      <c r="E134" s="47">
        <f>E77</f>
        <v>587665</v>
      </c>
      <c r="F134" s="47">
        <f>D138</f>
        <v>298368.95</v>
      </c>
      <c r="G134" s="47">
        <f>F134/E134*100-100</f>
        <v>-49.228055099418889</v>
      </c>
      <c r="H134" s="47">
        <f>D139</f>
        <v>158600</v>
      </c>
      <c r="I134" s="47">
        <f>H134/E134*100-100</f>
        <v>-73.0118349740073</v>
      </c>
      <c r="J134" s="47"/>
      <c r="K134" s="46"/>
      <c r="L134" s="46"/>
      <c r="M134" s="46"/>
      <c r="N134" s="46"/>
      <c r="O134" s="46"/>
      <c r="P134" s="47"/>
    </row>
    <row r="135" spans="1:26" x14ac:dyDescent="0.25">
      <c r="A135" s="44"/>
      <c r="B135" s="54" t="s">
        <v>89</v>
      </c>
      <c r="C135" s="44"/>
      <c r="D135" s="47" t="e">
        <f>#REF!</f>
        <v>#REF!</v>
      </c>
      <c r="E135" s="47" t="e">
        <f>#REF!</f>
        <v>#REF!</v>
      </c>
      <c r="F135" s="47">
        <v>0.72</v>
      </c>
      <c r="G135" s="47">
        <f>F134/D134*100</f>
        <v>50.771944900581111</v>
      </c>
      <c r="H135" s="47">
        <v>0.82</v>
      </c>
      <c r="I135" s="47">
        <f>H134/E134*100</f>
        <v>26.9881650259927</v>
      </c>
      <c r="J135" s="47"/>
      <c r="K135" s="46"/>
      <c r="L135" s="46"/>
      <c r="M135" s="46"/>
      <c r="N135" s="46"/>
      <c r="O135" s="46"/>
      <c r="P135" s="47"/>
    </row>
    <row r="136" spans="1:26" x14ac:dyDescent="0.25">
      <c r="A136" s="44"/>
      <c r="B136" s="47"/>
      <c r="C136" s="44"/>
      <c r="D136" s="47"/>
      <c r="E136" s="47"/>
      <c r="F136" s="47"/>
      <c r="G136" s="47"/>
      <c r="H136" s="47"/>
      <c r="I136" s="47"/>
      <c r="J136" s="47"/>
      <c r="K136" s="46"/>
      <c r="L136" s="46"/>
      <c r="M136" s="46"/>
      <c r="N136" s="46"/>
      <c r="O136" s="46"/>
      <c r="P136" s="47"/>
    </row>
    <row r="137" spans="1:26" x14ac:dyDescent="0.25">
      <c r="B137" s="55" t="s">
        <v>90</v>
      </c>
      <c r="C137" s="51"/>
      <c r="D137" s="51">
        <f>D138+D139</f>
        <v>456968.95</v>
      </c>
    </row>
    <row r="138" spans="1:26" x14ac:dyDescent="0.25">
      <c r="B138" s="56" t="s">
        <v>91</v>
      </c>
      <c r="C138" s="51"/>
      <c r="D138" s="51">
        <v>298368.95</v>
      </c>
    </row>
    <row r="139" spans="1:26" x14ac:dyDescent="0.25">
      <c r="B139" s="56" t="s">
        <v>92</v>
      </c>
      <c r="C139" s="51"/>
      <c r="D139" s="51">
        <v>158600</v>
      </c>
      <c r="K139" s="57"/>
      <c r="L139" s="57"/>
      <c r="M139" s="57"/>
    </row>
    <row r="140" spans="1:26" s="6" customFormat="1" x14ac:dyDescent="0.25">
      <c r="A140" s="5"/>
      <c r="B140" s="48"/>
      <c r="C140" s="5"/>
      <c r="D140" s="5"/>
      <c r="E140" s="5"/>
      <c r="F140" s="5"/>
      <c r="G140" s="5"/>
      <c r="H140" s="5"/>
      <c r="I140" s="5"/>
      <c r="J140" s="5"/>
      <c r="P140" s="5"/>
      <c r="Q140" s="5"/>
      <c r="R140" s="5"/>
      <c r="S140" s="5"/>
      <c r="T140" s="7"/>
      <c r="U140" s="5"/>
      <c r="V140" s="5"/>
      <c r="W140" s="5"/>
      <c r="X140" s="5"/>
      <c r="Y140" s="5"/>
      <c r="Z140" s="5"/>
    </row>
    <row r="141" spans="1:26" s="6" customFormat="1" x14ac:dyDescent="0.25">
      <c r="A141" s="5"/>
      <c r="B141" s="47"/>
      <c r="C141" s="5"/>
      <c r="D141" s="5"/>
      <c r="E141" s="5"/>
      <c r="F141" s="5"/>
      <c r="G141" s="5"/>
      <c r="H141" s="5"/>
      <c r="I141" s="5"/>
      <c r="J141" s="5"/>
      <c r="P141" s="5"/>
      <c r="Q141" s="5"/>
      <c r="R141" s="5"/>
      <c r="S141" s="5"/>
      <c r="T141" s="7"/>
      <c r="U141" s="5"/>
      <c r="V141" s="5"/>
      <c r="W141" s="5"/>
      <c r="X141" s="5"/>
      <c r="Y141" s="5"/>
      <c r="Z141" s="5"/>
    </row>
    <row r="151" spans="1:26" s="6" customFormat="1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6" t="s">
        <v>38</v>
      </c>
      <c r="P151" s="5"/>
      <c r="Q151" s="5"/>
      <c r="R151" s="5"/>
      <c r="S151" s="5"/>
      <c r="T151" s="7"/>
      <c r="U151" s="5"/>
      <c r="V151" s="5"/>
      <c r="W151" s="5"/>
      <c r="X151" s="5"/>
      <c r="Y151" s="5"/>
      <c r="Z151" s="5"/>
    </row>
  </sheetData>
  <mergeCells count="17">
    <mergeCell ref="A84:A85"/>
    <mergeCell ref="B84:B85"/>
    <mergeCell ref="A86:A87"/>
    <mergeCell ref="A17:T17"/>
    <mergeCell ref="B92:B93"/>
    <mergeCell ref="B90:B91"/>
    <mergeCell ref="A16:T16"/>
    <mergeCell ref="A20:A21"/>
    <mergeCell ref="B20:B21"/>
    <mergeCell ref="C20:C21"/>
    <mergeCell ref="Q20:Q21"/>
    <mergeCell ref="R20:R21"/>
    <mergeCell ref="S20:T20"/>
    <mergeCell ref="B86:B87"/>
    <mergeCell ref="A19:T19"/>
    <mergeCell ref="A88:A89"/>
    <mergeCell ref="B88:B89"/>
  </mergeCells>
  <hyperlinks>
    <hyperlink ref="C112" r:id="rId1"/>
    <hyperlink ref="T2" r:id="rId2" display="jl:1039135.100 "/>
  </hyperlinks>
  <pageMargins left="0.70866141732283472" right="0.70866141732283472" top="0.51181102362204722" bottom="0.78740157480314965" header="0.19685039370078741" footer="0.31496062992125984"/>
  <pageSetup paperSize="9" scale="59" pageOrder="overThenDown" orientation="portrait" horizontalDpi="180" verticalDpi="180" r:id="rId3"/>
  <rowBreaks count="2" manualBreakCount="2">
    <brk id="41" max="20" man="1"/>
    <brk id="68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ТС_коррек_2017_поливная </vt:lpstr>
      <vt:lpstr>'ТС_коррек_2017_поливная '!Заголовки_для_печати</vt:lpstr>
      <vt:lpstr>'ТС_коррек_2017_поливная 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WorkDir</dc:creator>
  <cp:lastModifiedBy>WorkDir</cp:lastModifiedBy>
  <cp:lastPrinted>2018-04-24T05:35:16Z</cp:lastPrinted>
  <dcterms:created xsi:type="dcterms:W3CDTF">2018-01-17T06:10:56Z</dcterms:created>
  <dcterms:modified xsi:type="dcterms:W3CDTF">2018-06-14T12:11:35Z</dcterms:modified>
</cp:coreProperties>
</file>