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Dir\Desktop\"/>
    </mc:Choice>
  </mc:AlternateContent>
  <bookViews>
    <workbookView xWindow="0" yWindow="0" windowWidth="20490" windowHeight="7755"/>
  </bookViews>
  <sheets>
    <sheet name="ТС_коррек_2017_поливная " sheetId="1" r:id="rId1"/>
  </sheets>
  <definedNames>
    <definedName name="_xlnm.Print_Titles" localSheetId="0">'ТС_коррек_2017_поливная '!$20:$22</definedName>
    <definedName name="_xlnm.Print_Area" localSheetId="0">'ТС_коррек_2017_поливная '!$A$1:$T$114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0" i="1" l="1"/>
  <c r="R96" i="1"/>
  <c r="R29" i="1" l="1"/>
  <c r="R49" i="1"/>
  <c r="R25" i="1"/>
  <c r="R42" i="1"/>
  <c r="R31" i="1"/>
  <c r="S31" i="1" s="1"/>
  <c r="R26" i="1"/>
  <c r="R54" i="1"/>
  <c r="S89" i="1"/>
  <c r="T89" i="1"/>
  <c r="S88" i="1"/>
  <c r="T88" i="1"/>
  <c r="S87" i="1"/>
  <c r="T87" i="1"/>
  <c r="Q56" i="1"/>
  <c r="Q38" i="1"/>
  <c r="Q41" i="1"/>
  <c r="Q48" i="1"/>
  <c r="Q24" i="1"/>
  <c r="T31" i="1"/>
  <c r="S29" i="1" l="1"/>
  <c r="R32" i="1" l="1"/>
  <c r="T42" i="1" l="1"/>
  <c r="S42" i="1"/>
  <c r="R24" i="1"/>
  <c r="S44" i="1"/>
  <c r="T84" i="1" l="1"/>
  <c r="T90" i="1"/>
  <c r="T92" i="1"/>
  <c r="T93" i="1"/>
  <c r="T94" i="1"/>
  <c r="T95" i="1"/>
  <c r="S90" i="1"/>
  <c r="S92" i="1"/>
  <c r="S93" i="1"/>
  <c r="S94" i="1"/>
  <c r="S95" i="1"/>
  <c r="S97" i="1"/>
  <c r="S98" i="1"/>
  <c r="S99" i="1"/>
  <c r="S47" i="1"/>
  <c r="S51" i="1"/>
  <c r="S53" i="1"/>
  <c r="S57" i="1"/>
  <c r="S58" i="1"/>
  <c r="S59" i="1"/>
  <c r="S60" i="1"/>
  <c r="S61" i="1"/>
  <c r="S63" i="1"/>
  <c r="S64" i="1"/>
  <c r="S65" i="1"/>
  <c r="S66" i="1"/>
  <c r="S67" i="1"/>
  <c r="S68" i="1"/>
  <c r="S69" i="1"/>
  <c r="S70" i="1"/>
  <c r="S72" i="1"/>
  <c r="S73" i="1"/>
  <c r="S74" i="1"/>
  <c r="S75" i="1"/>
  <c r="S76" i="1"/>
  <c r="S78" i="1"/>
  <c r="S79" i="1"/>
  <c r="S80" i="1"/>
  <c r="S84" i="1"/>
  <c r="S86" i="1"/>
  <c r="S37" i="1"/>
  <c r="S36" i="1"/>
  <c r="S35" i="1"/>
  <c r="S34" i="1"/>
  <c r="S33" i="1"/>
  <c r="S28" i="1"/>
  <c r="S30" i="1"/>
  <c r="T33" i="1"/>
  <c r="T34" i="1"/>
  <c r="T35" i="1"/>
  <c r="T37" i="1"/>
  <c r="T47" i="1"/>
  <c r="T57" i="1"/>
  <c r="T58" i="1"/>
  <c r="T59" i="1"/>
  <c r="T61" i="1"/>
  <c r="T63" i="1"/>
  <c r="T64" i="1"/>
  <c r="T65" i="1"/>
  <c r="T66" i="1"/>
  <c r="T67" i="1"/>
  <c r="T68" i="1"/>
  <c r="T69" i="1"/>
  <c r="T73" i="1"/>
  <c r="T74" i="1"/>
  <c r="T75" i="1"/>
  <c r="T76" i="1"/>
  <c r="T28" i="1"/>
  <c r="T30" i="1"/>
  <c r="S32" i="1" l="1"/>
  <c r="T86" i="1"/>
  <c r="T91" i="1" l="1"/>
  <c r="S91" i="1"/>
  <c r="S81" i="1" l="1"/>
  <c r="T81" i="1"/>
  <c r="R77" i="1"/>
  <c r="Q77" i="1"/>
  <c r="T77" i="1" l="1"/>
  <c r="S77" i="1"/>
  <c r="R41" i="1"/>
  <c r="Q55" i="1" l="1"/>
  <c r="S52" i="1"/>
  <c r="S26" i="1" l="1"/>
  <c r="T26" i="1"/>
  <c r="S25" i="1"/>
  <c r="T25" i="1"/>
  <c r="T54" i="1"/>
  <c r="S54" i="1"/>
  <c r="R56" i="1" l="1"/>
  <c r="S62" i="1"/>
  <c r="S71" i="1"/>
  <c r="R38" i="1"/>
  <c r="T40" i="1"/>
  <c r="S40" i="1"/>
  <c r="T27" i="1"/>
  <c r="S27" i="1"/>
  <c r="S24" i="1" s="1"/>
  <c r="R48" i="1"/>
  <c r="T49" i="1"/>
  <c r="S49" i="1"/>
  <c r="R102" i="1"/>
  <c r="R101" i="1"/>
  <c r="T97" i="1"/>
  <c r="T98" i="1"/>
  <c r="T99" i="1"/>
  <c r="T102" i="1" l="1"/>
  <c r="S102" i="1"/>
  <c r="T100" i="1"/>
  <c r="S100" i="1"/>
  <c r="T101" i="1"/>
  <c r="S101" i="1"/>
  <c r="R55" i="1"/>
  <c r="T55" i="1" s="1"/>
  <c r="S56" i="1"/>
  <c r="S55" i="1" s="1"/>
  <c r="T56" i="1"/>
  <c r="R23" i="1"/>
  <c r="D134" i="1"/>
  <c r="K86" i="1" s="1"/>
  <c r="H131" i="1"/>
  <c r="H86" i="1" s="1"/>
  <c r="F131" i="1"/>
  <c r="F86" i="1" s="1"/>
  <c r="E131" i="1"/>
  <c r="D131" i="1"/>
  <c r="H130" i="1"/>
  <c r="M84" i="1"/>
  <c r="O84" i="1" s="1"/>
  <c r="F84" i="1"/>
  <c r="J84" i="1" s="1"/>
  <c r="J83" i="1"/>
  <c r="M81" i="1"/>
  <c r="O81" i="1" s="1"/>
  <c r="H81" i="1"/>
  <c r="F81" i="1"/>
  <c r="F77" i="1" s="1"/>
  <c r="P77" i="1"/>
  <c r="L77" i="1"/>
  <c r="K77" i="1"/>
  <c r="E77" i="1"/>
  <c r="D77" i="1"/>
  <c r="M76" i="1"/>
  <c r="O76" i="1" s="1"/>
  <c r="H76" i="1"/>
  <c r="F76" i="1"/>
  <c r="N75" i="1"/>
  <c r="M75" i="1"/>
  <c r="O75" i="1" s="1"/>
  <c r="H75" i="1"/>
  <c r="F75" i="1"/>
  <c r="N74" i="1"/>
  <c r="M74" i="1"/>
  <c r="O74" i="1" s="1"/>
  <c r="H74" i="1"/>
  <c r="F74" i="1"/>
  <c r="N73" i="1"/>
  <c r="M73" i="1"/>
  <c r="O73" i="1" s="1"/>
  <c r="H73" i="1"/>
  <c r="F73" i="1"/>
  <c r="N72" i="1"/>
  <c r="M72" i="1"/>
  <c r="O72" i="1" s="1"/>
  <c r="H72" i="1"/>
  <c r="F72" i="1"/>
  <c r="N71" i="1"/>
  <c r="M71" i="1"/>
  <c r="O71" i="1" s="1"/>
  <c r="H71" i="1"/>
  <c r="F71" i="1"/>
  <c r="N70" i="1"/>
  <c r="M70" i="1"/>
  <c r="O70" i="1" s="1"/>
  <c r="H70" i="1"/>
  <c r="F70" i="1"/>
  <c r="M69" i="1"/>
  <c r="O69" i="1" s="1"/>
  <c r="H69" i="1"/>
  <c r="F69" i="1"/>
  <c r="M65" i="1"/>
  <c r="O65" i="1" s="1"/>
  <c r="H65" i="1"/>
  <c r="F65" i="1"/>
  <c r="M68" i="1"/>
  <c r="O68" i="1" s="1"/>
  <c r="H68" i="1"/>
  <c r="F68" i="1"/>
  <c r="M67" i="1"/>
  <c r="O67" i="1" s="1"/>
  <c r="H67" i="1"/>
  <c r="F67" i="1"/>
  <c r="M66" i="1"/>
  <c r="O66" i="1" s="1"/>
  <c r="H66" i="1"/>
  <c r="F66" i="1"/>
  <c r="M64" i="1"/>
  <c r="O64" i="1" s="1"/>
  <c r="H64" i="1"/>
  <c r="F64" i="1"/>
  <c r="M63" i="1"/>
  <c r="O63" i="1" s="1"/>
  <c r="H63" i="1"/>
  <c r="F63" i="1"/>
  <c r="M62" i="1"/>
  <c r="O62" i="1" s="1"/>
  <c r="H62" i="1"/>
  <c r="F62" i="1"/>
  <c r="M61" i="1"/>
  <c r="O61" i="1" s="1"/>
  <c r="H61" i="1"/>
  <c r="F61" i="1"/>
  <c r="L60" i="1"/>
  <c r="M60" i="1" s="1"/>
  <c r="H60" i="1"/>
  <c r="F60" i="1"/>
  <c r="L59" i="1"/>
  <c r="M59" i="1" s="1"/>
  <c r="P59" i="1" s="1"/>
  <c r="H59" i="1"/>
  <c r="F59" i="1"/>
  <c r="L58" i="1"/>
  <c r="M58" i="1" s="1"/>
  <c r="H58" i="1"/>
  <c r="F58" i="1"/>
  <c r="L57" i="1"/>
  <c r="M57" i="1" s="1"/>
  <c r="P57" i="1" s="1"/>
  <c r="H57" i="1"/>
  <c r="F57" i="1"/>
  <c r="K56" i="1"/>
  <c r="E56" i="1"/>
  <c r="D56" i="1"/>
  <c r="M54" i="1"/>
  <c r="O54" i="1" s="1"/>
  <c r="H54" i="1"/>
  <c r="F54" i="1"/>
  <c r="M51" i="1"/>
  <c r="O51" i="1" s="1"/>
  <c r="H51" i="1"/>
  <c r="F51" i="1"/>
  <c r="M50" i="1"/>
  <c r="O50" i="1" s="1"/>
  <c r="H50" i="1"/>
  <c r="F50" i="1"/>
  <c r="M49" i="1"/>
  <c r="O49" i="1" s="1"/>
  <c r="H49" i="1"/>
  <c r="F49" i="1"/>
  <c r="S48" i="1"/>
  <c r="P48" i="1"/>
  <c r="L48" i="1"/>
  <c r="K48" i="1"/>
  <c r="E48" i="1"/>
  <c r="D48" i="1"/>
  <c r="K47" i="1"/>
  <c r="K41" i="1" s="1"/>
  <c r="H47" i="1"/>
  <c r="F47" i="1"/>
  <c r="M46" i="1"/>
  <c r="O46" i="1" s="1"/>
  <c r="H46" i="1"/>
  <c r="F46" i="1"/>
  <c r="M45" i="1"/>
  <c r="O45" i="1" s="1"/>
  <c r="H45" i="1"/>
  <c r="F45" i="1"/>
  <c r="M44" i="1"/>
  <c r="O44" i="1" s="1"/>
  <c r="H44" i="1"/>
  <c r="F44" i="1"/>
  <c r="M43" i="1"/>
  <c r="O43" i="1" s="1"/>
  <c r="H43" i="1"/>
  <c r="F43" i="1"/>
  <c r="M42" i="1"/>
  <c r="O42" i="1" s="1"/>
  <c r="H42" i="1"/>
  <c r="F42" i="1"/>
  <c r="P41" i="1"/>
  <c r="L41" i="1"/>
  <c r="E41" i="1"/>
  <c r="D41" i="1"/>
  <c r="M40" i="1"/>
  <c r="O40" i="1" s="1"/>
  <c r="H40" i="1"/>
  <c r="H38" i="1" s="1"/>
  <c r="F40" i="1"/>
  <c r="F38" i="1" s="1"/>
  <c r="S38" i="1"/>
  <c r="P38" i="1"/>
  <c r="L38" i="1"/>
  <c r="K38" i="1"/>
  <c r="E38" i="1"/>
  <c r="D38" i="1"/>
  <c r="L37" i="1"/>
  <c r="M37" i="1" s="1"/>
  <c r="O37" i="1" s="1"/>
  <c r="H37" i="1"/>
  <c r="F37" i="1"/>
  <c r="L36" i="1"/>
  <c r="M36" i="1" s="1"/>
  <c r="H36" i="1"/>
  <c r="F36" i="1"/>
  <c r="L35" i="1"/>
  <c r="M35" i="1" s="1"/>
  <c r="H35" i="1"/>
  <c r="F35" i="1"/>
  <c r="L34" i="1"/>
  <c r="M34" i="1" s="1"/>
  <c r="H34" i="1"/>
  <c r="F34" i="1"/>
  <c r="L33" i="1"/>
  <c r="H33" i="1"/>
  <c r="F33" i="1"/>
  <c r="Q32" i="1"/>
  <c r="T32" i="1" s="1"/>
  <c r="K32" i="1"/>
  <c r="E32" i="1"/>
  <c r="D32" i="1"/>
  <c r="M30" i="1"/>
  <c r="O30" i="1" s="1"/>
  <c r="H30" i="1"/>
  <c r="F30" i="1"/>
  <c r="M28" i="1"/>
  <c r="O28" i="1" s="1"/>
  <c r="H28" i="1"/>
  <c r="F28" i="1"/>
  <c r="M27" i="1"/>
  <c r="O27" i="1" s="1"/>
  <c r="H27" i="1"/>
  <c r="F27" i="1"/>
  <c r="M26" i="1"/>
  <c r="O26" i="1" s="1"/>
  <c r="H26" i="1"/>
  <c r="F26" i="1"/>
  <c r="M25" i="1"/>
  <c r="O25" i="1" s="1"/>
  <c r="H25" i="1"/>
  <c r="F25" i="1"/>
  <c r="T24" i="1"/>
  <c r="P24" i="1"/>
  <c r="L24" i="1"/>
  <c r="K24" i="1"/>
  <c r="I24" i="1"/>
  <c r="I23" i="1" s="1"/>
  <c r="E24" i="1"/>
  <c r="D24" i="1"/>
  <c r="M41" i="1" l="1"/>
  <c r="F130" i="1"/>
  <c r="T48" i="1"/>
  <c r="T38" i="1"/>
  <c r="R82" i="1"/>
  <c r="T41" i="1"/>
  <c r="S41" i="1"/>
  <c r="S23" i="1" s="1"/>
  <c r="G131" i="1"/>
  <c r="J36" i="1"/>
  <c r="N36" i="1" s="1"/>
  <c r="D55" i="1"/>
  <c r="H41" i="1"/>
  <c r="J59" i="1"/>
  <c r="N59" i="1" s="1"/>
  <c r="J66" i="1"/>
  <c r="N66" i="1" s="1"/>
  <c r="K85" i="1"/>
  <c r="M85" i="1" s="1"/>
  <c r="L32" i="1"/>
  <c r="L23" i="1" s="1"/>
  <c r="F41" i="1"/>
  <c r="E23" i="1"/>
  <c r="E55" i="1"/>
  <c r="J63" i="1"/>
  <c r="N63" i="1" s="1"/>
  <c r="J68" i="1"/>
  <c r="N68" i="1" s="1"/>
  <c r="J86" i="1"/>
  <c r="N86" i="1" s="1"/>
  <c r="F32" i="1"/>
  <c r="J34" i="1"/>
  <c r="N34" i="1" s="1"/>
  <c r="M48" i="1"/>
  <c r="H56" i="1"/>
  <c r="J25" i="1"/>
  <c r="N25" i="1" s="1"/>
  <c r="J26" i="1"/>
  <c r="N26" i="1" s="1"/>
  <c r="J30" i="1"/>
  <c r="N30" i="1" s="1"/>
  <c r="O41" i="1"/>
  <c r="J43" i="1"/>
  <c r="N43" i="1" s="1"/>
  <c r="J44" i="1"/>
  <c r="N44" i="1" s="1"/>
  <c r="J46" i="1"/>
  <c r="N46" i="1" s="1"/>
  <c r="J54" i="1"/>
  <c r="N54" i="1" s="1"/>
  <c r="J61" i="1"/>
  <c r="N61" i="1" s="1"/>
  <c r="M77" i="1"/>
  <c r="J81" i="1"/>
  <c r="N81" i="1" s="1"/>
  <c r="F24" i="1"/>
  <c r="J47" i="1"/>
  <c r="N47" i="1" s="1"/>
  <c r="J49" i="1"/>
  <c r="N49" i="1" s="1"/>
  <c r="J69" i="1"/>
  <c r="N69" i="1" s="1"/>
  <c r="P58" i="1"/>
  <c r="O58" i="1"/>
  <c r="P60" i="1"/>
  <c r="O60" i="1"/>
  <c r="M86" i="1"/>
  <c r="P86" i="1" s="1"/>
  <c r="K23" i="1"/>
  <c r="O24" i="1"/>
  <c r="J27" i="1"/>
  <c r="N27" i="1" s="1"/>
  <c r="J28" i="1"/>
  <c r="N28" i="1" s="1"/>
  <c r="H32" i="1"/>
  <c r="Q23" i="1"/>
  <c r="J33" i="1"/>
  <c r="N33" i="1" s="1"/>
  <c r="J35" i="1"/>
  <c r="N35" i="1" s="1"/>
  <c r="J37" i="1"/>
  <c r="N37" i="1" s="1"/>
  <c r="D23" i="1"/>
  <c r="M38" i="1"/>
  <c r="O38" i="1" s="1"/>
  <c r="J42" i="1"/>
  <c r="J45" i="1"/>
  <c r="N45" i="1" s="1"/>
  <c r="H48" i="1"/>
  <c r="F48" i="1"/>
  <c r="J50" i="1"/>
  <c r="N50" i="1" s="1"/>
  <c r="J51" i="1"/>
  <c r="N51" i="1" s="1"/>
  <c r="L56" i="1"/>
  <c r="L55" i="1" s="1"/>
  <c r="O57" i="1"/>
  <c r="J58" i="1"/>
  <c r="N58" i="1" s="1"/>
  <c r="O59" i="1"/>
  <c r="J60" i="1"/>
  <c r="N60" i="1" s="1"/>
  <c r="J62" i="1"/>
  <c r="N62" i="1" s="1"/>
  <c r="J64" i="1"/>
  <c r="N64" i="1" s="1"/>
  <c r="J67" i="1"/>
  <c r="N67" i="1" s="1"/>
  <c r="J65" i="1"/>
  <c r="N65" i="1" s="1"/>
  <c r="J76" i="1"/>
  <c r="N76" i="1" s="1"/>
  <c r="H77" i="1"/>
  <c r="O77" i="1"/>
  <c r="G132" i="1"/>
  <c r="I132" i="1"/>
  <c r="O36" i="1"/>
  <c r="P36" i="1"/>
  <c r="O34" i="1"/>
  <c r="P34" i="1"/>
  <c r="O48" i="1"/>
  <c r="O35" i="1"/>
  <c r="P35" i="1"/>
  <c r="H24" i="1"/>
  <c r="M33" i="1"/>
  <c r="J40" i="1"/>
  <c r="J57" i="1"/>
  <c r="M47" i="1"/>
  <c r="O47" i="1" s="1"/>
  <c r="K55" i="1"/>
  <c r="F56" i="1"/>
  <c r="F55" i="1" s="1"/>
  <c r="I131" i="1"/>
  <c r="M24" i="1"/>
  <c r="T23" i="1" l="1"/>
  <c r="Q82" i="1"/>
  <c r="R83" i="1"/>
  <c r="S83" i="1" s="1"/>
  <c r="D82" i="1"/>
  <c r="D85" i="1" s="1"/>
  <c r="D130" i="1" s="1"/>
  <c r="D132" i="1"/>
  <c r="P56" i="1"/>
  <c r="P55" i="1" s="1"/>
  <c r="N32" i="1"/>
  <c r="H55" i="1"/>
  <c r="M55" i="1"/>
  <c r="O55" i="1" s="1"/>
  <c r="M56" i="1"/>
  <c r="O56" i="1" s="1"/>
  <c r="E82" i="1"/>
  <c r="E85" i="1" s="1"/>
  <c r="F23" i="1"/>
  <c r="F82" i="1" s="1"/>
  <c r="F85" i="1" s="1"/>
  <c r="L82" i="1"/>
  <c r="N48" i="1"/>
  <c r="O86" i="1"/>
  <c r="H23" i="1"/>
  <c r="J41" i="1"/>
  <c r="N24" i="1"/>
  <c r="N42" i="1"/>
  <c r="N77" i="1"/>
  <c r="J24" i="1"/>
  <c r="J48" i="1"/>
  <c r="J32" i="1"/>
  <c r="J77" i="1"/>
  <c r="O33" i="1"/>
  <c r="O32" i="1" s="1"/>
  <c r="O23" i="1" s="1"/>
  <c r="P33" i="1"/>
  <c r="P32" i="1" s="1"/>
  <c r="P23" i="1" s="1"/>
  <c r="M32" i="1"/>
  <c r="M23" i="1" s="1"/>
  <c r="P85" i="1"/>
  <c r="N57" i="1"/>
  <c r="J56" i="1"/>
  <c r="K82" i="1"/>
  <c r="K83" i="1" s="1"/>
  <c r="M83" i="1" s="1"/>
  <c r="O83" i="1" s="1"/>
  <c r="N40" i="1"/>
  <c r="J38" i="1"/>
  <c r="Q85" i="1" l="1"/>
  <c r="Q96" i="1" s="1"/>
  <c r="S82" i="1"/>
  <c r="T82" i="1"/>
  <c r="P82" i="1"/>
  <c r="P83" i="1" s="1"/>
  <c r="N23" i="1"/>
  <c r="N82" i="1" s="1"/>
  <c r="O82" i="1"/>
  <c r="M82" i="1"/>
  <c r="H82" i="1"/>
  <c r="H85" i="1" s="1"/>
  <c r="J23" i="1"/>
  <c r="E132" i="1"/>
  <c r="E130" i="1"/>
  <c r="J55" i="1"/>
  <c r="O85" i="1"/>
  <c r="T85" i="1" l="1"/>
  <c r="T96" i="1"/>
  <c r="S96" i="1"/>
  <c r="S85" i="1"/>
  <c r="J82" i="1"/>
  <c r="J85" i="1"/>
</calcChain>
</file>

<file path=xl/sharedStrings.xml><?xml version="1.0" encoding="utf-8"?>
<sst xmlns="http://schemas.openxmlformats.org/spreadsheetml/2006/main" count="240" uniqueCount="151">
  <si>
    <t xml:space="preserve">№ пп </t>
  </si>
  <si>
    <t>приказ №133-ОД от 24.06.2016,        с 01.08.2016г</t>
  </si>
  <si>
    <t>приказ №133-ОД от 24.06.2016,        с 01.08.2017г</t>
  </si>
  <si>
    <t>приказ №133-ОД от 24.06.2016,        с 01.08.2016г (январь-июль)</t>
  </si>
  <si>
    <t>приказ №133-ОД от 24.06.2016,        с 01.08.2017г  (август-декабрь)</t>
  </si>
  <si>
    <t xml:space="preserve">ТС на 2017 год ПЛАН </t>
  </si>
  <si>
    <t xml:space="preserve">Факт за 8 мес.2017 год , </t>
  </si>
  <si>
    <t>Факт прогнозный  на 4 мес</t>
  </si>
  <si>
    <t>ФАКТ за 12 мес.2017г</t>
  </si>
  <si>
    <t>отклонение (гр8-гр11)</t>
  </si>
  <si>
    <t>отклонение , +/-  (гр12-гр8)</t>
  </si>
  <si>
    <t>Корректировка Проект ТС  на 2017год 1</t>
  </si>
  <si>
    <t>I</t>
  </si>
  <si>
    <t xml:space="preserve">тыс.тенге </t>
  </si>
  <si>
    <t>Материальные затраты, всего 
в том числе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</si>
  <si>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</si>
  <si>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</si>
  <si>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</si>
  <si>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</si>
  <si>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</si>
  <si>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</si>
  <si>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</si>
  <si>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электроэнергия</t>
  </si>
  <si>
    <t>1.5</t>
  </si>
  <si>
    <t>ремонт автотранспорта (запасные части)</t>
  </si>
  <si>
    <t>2.1</t>
  </si>
  <si>
    <t>2.2</t>
  </si>
  <si>
    <t>социальный налог</t>
  </si>
  <si>
    <t>2.3</t>
  </si>
  <si>
    <t>2.4</t>
  </si>
  <si>
    <t xml:space="preserve">мед.страхование работника </t>
  </si>
  <si>
    <t>Амортизация</t>
  </si>
  <si>
    <t>Прочие затраты, всего 
в том числе</t>
  </si>
  <si>
    <t>дератизационные, дезинфекционные, дезинсекционные работы</t>
  </si>
  <si>
    <t xml:space="preserve">услуги связи </t>
  </si>
  <si>
    <t>охрана труда и техника безопасности</t>
  </si>
  <si>
    <t>Обязательные виды страхования</t>
  </si>
  <si>
    <t xml:space="preserve"> </t>
  </si>
  <si>
    <t>командировочные расходы</t>
  </si>
  <si>
    <t>канцелярские товары</t>
  </si>
  <si>
    <t xml:space="preserve">услуги автотранспорта </t>
  </si>
  <si>
    <t>II</t>
  </si>
  <si>
    <t>заработная плата административного персонала</t>
  </si>
  <si>
    <t>социальные отчисления</t>
  </si>
  <si>
    <t>услуги банка</t>
  </si>
  <si>
    <t>аудиторские услуги</t>
  </si>
  <si>
    <t>услуги связи</t>
  </si>
  <si>
    <t>налоги на имущество</t>
  </si>
  <si>
    <t xml:space="preserve">плата за эмиссию в окружающую среду </t>
  </si>
  <si>
    <t xml:space="preserve">налог на транспорт </t>
  </si>
  <si>
    <t>налог земельный</t>
  </si>
  <si>
    <t>плата за использование водными ресурсами</t>
  </si>
  <si>
    <t>амортизация</t>
  </si>
  <si>
    <t xml:space="preserve">ГСМ </t>
  </si>
  <si>
    <t>налог на добычу полезных ископаемых</t>
  </si>
  <si>
    <t xml:space="preserve">запчасти </t>
  </si>
  <si>
    <t xml:space="preserve">текущий ремонт здания АУП, материалы </t>
  </si>
  <si>
    <t xml:space="preserve">прочие услуги </t>
  </si>
  <si>
    <t>III</t>
  </si>
  <si>
    <t>IV</t>
  </si>
  <si>
    <t>V</t>
  </si>
  <si>
    <t>Необоснованно полученный доход (по итогам 2014 года) с учетом ставки рефинансирования в 5,5%</t>
  </si>
  <si>
    <t>VI</t>
  </si>
  <si>
    <t>Всего доходов</t>
  </si>
  <si>
    <t>VII</t>
  </si>
  <si>
    <t>Объем оказываемых услуг</t>
  </si>
  <si>
    <t>тыс/м3</t>
  </si>
  <si>
    <t>отделение "Куртинское водохранилище"</t>
  </si>
  <si>
    <t>VIII</t>
  </si>
  <si>
    <t xml:space="preserve">Нормативные потери </t>
  </si>
  <si>
    <t>%</t>
  </si>
  <si>
    <t xml:space="preserve">отделение "Большой Алматинский канал" и Шелекское отделение </t>
  </si>
  <si>
    <t>IX</t>
  </si>
  <si>
    <t xml:space="preserve">Тариф (без НДС) </t>
  </si>
  <si>
    <t>тенге/м3</t>
  </si>
  <si>
    <t>Среднесписочная численность работников, всего</t>
  </si>
  <si>
    <t xml:space="preserve">человек </t>
  </si>
  <si>
    <t>9*1</t>
  </si>
  <si>
    <t xml:space="preserve">производственного персонала </t>
  </si>
  <si>
    <t>9*2</t>
  </si>
  <si>
    <t xml:space="preserve">административного персонала </t>
  </si>
  <si>
    <t>Среднемесячная з/плата всего, в т.ч.</t>
  </si>
  <si>
    <t>10*1</t>
  </si>
  <si>
    <t>10*2</t>
  </si>
  <si>
    <t xml:space="preserve">ТС на 2017 год </t>
  </si>
  <si>
    <t xml:space="preserve">всего доходов </t>
  </si>
  <si>
    <t xml:space="preserve">объем оказанных услуг </t>
  </si>
  <si>
    <t xml:space="preserve">тариф </t>
  </si>
  <si>
    <t xml:space="preserve"> фактч. объем за 2017 год: </t>
  </si>
  <si>
    <t>7 месяцев:</t>
  </si>
  <si>
    <t>5 месяцев:</t>
  </si>
  <si>
    <t>Приложение 1</t>
  </si>
  <si>
    <t xml:space="preserve">к Правилам утверждения </t>
  </si>
  <si>
    <t>предельного уровня тарифов</t>
  </si>
  <si>
    <t>(цен, ставок сборов) и тарифных смет</t>
  </si>
  <si>
    <t>на регулируемые услуги (товары, работы)</t>
  </si>
  <si>
    <t>субъектов естественных монополий</t>
  </si>
  <si>
    <t>Затраты на производство товаров и предоставление услуг, всего в том числе</t>
  </si>
  <si>
    <t xml:space="preserve">другие затраты (услуги СТО) </t>
  </si>
  <si>
    <t xml:space="preserve">канцелярские товары  </t>
  </si>
  <si>
    <t xml:space="preserve">наименование показателей </t>
  </si>
  <si>
    <t>единица измерения</t>
  </si>
  <si>
    <t>Расходы на оплату труда, всего 
в том числе</t>
  </si>
  <si>
    <t>заработная плата производственного  персонала</t>
  </si>
  <si>
    <t>Ремонт, всего,  в том числе</t>
  </si>
  <si>
    <t xml:space="preserve">Другие затраты , всего , в том числе </t>
  </si>
  <si>
    <t xml:space="preserve">Расходы периода, всего, в том числе </t>
  </si>
  <si>
    <t>Общие и административные расходы, всего, в том числе:</t>
  </si>
  <si>
    <t>Другие расходы, всего, в том числе</t>
  </si>
  <si>
    <t>услуги лаборатории по электроэнергии</t>
  </si>
  <si>
    <t xml:space="preserve">Всего затрат на предоставления услуг </t>
  </si>
  <si>
    <t>Прибыль/Убыток</t>
  </si>
  <si>
    <t>ОТЧЁТ ОБ ИСПОЛНЕНИИ ТАРИФНОЙ СМЕТЫ</t>
  </si>
  <si>
    <t>Индекс ИТС-1</t>
  </si>
  <si>
    <t>Куда представляется форма: Комитет по регулированию естественных монополий, защите конкуренции и прав потребителей МНЭ РК</t>
  </si>
  <si>
    <t xml:space="preserve">Представляет: филиал Большого Алматинского канала им.Д.Кунаева  РГП "Казводхоз" </t>
  </si>
  <si>
    <t xml:space="preserve">Принято в действующей тарифной смете </t>
  </si>
  <si>
    <t xml:space="preserve">Отклонение </t>
  </si>
  <si>
    <t>тыс.тенге</t>
  </si>
  <si>
    <t>Наименование организации</t>
  </si>
  <si>
    <t>Адрес</t>
  </si>
  <si>
    <t>Телефон</t>
  </si>
  <si>
    <t>Адрес электронной почты</t>
  </si>
  <si>
    <t>Фамилия и телефон исполнителя</t>
  </si>
  <si>
    <t>Дата "____" ___________2018 года</t>
  </si>
  <si>
    <t>М.П.</t>
  </si>
  <si>
    <t xml:space="preserve">Филиал «Большого Алматинского канала им. Д.Кунаева» РГП «Казводхоз» </t>
  </si>
  <si>
    <t>8-727 - 371 80 01</t>
  </si>
  <si>
    <t>rgpbak20061@rambler.ru</t>
  </si>
  <si>
    <t xml:space="preserve">Байсалакова А.К.  8-727-371 80 08 </t>
  </si>
  <si>
    <t xml:space="preserve">Директор филиала </t>
  </si>
  <si>
    <t>С.Кудайбергенов  ___________________</t>
  </si>
  <si>
    <t xml:space="preserve">Алматинская область, г.Талгар , ул.Промышленная, 8 </t>
  </si>
  <si>
    <t>на услуги водохозяйственной системы: "Подача воды по рапределительным сетям"</t>
  </si>
  <si>
    <t>1.6</t>
  </si>
  <si>
    <t xml:space="preserve"> текущий ремонт</t>
  </si>
  <si>
    <t xml:space="preserve">прочие затраты </t>
  </si>
  <si>
    <t xml:space="preserve">Хим. реагенты </t>
  </si>
  <si>
    <t xml:space="preserve">обучение персонала </t>
  </si>
  <si>
    <t>Отчётный период: 1-ое полугодие 2018 год</t>
  </si>
  <si>
    <t xml:space="preserve">Периодичность: 1-ое полугодие </t>
  </si>
  <si>
    <t>1.7</t>
  </si>
  <si>
    <t xml:space="preserve">прочие материалы </t>
  </si>
  <si>
    <t xml:space="preserve">капитальный ремонт, не приводящий к увеличению стоимости основных средств </t>
  </si>
  <si>
    <t xml:space="preserve">налоги и платежи  в бюджет </t>
  </si>
  <si>
    <t xml:space="preserve">аренда автотранспорта </t>
  </si>
  <si>
    <t xml:space="preserve">роялти </t>
  </si>
  <si>
    <t xml:space="preserve">Тургеньский групповой водопровод </t>
  </si>
  <si>
    <t xml:space="preserve">Базойский групповой водопровод </t>
  </si>
  <si>
    <t xml:space="preserve">Талгарский групповой водопровод </t>
  </si>
  <si>
    <t xml:space="preserve">Фактические показатели за 1-ое полугодие  2018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</si>
</sst>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89">
    <xf numFmtId="0" fontId="0" fillId="0" borderId="0" xfId="0"/>
    <xf numFmtId="4" fontId="8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4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right"/>
    </xf>
    <xf numFmtId="0" fontId="5" fillId="2" borderId="0" xfId="2" applyFont="1" applyFill="1" applyAlignment="1" applyProtection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top"/>
    </xf>
    <xf numFmtId="1" fontId="8" fillId="2" borderId="1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/>
    </xf>
    <xf numFmtId="2" fontId="7" fillId="2" borderId="2" xfId="1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2" fontId="7" fillId="2" borderId="2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2" fontId="11" fillId="2" borderId="2" xfId="1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top"/>
    </xf>
    <xf numFmtId="2" fontId="7" fillId="2" borderId="0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top"/>
    </xf>
    <xf numFmtId="4" fontId="6" fillId="2" borderId="0" xfId="0" applyNumberFormat="1" applyFont="1" applyFill="1" applyBorder="1" applyAlignment="1">
      <alignment horizontal="center" vertical="top"/>
    </xf>
    <xf numFmtId="2" fontId="11" fillId="2" borderId="0" xfId="1" applyNumberFormat="1" applyFont="1" applyFill="1" applyBorder="1" applyAlignment="1">
      <alignment horizontal="left" vertical="center" wrapText="1"/>
    </xf>
    <xf numFmtId="4" fontId="12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top"/>
    </xf>
    <xf numFmtId="4" fontId="12" fillId="2" borderId="0" xfId="0" applyNumberFormat="1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13" fillId="2" borderId="0" xfId="0" applyNumberFormat="1" applyFont="1" applyFill="1" applyBorder="1" applyAlignment="1">
      <alignment horizontal="right" vertical="top"/>
    </xf>
    <xf numFmtId="4" fontId="12" fillId="2" borderId="0" xfId="0" applyNumberFormat="1" applyFont="1" applyFill="1" applyBorder="1" applyAlignment="1">
      <alignment horizontal="right" vertical="top"/>
    </xf>
    <xf numFmtId="166" fontId="3" fillId="2" borderId="0" xfId="0" applyNumberFormat="1" applyFont="1" applyFill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7" fillId="2" borderId="0" xfId="3" applyFont="1" applyFill="1" applyAlignment="1">
      <alignment horizontal="center" vertical="center" wrapText="1"/>
    </xf>
    <xf numFmtId="0" fontId="6" fillId="0" borderId="0" xfId="0" applyFont="1" applyFill="1"/>
    <xf numFmtId="0" fontId="8" fillId="0" borderId="0" xfId="0" applyFont="1"/>
    <xf numFmtId="0" fontId="6" fillId="0" borderId="0" xfId="0" applyFont="1" applyAlignment="1"/>
    <xf numFmtId="0" fontId="8" fillId="2" borderId="0" xfId="3" applyFont="1" applyFill="1"/>
    <xf numFmtId="0" fontId="3" fillId="2" borderId="0" xfId="0" applyFont="1" applyFill="1"/>
    <xf numFmtId="0" fontId="15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" fontId="17" fillId="2" borderId="0" xfId="0" applyNumberFormat="1" applyFont="1" applyFill="1"/>
    <xf numFmtId="0" fontId="2" fillId="2" borderId="0" xfId="2" applyFill="1" applyAlignment="1" applyProtection="1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2" fontId="11" fillId="2" borderId="3" xfId="1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2" fontId="11" fillId="2" borderId="3" xfId="1" applyNumberFormat="1" applyFont="1" applyFill="1" applyBorder="1" applyAlignment="1">
      <alignment vertical="center" wrapText="1"/>
    </xf>
    <xf numFmtId="2" fontId="11" fillId="2" borderId="2" xfId="1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top" wrapText="1"/>
    </xf>
    <xf numFmtId="2" fontId="7" fillId="2" borderId="3" xfId="1" applyNumberFormat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4">
    <cellStyle name="Гиперссылка" xfId="2" builtinId="8"/>
    <cellStyle name="Обычный" xfId="0" builtinId="0"/>
    <cellStyle name="Обычный 11 6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gpbak20061@rambler.ru" TargetMode="External"/><Relationship Id="rId1" Type="http://schemas.openxmlformats.org/officeDocument/2006/relationships/hyperlink" Target="jl:1039135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tabSelected="1" view="pageBreakPreview" topLeftCell="A10" zoomScale="80" zoomScaleNormal="80" zoomScaleSheetLayoutView="80" workbookViewId="0">
      <selection activeCell="A17" sqref="A17:S17"/>
    </sheetView>
  </sheetViews>
  <sheetFormatPr defaultRowHeight="15.75" x14ac:dyDescent="0.25"/>
  <cols>
    <col min="1" max="1" width="7.140625" style="5" customWidth="1"/>
    <col min="2" max="2" width="39.5703125" style="5" customWidth="1"/>
    <col min="3" max="3" width="12.7109375" style="5" customWidth="1"/>
    <col min="4" max="4" width="10.140625" style="5" hidden="1" customWidth="1"/>
    <col min="5" max="5" width="10.28515625" style="5" hidden="1" customWidth="1"/>
    <col min="6" max="6" width="10.140625" style="5" hidden="1" customWidth="1"/>
    <col min="7" max="7" width="6.42578125" style="5" hidden="1" customWidth="1"/>
    <col min="8" max="8" width="10.28515625" style="5" hidden="1" customWidth="1"/>
    <col min="9" max="9" width="6" style="5" hidden="1" customWidth="1"/>
    <col min="10" max="10" width="11.28515625" style="5" hidden="1" customWidth="1"/>
    <col min="11" max="13" width="10.42578125" style="6" hidden="1" customWidth="1"/>
    <col min="14" max="15" width="10.85546875" style="6" hidden="1" customWidth="1"/>
    <col min="16" max="16" width="11.42578125" style="5" hidden="1" customWidth="1"/>
    <col min="17" max="17" width="18.140625" style="5" customWidth="1"/>
    <col min="18" max="18" width="17.5703125" style="5" customWidth="1"/>
    <col min="19" max="19" width="12.85546875" style="5" customWidth="1"/>
    <col min="20" max="20" width="10" style="7" customWidth="1"/>
    <col min="21" max="21" width="37.42578125" style="5" customWidth="1"/>
    <col min="22" max="16384" width="9.140625" style="5"/>
  </cols>
  <sheetData>
    <row r="1" spans="1:20" x14ac:dyDescent="0.25">
      <c r="T1" s="8" t="s">
        <v>91</v>
      </c>
    </row>
    <row r="2" spans="1:20" x14ac:dyDescent="0.25">
      <c r="T2" s="9" t="s">
        <v>92</v>
      </c>
    </row>
    <row r="3" spans="1:20" x14ac:dyDescent="0.25">
      <c r="T3" s="9" t="s">
        <v>93</v>
      </c>
    </row>
    <row r="4" spans="1:20" x14ac:dyDescent="0.25">
      <c r="T4" s="8" t="s">
        <v>94</v>
      </c>
    </row>
    <row r="5" spans="1:20" x14ac:dyDescent="0.25">
      <c r="T5" s="8" t="s">
        <v>95</v>
      </c>
    </row>
    <row r="6" spans="1:20" x14ac:dyDescent="0.25">
      <c r="T6" s="8" t="s">
        <v>96</v>
      </c>
    </row>
    <row r="11" spans="1:20" x14ac:dyDescent="0.25">
      <c r="A11" s="55" t="s">
        <v>112</v>
      </c>
      <c r="B11" s="55"/>
      <c r="C11" s="55"/>
      <c r="D11" s="55"/>
      <c r="E11" s="55"/>
      <c r="F11" s="55"/>
      <c r="G11" s="56"/>
      <c r="H11" s="57"/>
      <c r="I11" s="58"/>
      <c r="J11" s="58"/>
    </row>
    <row r="12" spans="1:20" x14ac:dyDescent="0.25">
      <c r="A12" s="55" t="s">
        <v>133</v>
      </c>
      <c r="B12" s="55"/>
      <c r="C12" s="55"/>
      <c r="D12" s="55"/>
      <c r="E12" s="55"/>
      <c r="F12" s="55"/>
      <c r="G12" s="56"/>
      <c r="H12" s="57"/>
      <c r="I12" s="58"/>
      <c r="J12" s="58"/>
    </row>
    <row r="13" spans="1:20" x14ac:dyDescent="0.25">
      <c r="A13" s="55" t="s">
        <v>139</v>
      </c>
      <c r="B13" s="55"/>
      <c r="C13" s="55"/>
      <c r="D13" s="55"/>
      <c r="E13" s="55"/>
      <c r="F13" s="55"/>
      <c r="G13" s="56"/>
      <c r="H13" s="57"/>
      <c r="I13" s="58"/>
      <c r="J13" s="58"/>
    </row>
    <row r="14" spans="1:20" x14ac:dyDescent="0.25">
      <c r="A14" s="59" t="s">
        <v>113</v>
      </c>
      <c r="B14" s="59"/>
      <c r="C14" s="55"/>
      <c r="D14" s="55"/>
      <c r="E14" s="55"/>
      <c r="F14" s="55"/>
      <c r="G14" s="56"/>
      <c r="H14" s="57"/>
      <c r="I14" s="58"/>
      <c r="J14" s="58"/>
    </row>
    <row r="15" spans="1:20" x14ac:dyDescent="0.25">
      <c r="A15" s="55" t="s">
        <v>140</v>
      </c>
      <c r="B15" s="55"/>
      <c r="C15" s="55"/>
      <c r="D15" s="55"/>
      <c r="E15" s="55"/>
      <c r="F15" s="55"/>
      <c r="G15" s="56"/>
      <c r="H15" s="57"/>
      <c r="I15" s="58"/>
      <c r="J15" s="58"/>
    </row>
    <row r="16" spans="1:20" ht="15.75" customHeight="1" x14ac:dyDescent="0.25">
      <c r="A16" s="83" t="s">
        <v>115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20" ht="33.75" customHeight="1" x14ac:dyDescent="0.25">
      <c r="A17" s="88" t="s">
        <v>114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9" spans="1:20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</row>
    <row r="20" spans="1:20" s="6" customFormat="1" ht="60.75" customHeight="1" x14ac:dyDescent="0.25">
      <c r="A20" s="84" t="s">
        <v>0</v>
      </c>
      <c r="B20" s="84" t="s">
        <v>100</v>
      </c>
      <c r="C20" s="84" t="s">
        <v>101</v>
      </c>
      <c r="D20" s="10" t="s">
        <v>1</v>
      </c>
      <c r="E20" s="10" t="s">
        <v>2</v>
      </c>
      <c r="F20" s="10" t="s">
        <v>3</v>
      </c>
      <c r="G20" s="10"/>
      <c r="H20" s="10" t="s">
        <v>4</v>
      </c>
      <c r="I20" s="10"/>
      <c r="J20" s="10" t="s">
        <v>5</v>
      </c>
      <c r="K20" s="10" t="s">
        <v>6</v>
      </c>
      <c r="L20" s="10" t="s">
        <v>7</v>
      </c>
      <c r="M20" s="10" t="s">
        <v>8</v>
      </c>
      <c r="N20" s="10" t="s">
        <v>9</v>
      </c>
      <c r="O20" s="10" t="s">
        <v>10</v>
      </c>
      <c r="P20" s="10" t="s">
        <v>11</v>
      </c>
      <c r="Q20" s="84" t="s">
        <v>116</v>
      </c>
      <c r="R20" s="84" t="s">
        <v>150</v>
      </c>
      <c r="S20" s="86" t="s">
        <v>117</v>
      </c>
      <c r="T20" s="87"/>
    </row>
    <row r="21" spans="1:20" s="6" customFormat="1" x14ac:dyDescent="0.25">
      <c r="A21" s="85"/>
      <c r="B21" s="85"/>
      <c r="C21" s="8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5"/>
      <c r="R21" s="85"/>
      <c r="S21" s="10" t="s">
        <v>118</v>
      </c>
      <c r="T21" s="11" t="s">
        <v>70</v>
      </c>
    </row>
    <row r="22" spans="1:20" s="13" customFormat="1" x14ac:dyDescent="0.25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/>
      <c r="H22" s="12">
        <v>7</v>
      </c>
      <c r="I22" s="12"/>
      <c r="J22" s="12">
        <v>8</v>
      </c>
      <c r="K22" s="12">
        <v>9</v>
      </c>
      <c r="L22" s="12">
        <v>10</v>
      </c>
      <c r="M22" s="12">
        <v>11</v>
      </c>
      <c r="N22" s="12">
        <v>12</v>
      </c>
      <c r="O22" s="12">
        <v>12</v>
      </c>
      <c r="P22" s="12">
        <v>13</v>
      </c>
      <c r="Q22" s="12">
        <v>4</v>
      </c>
      <c r="R22" s="12">
        <v>5</v>
      </c>
      <c r="S22" s="12">
        <v>6</v>
      </c>
      <c r="T22" s="12">
        <v>7</v>
      </c>
    </row>
    <row r="23" spans="1:20" ht="48.75" customHeight="1" x14ac:dyDescent="0.25">
      <c r="A23" s="14" t="s">
        <v>12</v>
      </c>
      <c r="B23" s="15" t="s">
        <v>97</v>
      </c>
      <c r="C23" s="14" t="s">
        <v>13</v>
      </c>
      <c r="D23" s="3">
        <f>D24+D32+D37+D38+D48+D41</f>
        <v>439827.81000000006</v>
      </c>
      <c r="E23" s="3">
        <f>E24+E32+E37+E38+E48+E41</f>
        <v>457435.72000000009</v>
      </c>
      <c r="F23" s="3">
        <f>F24+F32+F37+F38+F48+F41</f>
        <v>223300.57913700005</v>
      </c>
      <c r="G23" s="3"/>
      <c r="H23" s="3">
        <f t="shared" ref="H23:S23" si="0">H24+H32+H37+H38+H48+H41</f>
        <v>123461.90082799998</v>
      </c>
      <c r="I23" s="3">
        <f t="shared" si="0"/>
        <v>-730.1</v>
      </c>
      <c r="J23" s="3">
        <f t="shared" si="0"/>
        <v>346762.47996500006</v>
      </c>
      <c r="K23" s="3">
        <f t="shared" si="0"/>
        <v>77859.921000000002</v>
      </c>
      <c r="L23" s="3">
        <f t="shared" si="0"/>
        <v>31836.626666666667</v>
      </c>
      <c r="M23" s="3">
        <f t="shared" si="0"/>
        <v>109696.54766666665</v>
      </c>
      <c r="N23" s="3">
        <f t="shared" si="0"/>
        <v>-272513.71796899999</v>
      </c>
      <c r="O23" s="3">
        <f t="shared" si="0"/>
        <v>-347739.17233333335</v>
      </c>
      <c r="P23" s="3">
        <f t="shared" si="0"/>
        <v>352672.21888888895</v>
      </c>
      <c r="Q23" s="3">
        <f t="shared" si="0"/>
        <v>255966.68</v>
      </c>
      <c r="R23" s="3">
        <f t="shared" si="0"/>
        <v>47173.296000000002</v>
      </c>
      <c r="S23" s="3">
        <f t="shared" si="0"/>
        <v>-208635.03399999999</v>
      </c>
      <c r="T23" s="16">
        <f t="shared" ref="T23:T77" si="1">R23/Q23%</f>
        <v>18.429467460374141</v>
      </c>
    </row>
    <row r="24" spans="1:20" ht="31.5" x14ac:dyDescent="0.25">
      <c r="A24" s="17">
        <v>1</v>
      </c>
      <c r="B24" s="15" t="s">
        <v>14</v>
      </c>
      <c r="C24" s="14" t="s">
        <v>13</v>
      </c>
      <c r="D24" s="3">
        <f>SUM(D25:D30)</f>
        <v>17013.510000000002</v>
      </c>
      <c r="E24" s="3">
        <f t="shared" ref="E24:P24" si="2">SUM(E25:E30)</f>
        <v>18034.330000000002</v>
      </c>
      <c r="F24" s="3">
        <f t="shared" si="2"/>
        <v>8637.7590270000019</v>
      </c>
      <c r="G24" s="3"/>
      <c r="H24" s="3">
        <f t="shared" si="2"/>
        <v>4867.4656669999986</v>
      </c>
      <c r="I24" s="3">
        <f>SUM(I25:I30)</f>
        <v>-365.05</v>
      </c>
      <c r="J24" s="3">
        <f t="shared" si="2"/>
        <v>13505.224693999999</v>
      </c>
      <c r="K24" s="3">
        <f t="shared" si="2"/>
        <v>11768.413</v>
      </c>
      <c r="L24" s="3">
        <f t="shared" si="2"/>
        <v>4130</v>
      </c>
      <c r="M24" s="3">
        <f t="shared" si="2"/>
        <v>15898.412999999999</v>
      </c>
      <c r="N24" s="3">
        <f t="shared" si="2"/>
        <v>-1736.8116939999989</v>
      </c>
      <c r="O24" s="3">
        <f t="shared" si="2"/>
        <v>-2135.9169999999995</v>
      </c>
      <c r="P24" s="3">
        <f t="shared" si="2"/>
        <v>15898.410000000003</v>
      </c>
      <c r="Q24" s="3">
        <f>SUM(Q25:Q31)</f>
        <v>39711.259999999995</v>
      </c>
      <c r="R24" s="3">
        <f>SUM(R25:R30)</f>
        <v>5152.9290000000001</v>
      </c>
      <c r="S24" s="3">
        <f t="shared" ref="S24" si="3">SUM(S25:S30)</f>
        <v>-34399.981</v>
      </c>
      <c r="T24" s="16">
        <f t="shared" si="1"/>
        <v>12.975989681516026</v>
      </c>
    </row>
    <row r="25" spans="1:20" x14ac:dyDescent="0.25">
      <c r="A25" s="18" t="s">
        <v>15</v>
      </c>
      <c r="B25" s="19" t="s">
        <v>16</v>
      </c>
      <c r="C25" s="18" t="s">
        <v>13</v>
      </c>
      <c r="D25" s="2">
        <v>1896.68</v>
      </c>
      <c r="E25" s="2">
        <v>2010.48</v>
      </c>
      <c r="F25" s="2">
        <f>D25+D25*G25/100</f>
        <v>962.944436</v>
      </c>
      <c r="G25" s="2">
        <v>-49.23</v>
      </c>
      <c r="H25" s="2">
        <f>E25+E25*I25/100</f>
        <v>542.6285519999999</v>
      </c>
      <c r="I25" s="2">
        <v>-73.010000000000005</v>
      </c>
      <c r="J25" s="20">
        <f>H25+F25</f>
        <v>1505.5729879999999</v>
      </c>
      <c r="K25" s="20">
        <v>2230.502</v>
      </c>
      <c r="L25" s="20">
        <v>810</v>
      </c>
      <c r="M25" s="20">
        <f>L25+K25</f>
        <v>3040.502</v>
      </c>
      <c r="N25" s="20">
        <f>K25-J25</f>
        <v>724.92901200000006</v>
      </c>
      <c r="O25" s="20">
        <f>M25-E25</f>
        <v>1030.0219999999999</v>
      </c>
      <c r="P25" s="2">
        <v>3040.5</v>
      </c>
      <c r="Q25" s="20">
        <v>1209.3599999999999</v>
      </c>
      <c r="R25" s="25">
        <f>176.955+260.054</f>
        <v>437.00900000000001</v>
      </c>
      <c r="S25" s="25">
        <f>R25-Q25</f>
        <v>-772.35099999999989</v>
      </c>
      <c r="T25" s="21">
        <f t="shared" si="1"/>
        <v>36.135559304094734</v>
      </c>
    </row>
    <row r="26" spans="1:20" x14ac:dyDescent="0.25">
      <c r="A26" s="18" t="s">
        <v>17</v>
      </c>
      <c r="B26" s="19" t="s">
        <v>18</v>
      </c>
      <c r="C26" s="18" t="s">
        <v>13</v>
      </c>
      <c r="D26" s="2">
        <v>10039.68</v>
      </c>
      <c r="E26" s="2">
        <v>10642.06</v>
      </c>
      <c r="F26" s="2">
        <f t="shared" ref="F26:F30" si="4">D26+D26*G26/100</f>
        <v>5097.1455360000009</v>
      </c>
      <c r="G26" s="2">
        <v>-49.23</v>
      </c>
      <c r="H26" s="2">
        <f t="shared" ref="H26:H30" si="5">E26+E26*I26/100</f>
        <v>2872.2919939999983</v>
      </c>
      <c r="I26" s="2">
        <v>-73.010000000000005</v>
      </c>
      <c r="J26" s="20">
        <f t="shared" ref="J26:J30" si="6">H26+F26</f>
        <v>7969.4375299999992</v>
      </c>
      <c r="K26" s="20">
        <v>5093.9690000000001</v>
      </c>
      <c r="L26" s="20">
        <v>1750</v>
      </c>
      <c r="M26" s="20">
        <f t="shared" ref="M26:M86" si="7">L26+K26</f>
        <v>6843.9690000000001</v>
      </c>
      <c r="N26" s="20">
        <f t="shared" ref="N26:N54" si="8">K26-J26</f>
        <v>-2875.4685299999992</v>
      </c>
      <c r="O26" s="20">
        <f t="shared" ref="O26:O30" si="9">M26-E26</f>
        <v>-3798.0909999999994</v>
      </c>
      <c r="P26" s="2">
        <v>6843.97</v>
      </c>
      <c r="Q26" s="2">
        <v>2694.19</v>
      </c>
      <c r="R26" s="1">
        <f>1304.26+174.021+74.246</f>
        <v>1552.527</v>
      </c>
      <c r="S26" s="25">
        <f t="shared" ref="S26:S81" si="10">R26-Q26</f>
        <v>-1141.663</v>
      </c>
      <c r="T26" s="21">
        <f t="shared" si="1"/>
        <v>57.625000463961342</v>
      </c>
    </row>
    <row r="27" spans="1:20" x14ac:dyDescent="0.25">
      <c r="A27" s="18" t="s">
        <v>19</v>
      </c>
      <c r="B27" s="19" t="s">
        <v>20</v>
      </c>
      <c r="C27" s="18" t="s">
        <v>13</v>
      </c>
      <c r="D27" s="2">
        <v>1878.87</v>
      </c>
      <c r="E27" s="2">
        <v>1991.61</v>
      </c>
      <c r="F27" s="2">
        <f t="shared" si="4"/>
        <v>953.90229899999997</v>
      </c>
      <c r="G27" s="2">
        <v>-49.23</v>
      </c>
      <c r="H27" s="2">
        <f t="shared" si="5"/>
        <v>537.53553899999997</v>
      </c>
      <c r="I27" s="2">
        <v>-73.010000000000005</v>
      </c>
      <c r="J27" s="20">
        <f t="shared" si="6"/>
        <v>1491.4378379999998</v>
      </c>
      <c r="K27" s="20">
        <v>468.541</v>
      </c>
      <c r="L27" s="20">
        <v>300</v>
      </c>
      <c r="M27" s="20">
        <f t="shared" si="7"/>
        <v>768.54099999999994</v>
      </c>
      <c r="N27" s="20">
        <f t="shared" si="8"/>
        <v>-1022.8968379999999</v>
      </c>
      <c r="O27" s="20">
        <f t="shared" si="9"/>
        <v>-1223.069</v>
      </c>
      <c r="P27" s="2">
        <v>768.54</v>
      </c>
      <c r="Q27" s="2">
        <v>411.36</v>
      </c>
      <c r="R27" s="1">
        <v>419.81400000000002</v>
      </c>
      <c r="S27" s="25">
        <f t="shared" si="10"/>
        <v>8.4540000000000077</v>
      </c>
      <c r="T27" s="21">
        <f t="shared" si="1"/>
        <v>102.05513418903151</v>
      </c>
    </row>
    <row r="28" spans="1:20" x14ac:dyDescent="0.25">
      <c r="A28" s="18" t="s">
        <v>21</v>
      </c>
      <c r="B28" s="19" t="s">
        <v>22</v>
      </c>
      <c r="C28" s="18" t="s">
        <v>13</v>
      </c>
      <c r="D28" s="2">
        <v>1198.28</v>
      </c>
      <c r="E28" s="2">
        <v>1270.18</v>
      </c>
      <c r="F28" s="2">
        <f t="shared" si="4"/>
        <v>608.36675600000001</v>
      </c>
      <c r="G28" s="2">
        <v>-49.23</v>
      </c>
      <c r="H28" s="2">
        <f t="shared" si="5"/>
        <v>342.82158199999992</v>
      </c>
      <c r="I28" s="2">
        <v>-73.010000000000005</v>
      </c>
      <c r="J28" s="20">
        <f t="shared" si="6"/>
        <v>951.18833799999993</v>
      </c>
      <c r="K28" s="20">
        <v>2227.0990000000002</v>
      </c>
      <c r="L28" s="20">
        <v>510</v>
      </c>
      <c r="M28" s="20">
        <f t="shared" si="7"/>
        <v>2737.0990000000002</v>
      </c>
      <c r="N28" s="20">
        <f t="shared" si="8"/>
        <v>1275.9106620000002</v>
      </c>
      <c r="O28" s="20">
        <f t="shared" si="9"/>
        <v>1466.9190000000001</v>
      </c>
      <c r="P28" s="2">
        <v>2737.1</v>
      </c>
      <c r="Q28" s="20">
        <v>33619.18</v>
      </c>
      <c r="R28" s="20">
        <v>2616.0169999999998</v>
      </c>
      <c r="S28" s="25">
        <f t="shared" si="10"/>
        <v>-31003.163</v>
      </c>
      <c r="T28" s="21">
        <f t="shared" si="1"/>
        <v>7.7813230423823541</v>
      </c>
    </row>
    <row r="29" spans="1:20" x14ac:dyDescent="0.25">
      <c r="A29" s="18" t="s">
        <v>23</v>
      </c>
      <c r="B29" s="19" t="s">
        <v>137</v>
      </c>
      <c r="C29" s="18" t="s">
        <v>13</v>
      </c>
      <c r="D29" s="2"/>
      <c r="E29" s="2"/>
      <c r="F29" s="2"/>
      <c r="G29" s="2"/>
      <c r="H29" s="2"/>
      <c r="I29" s="2"/>
      <c r="J29" s="20"/>
      <c r="K29" s="20"/>
      <c r="L29" s="20"/>
      <c r="M29" s="20"/>
      <c r="N29" s="20"/>
      <c r="O29" s="20"/>
      <c r="P29" s="2"/>
      <c r="Q29" s="2">
        <v>839.42</v>
      </c>
      <c r="R29" s="2">
        <f>48.545+25</f>
        <v>73.545000000000002</v>
      </c>
      <c r="S29" s="25">
        <f t="shared" si="10"/>
        <v>-765.875</v>
      </c>
      <c r="T29" s="21"/>
    </row>
    <row r="30" spans="1:20" ht="31.5" x14ac:dyDescent="0.25">
      <c r="A30" s="18" t="s">
        <v>134</v>
      </c>
      <c r="B30" s="19" t="s">
        <v>24</v>
      </c>
      <c r="C30" s="18" t="s">
        <v>13</v>
      </c>
      <c r="D30" s="20">
        <v>2000</v>
      </c>
      <c r="E30" s="20">
        <v>2120</v>
      </c>
      <c r="F30" s="20">
        <f t="shared" si="4"/>
        <v>1015.4</v>
      </c>
      <c r="G30" s="2">
        <v>-49.23</v>
      </c>
      <c r="H30" s="20">
        <f t="shared" si="5"/>
        <v>572.18799999999987</v>
      </c>
      <c r="I30" s="2">
        <v>-73.010000000000005</v>
      </c>
      <c r="J30" s="20">
        <f t="shared" si="6"/>
        <v>1587.5879999999997</v>
      </c>
      <c r="K30" s="20">
        <v>1748.3019999999999</v>
      </c>
      <c r="L30" s="20">
        <v>760</v>
      </c>
      <c r="M30" s="20">
        <f t="shared" si="7"/>
        <v>2508.3019999999997</v>
      </c>
      <c r="N30" s="20">
        <f t="shared" si="8"/>
        <v>160.71400000000017</v>
      </c>
      <c r="O30" s="20">
        <f t="shared" si="9"/>
        <v>388.30199999999968</v>
      </c>
      <c r="P30" s="20">
        <v>2508.3000000000002</v>
      </c>
      <c r="Q30" s="20">
        <v>779.4</v>
      </c>
      <c r="R30" s="20">
        <v>54.017000000000003</v>
      </c>
      <c r="S30" s="25">
        <f t="shared" si="10"/>
        <v>-725.38299999999992</v>
      </c>
      <c r="T30" s="21">
        <f t="shared" si="1"/>
        <v>6.9305876315114201</v>
      </c>
    </row>
    <row r="31" spans="1:20" x14ac:dyDescent="0.25">
      <c r="A31" s="18" t="s">
        <v>141</v>
      </c>
      <c r="B31" s="19" t="s">
        <v>142</v>
      </c>
      <c r="C31" s="18" t="s">
        <v>13</v>
      </c>
      <c r="D31" s="20"/>
      <c r="E31" s="20"/>
      <c r="F31" s="20"/>
      <c r="G31" s="2"/>
      <c r="H31" s="20"/>
      <c r="I31" s="2"/>
      <c r="J31" s="20"/>
      <c r="K31" s="20"/>
      <c r="L31" s="20"/>
      <c r="M31" s="20"/>
      <c r="N31" s="20"/>
      <c r="O31" s="20"/>
      <c r="P31" s="20"/>
      <c r="Q31" s="20">
        <v>158.35</v>
      </c>
      <c r="R31" s="20">
        <f>135</f>
        <v>135</v>
      </c>
      <c r="S31" s="25">
        <f t="shared" si="10"/>
        <v>-23.349999999999994</v>
      </c>
      <c r="T31" s="21">
        <f t="shared" si="1"/>
        <v>85.254183770129458</v>
      </c>
    </row>
    <row r="32" spans="1:20" ht="31.5" x14ac:dyDescent="0.25">
      <c r="A32" s="17">
        <v>2</v>
      </c>
      <c r="B32" s="15" t="s">
        <v>102</v>
      </c>
      <c r="C32" s="14" t="s">
        <v>13</v>
      </c>
      <c r="D32" s="3">
        <f>SUM(D33:D36)</f>
        <v>83204.209999999992</v>
      </c>
      <c r="E32" s="3">
        <f>SUM(E33:E36)</f>
        <v>88196.450000000012</v>
      </c>
      <c r="F32" s="3">
        <f t="shared" ref="F32:Q32" si="11">SUM(F33:F36)</f>
        <v>42242.777417000005</v>
      </c>
      <c r="G32" s="2">
        <v>-49.23</v>
      </c>
      <c r="H32" s="3">
        <f t="shared" si="11"/>
        <v>23804.221854999989</v>
      </c>
      <c r="I32" s="2">
        <v>-73.010000000000005</v>
      </c>
      <c r="J32" s="3">
        <f t="shared" si="11"/>
        <v>66046.999271999986</v>
      </c>
      <c r="K32" s="3">
        <f t="shared" si="11"/>
        <v>47715.41</v>
      </c>
      <c r="L32" s="3">
        <f t="shared" si="11"/>
        <v>21206.84888888889</v>
      </c>
      <c r="M32" s="3">
        <f t="shared" si="11"/>
        <v>68922.258888888886</v>
      </c>
      <c r="N32" s="3">
        <f t="shared" si="11"/>
        <v>-18331.589271999994</v>
      </c>
      <c r="O32" s="3">
        <f t="shared" si="11"/>
        <v>-19274.191111111111</v>
      </c>
      <c r="P32" s="3">
        <f t="shared" si="11"/>
        <v>68922.258888888886</v>
      </c>
      <c r="Q32" s="3">
        <f t="shared" si="11"/>
        <v>71899.28</v>
      </c>
      <c r="R32" s="3">
        <f>SUM(R33:R36)</f>
        <v>21399.638999999999</v>
      </c>
      <c r="S32" s="3">
        <f>SUM(S33:S36)</f>
        <v>-50499.640999999996</v>
      </c>
      <c r="T32" s="16">
        <f t="shared" si="1"/>
        <v>29.763356461984042</v>
      </c>
    </row>
    <row r="33" spans="1:26" ht="31.5" x14ac:dyDescent="0.25">
      <c r="A33" s="18" t="s">
        <v>25</v>
      </c>
      <c r="B33" s="19" t="s">
        <v>103</v>
      </c>
      <c r="C33" s="18" t="s">
        <v>13</v>
      </c>
      <c r="D33" s="2">
        <v>75709.009999999995</v>
      </c>
      <c r="E33" s="2">
        <v>80251.55</v>
      </c>
      <c r="F33" s="2">
        <f t="shared" ref="F33:F36" si="12">D33+D33*G33/100</f>
        <v>38437.464377000004</v>
      </c>
      <c r="G33" s="2">
        <v>-49.23</v>
      </c>
      <c r="H33" s="2">
        <f t="shared" ref="H33:H36" si="13">E33+E33*I33/100</f>
        <v>21659.893344999989</v>
      </c>
      <c r="I33" s="2">
        <v>-73.010000000000005</v>
      </c>
      <c r="J33" s="20">
        <f>H33+F33</f>
        <v>60097.357721999993</v>
      </c>
      <c r="K33" s="20">
        <v>43231.481</v>
      </c>
      <c r="L33" s="20">
        <f>(K33/9)*4</f>
        <v>19213.991555555556</v>
      </c>
      <c r="M33" s="20">
        <f t="shared" si="7"/>
        <v>62445.472555555556</v>
      </c>
      <c r="N33" s="20">
        <f t="shared" si="8"/>
        <v>-16865.876721999994</v>
      </c>
      <c r="O33" s="20">
        <f>M33-E33</f>
        <v>-17806.077444444447</v>
      </c>
      <c r="P33" s="2">
        <f>M33</f>
        <v>62445.472555555556</v>
      </c>
      <c r="Q33" s="20">
        <v>65422.46</v>
      </c>
      <c r="R33" s="20">
        <v>18895.378000000001</v>
      </c>
      <c r="S33" s="25">
        <f t="shared" si="10"/>
        <v>-46527.081999999995</v>
      </c>
      <c r="T33" s="21">
        <f t="shared" si="1"/>
        <v>28.882096454336935</v>
      </c>
    </row>
    <row r="34" spans="1:26" x14ac:dyDescent="0.25">
      <c r="A34" s="18" t="s">
        <v>26</v>
      </c>
      <c r="B34" s="19" t="s">
        <v>27</v>
      </c>
      <c r="C34" s="18" t="s">
        <v>13</v>
      </c>
      <c r="D34" s="2">
        <v>4088.29</v>
      </c>
      <c r="E34" s="2">
        <v>4333.58</v>
      </c>
      <c r="F34" s="2">
        <f t="shared" si="12"/>
        <v>2075.6248329999999</v>
      </c>
      <c r="G34" s="2">
        <v>-49.23</v>
      </c>
      <c r="H34" s="2">
        <f t="shared" si="13"/>
        <v>1169.6332419999999</v>
      </c>
      <c r="I34" s="2">
        <v>-73.010000000000005</v>
      </c>
      <c r="J34" s="20">
        <f t="shared" ref="J34:J36" si="14">H34+F34</f>
        <v>3245.2580749999997</v>
      </c>
      <c r="K34" s="20">
        <v>2470.33</v>
      </c>
      <c r="L34" s="20">
        <f t="shared" ref="L34:L36" si="15">(K34/9)*4</f>
        <v>1097.9244444444444</v>
      </c>
      <c r="M34" s="20">
        <f t="shared" si="7"/>
        <v>3568.2544444444443</v>
      </c>
      <c r="N34" s="20">
        <f t="shared" si="8"/>
        <v>-774.92807499999981</v>
      </c>
      <c r="O34" s="20">
        <f t="shared" ref="O34:O86" si="16">M34-E34</f>
        <v>-765.32555555555564</v>
      </c>
      <c r="P34" s="2">
        <f t="shared" ref="P34:P36" si="17">M34</f>
        <v>3568.2544444444443</v>
      </c>
      <c r="Q34" s="20">
        <v>3532.81</v>
      </c>
      <c r="R34" s="2">
        <v>1428.5329999999999</v>
      </c>
      <c r="S34" s="25">
        <f t="shared" si="10"/>
        <v>-2104.277</v>
      </c>
      <c r="T34" s="21">
        <f t="shared" si="1"/>
        <v>40.436168375882083</v>
      </c>
    </row>
    <row r="35" spans="1:26" x14ac:dyDescent="0.25">
      <c r="A35" s="18" t="s">
        <v>28</v>
      </c>
      <c r="B35" s="19" t="s">
        <v>43</v>
      </c>
      <c r="C35" s="18" t="s">
        <v>13</v>
      </c>
      <c r="D35" s="2">
        <v>3406.91</v>
      </c>
      <c r="E35" s="2">
        <v>3611.32</v>
      </c>
      <c r="F35" s="2">
        <f t="shared" si="12"/>
        <v>1729.6882069999999</v>
      </c>
      <c r="G35" s="2">
        <v>-49.23</v>
      </c>
      <c r="H35" s="2">
        <f t="shared" si="13"/>
        <v>974.69526799999994</v>
      </c>
      <c r="I35" s="2">
        <v>-73.010000000000005</v>
      </c>
      <c r="J35" s="20">
        <f t="shared" si="14"/>
        <v>2704.3834749999996</v>
      </c>
      <c r="K35" s="20">
        <v>1875.3130000000001</v>
      </c>
      <c r="L35" s="20">
        <f t="shared" si="15"/>
        <v>833.47244444444448</v>
      </c>
      <c r="M35" s="20">
        <f t="shared" si="7"/>
        <v>2708.7854444444447</v>
      </c>
      <c r="N35" s="20">
        <f t="shared" si="8"/>
        <v>-829.07047499999953</v>
      </c>
      <c r="O35" s="20">
        <f t="shared" si="16"/>
        <v>-902.53455555555547</v>
      </c>
      <c r="P35" s="2">
        <f t="shared" si="17"/>
        <v>2708.7854444444447</v>
      </c>
      <c r="Q35" s="20">
        <v>2944.01</v>
      </c>
      <c r="R35" s="2">
        <v>769.14499999999998</v>
      </c>
      <c r="S35" s="25">
        <f t="shared" si="10"/>
        <v>-2174.8650000000002</v>
      </c>
      <c r="T35" s="21">
        <f t="shared" si="1"/>
        <v>26.125760442389801</v>
      </c>
    </row>
    <row r="36" spans="1:26" x14ac:dyDescent="0.25">
      <c r="A36" s="18" t="s">
        <v>29</v>
      </c>
      <c r="B36" s="19" t="s">
        <v>30</v>
      </c>
      <c r="C36" s="18" t="s">
        <v>13</v>
      </c>
      <c r="D36" s="2"/>
      <c r="E36" s="2"/>
      <c r="F36" s="2">
        <f t="shared" si="12"/>
        <v>0</v>
      </c>
      <c r="G36" s="2">
        <v>-49.23</v>
      </c>
      <c r="H36" s="2">
        <f t="shared" si="13"/>
        <v>0</v>
      </c>
      <c r="I36" s="2">
        <v>-73.010000000000005</v>
      </c>
      <c r="J36" s="20">
        <f t="shared" si="14"/>
        <v>0</v>
      </c>
      <c r="K36" s="20">
        <v>138.286</v>
      </c>
      <c r="L36" s="20">
        <f t="shared" si="15"/>
        <v>61.460444444444448</v>
      </c>
      <c r="M36" s="20">
        <f t="shared" si="7"/>
        <v>199.74644444444445</v>
      </c>
      <c r="N36" s="20">
        <f t="shared" si="8"/>
        <v>138.286</v>
      </c>
      <c r="O36" s="20">
        <f t="shared" si="16"/>
        <v>199.74644444444445</v>
      </c>
      <c r="P36" s="2">
        <f t="shared" si="17"/>
        <v>199.74644444444445</v>
      </c>
      <c r="Q36" s="20"/>
      <c r="R36" s="2">
        <v>306.58300000000003</v>
      </c>
      <c r="S36" s="25">
        <f t="shared" si="10"/>
        <v>306.58300000000003</v>
      </c>
      <c r="T36" s="21"/>
    </row>
    <row r="37" spans="1:26" x14ac:dyDescent="0.25">
      <c r="A37" s="17">
        <v>3</v>
      </c>
      <c r="B37" s="15" t="s">
        <v>31</v>
      </c>
      <c r="C37" s="14" t="s">
        <v>13</v>
      </c>
      <c r="D37" s="4">
        <v>334474.59000000003</v>
      </c>
      <c r="E37" s="4">
        <v>345761.2</v>
      </c>
      <c r="F37" s="4">
        <f>D37+D37*G37/100</f>
        <v>169812.74934300003</v>
      </c>
      <c r="G37" s="2">
        <v>-49.23</v>
      </c>
      <c r="H37" s="4">
        <f>E37+E37*I37/100</f>
        <v>93320.947879999992</v>
      </c>
      <c r="I37" s="2">
        <v>-73.010000000000005</v>
      </c>
      <c r="J37" s="3">
        <f>H37+F37</f>
        <v>263133.697223</v>
      </c>
      <c r="K37" s="3">
        <v>10889.6</v>
      </c>
      <c r="L37" s="3">
        <f t="shared" ref="L37" si="18">(K37/9)*5</f>
        <v>6049.7777777777774</v>
      </c>
      <c r="M37" s="22">
        <f t="shared" si="7"/>
        <v>16939.37777777778</v>
      </c>
      <c r="N37" s="3">
        <f>K37-J37</f>
        <v>-252244.09722299999</v>
      </c>
      <c r="O37" s="20">
        <f t="shared" si="16"/>
        <v>-328821.82222222222</v>
      </c>
      <c r="P37" s="4">
        <v>263133.86</v>
      </c>
      <c r="Q37" s="3">
        <v>126780.99</v>
      </c>
      <c r="R37" s="3">
        <v>20328.669000000002</v>
      </c>
      <c r="S37" s="35">
        <f t="shared" si="10"/>
        <v>-106452.321</v>
      </c>
      <c r="T37" s="16">
        <f t="shared" si="1"/>
        <v>16.034477250887537</v>
      </c>
    </row>
    <row r="38" spans="1:26" x14ac:dyDescent="0.25">
      <c r="A38" s="17">
        <v>4</v>
      </c>
      <c r="B38" s="15" t="s">
        <v>104</v>
      </c>
      <c r="C38" s="14" t="s">
        <v>13</v>
      </c>
      <c r="D38" s="3">
        <f t="shared" ref="D38:L38" si="19">SUM(D40)</f>
        <v>1898.96</v>
      </c>
      <c r="E38" s="3">
        <f t="shared" si="19"/>
        <v>2012.9</v>
      </c>
      <c r="F38" s="3">
        <f t="shared" si="19"/>
        <v>964.10199200000011</v>
      </c>
      <c r="G38" s="2">
        <v>-49.23</v>
      </c>
      <c r="H38" s="3">
        <f t="shared" si="19"/>
        <v>543.28170999999975</v>
      </c>
      <c r="I38" s="2">
        <v>-73.010000000000005</v>
      </c>
      <c r="J38" s="3">
        <f>SUM(J40)</f>
        <v>1507.3837019999999</v>
      </c>
      <c r="K38" s="3">
        <f t="shared" si="19"/>
        <v>5231.7110000000002</v>
      </c>
      <c r="L38" s="3">
        <f t="shared" si="19"/>
        <v>0</v>
      </c>
      <c r="M38" s="3">
        <f t="shared" si="7"/>
        <v>5231.7110000000002</v>
      </c>
      <c r="N38" s="3"/>
      <c r="O38" s="3">
        <f t="shared" si="16"/>
        <v>3218.8110000000001</v>
      </c>
      <c r="P38" s="3">
        <f t="shared" ref="P38" si="20">SUM(P40)</f>
        <v>2012.9</v>
      </c>
      <c r="Q38" s="3">
        <f>SUM(Q39:Q40)</f>
        <v>7786.2800000000007</v>
      </c>
      <c r="R38" s="3">
        <f>SUM(R40)</f>
        <v>0</v>
      </c>
      <c r="S38" s="35">
        <f t="shared" si="10"/>
        <v>-7786.2800000000007</v>
      </c>
      <c r="T38" s="16">
        <f t="shared" si="1"/>
        <v>0</v>
      </c>
    </row>
    <row r="39" spans="1:26" ht="47.25" x14ac:dyDescent="0.25">
      <c r="A39" s="23">
        <v>4.0999999999999996</v>
      </c>
      <c r="B39" s="19" t="s">
        <v>143</v>
      </c>
      <c r="C39" s="18" t="s">
        <v>13</v>
      </c>
      <c r="D39" s="3"/>
      <c r="E39" s="3"/>
      <c r="F39" s="3"/>
      <c r="G39" s="2"/>
      <c r="H39" s="3"/>
      <c r="I39" s="2"/>
      <c r="J39" s="3"/>
      <c r="K39" s="3"/>
      <c r="L39" s="3"/>
      <c r="M39" s="3"/>
      <c r="N39" s="3"/>
      <c r="O39" s="3"/>
      <c r="P39" s="3"/>
      <c r="Q39" s="20">
        <v>7154.81</v>
      </c>
      <c r="R39" s="3"/>
      <c r="S39" s="35"/>
      <c r="T39" s="16"/>
    </row>
    <row r="40" spans="1:26" x14ac:dyDescent="0.25">
      <c r="A40" s="23">
        <v>4.2</v>
      </c>
      <c r="B40" s="19" t="s">
        <v>135</v>
      </c>
      <c r="C40" s="18" t="s">
        <v>13</v>
      </c>
      <c r="D40" s="20">
        <v>1898.96</v>
      </c>
      <c r="E40" s="20">
        <v>2012.9</v>
      </c>
      <c r="F40" s="20">
        <f>D40+D40*G40/100</f>
        <v>964.10199200000011</v>
      </c>
      <c r="G40" s="2">
        <v>-49.23</v>
      </c>
      <c r="H40" s="20">
        <f>E40+E40*I40/100</f>
        <v>543.28170999999975</v>
      </c>
      <c r="I40" s="2">
        <v>-73.010000000000005</v>
      </c>
      <c r="J40" s="20">
        <f>H40+F40</f>
        <v>1507.3837019999999</v>
      </c>
      <c r="K40" s="20">
        <v>5231.7110000000002</v>
      </c>
      <c r="L40" s="20"/>
      <c r="M40" s="20">
        <f t="shared" si="7"/>
        <v>5231.7110000000002</v>
      </c>
      <c r="N40" s="20">
        <f t="shared" si="8"/>
        <v>3724.3272980000002</v>
      </c>
      <c r="O40" s="20">
        <f>M40-E40</f>
        <v>3218.8110000000001</v>
      </c>
      <c r="P40" s="24">
        <v>2012.9</v>
      </c>
      <c r="Q40" s="25">
        <v>631.47</v>
      </c>
      <c r="R40" s="20"/>
      <c r="S40" s="25">
        <f t="shared" si="10"/>
        <v>-631.47</v>
      </c>
      <c r="T40" s="21">
        <f t="shared" si="1"/>
        <v>0</v>
      </c>
    </row>
    <row r="41" spans="1:26" ht="31.5" x14ac:dyDescent="0.25">
      <c r="A41" s="17">
        <v>5</v>
      </c>
      <c r="B41" s="15" t="s">
        <v>32</v>
      </c>
      <c r="C41" s="14" t="s">
        <v>13</v>
      </c>
      <c r="D41" s="3">
        <f>SUM(D42:D47)</f>
        <v>1551.9099999999999</v>
      </c>
      <c r="E41" s="3">
        <f>SUM(E42:E47)</f>
        <v>1645.1299999999999</v>
      </c>
      <c r="F41" s="3">
        <f>SUM(F42:F47)</f>
        <v>787.90470699999992</v>
      </c>
      <c r="G41" s="2">
        <v>-49.23</v>
      </c>
      <c r="H41" s="3">
        <f>SUM(H42:H47)</f>
        <v>444.02058699999992</v>
      </c>
      <c r="I41" s="2">
        <v>-73.010000000000005</v>
      </c>
      <c r="J41" s="3">
        <f>SUM(J42:J47)</f>
        <v>1231.9252939999999</v>
      </c>
      <c r="K41" s="3">
        <f>SUM(K42:K47)</f>
        <v>1118.7569999999998</v>
      </c>
      <c r="L41" s="3">
        <f>SUM(L42:L47)</f>
        <v>170</v>
      </c>
      <c r="M41" s="3">
        <f t="shared" si="7"/>
        <v>1288.7569999999998</v>
      </c>
      <c r="N41" s="3"/>
      <c r="O41" s="3">
        <f t="shared" si="16"/>
        <v>-356.37300000000005</v>
      </c>
      <c r="P41" s="3">
        <f>SUM(P42:P47)</f>
        <v>1288.76</v>
      </c>
      <c r="Q41" s="3">
        <f>SUM(Q42:Q47)</f>
        <v>4408.2800000000007</v>
      </c>
      <c r="R41" s="3">
        <f>SUM(R42:R47)</f>
        <v>67.295000000000002</v>
      </c>
      <c r="S41" s="35">
        <f t="shared" si="10"/>
        <v>-4340.9850000000006</v>
      </c>
      <c r="T41" s="16">
        <f t="shared" si="1"/>
        <v>1.5265591114901955</v>
      </c>
    </row>
    <row r="42" spans="1:26" ht="31.5" x14ac:dyDescent="0.25">
      <c r="A42" s="23">
        <v>5.0999999999999996</v>
      </c>
      <c r="B42" s="19" t="s">
        <v>33</v>
      </c>
      <c r="C42" s="18" t="s">
        <v>13</v>
      </c>
      <c r="D42" s="20">
        <v>296</v>
      </c>
      <c r="E42" s="20">
        <v>313.87</v>
      </c>
      <c r="F42" s="20">
        <f>D42+D42*G42/100</f>
        <v>150.2792</v>
      </c>
      <c r="G42" s="2">
        <v>-49.23</v>
      </c>
      <c r="H42" s="20">
        <f t="shared" ref="H42:H47" si="21">E42+E42*I42/100</f>
        <v>84.713512999999978</v>
      </c>
      <c r="I42" s="2">
        <v>-73.010000000000005</v>
      </c>
      <c r="J42" s="20">
        <f>H42+F42</f>
        <v>234.99271299999998</v>
      </c>
      <c r="K42" s="20"/>
      <c r="L42" s="20"/>
      <c r="M42" s="20">
        <f t="shared" si="7"/>
        <v>0</v>
      </c>
      <c r="N42" s="20">
        <f t="shared" si="8"/>
        <v>-234.99271299999998</v>
      </c>
      <c r="O42" s="20">
        <f t="shared" si="16"/>
        <v>-313.87</v>
      </c>
      <c r="P42" s="20">
        <v>0</v>
      </c>
      <c r="Q42" s="20">
        <v>560.95000000000005</v>
      </c>
      <c r="R42" s="20">
        <f>13.62+53.675</f>
        <v>67.295000000000002</v>
      </c>
      <c r="S42" s="25">
        <f t="shared" si="10"/>
        <v>-493.65500000000003</v>
      </c>
      <c r="T42" s="21">
        <f>R42/Q42%</f>
        <v>11.996612888849272</v>
      </c>
    </row>
    <row r="43" spans="1:26" x14ac:dyDescent="0.25">
      <c r="A43" s="23">
        <v>5.2</v>
      </c>
      <c r="B43" s="19" t="s">
        <v>146</v>
      </c>
      <c r="C43" s="18" t="s">
        <v>13</v>
      </c>
      <c r="D43" s="2"/>
      <c r="E43" s="2"/>
      <c r="F43" s="2">
        <f t="shared" ref="F43:F47" si="22">D43+D43*G43/100</f>
        <v>0</v>
      </c>
      <c r="G43" s="2">
        <v>-49.23</v>
      </c>
      <c r="H43" s="2">
        <f t="shared" si="21"/>
        <v>0</v>
      </c>
      <c r="I43" s="2">
        <v>-73.010000000000005</v>
      </c>
      <c r="J43" s="20">
        <f t="shared" ref="J43:J83" si="23">H43+F43</f>
        <v>0</v>
      </c>
      <c r="K43" s="20"/>
      <c r="L43" s="20"/>
      <c r="M43" s="20">
        <f t="shared" si="7"/>
        <v>0</v>
      </c>
      <c r="N43" s="20">
        <f t="shared" si="8"/>
        <v>0</v>
      </c>
      <c r="O43" s="20">
        <f t="shared" si="16"/>
        <v>0</v>
      </c>
      <c r="P43" s="2">
        <v>0</v>
      </c>
      <c r="Q43" s="2">
        <v>1051.52</v>
      </c>
      <c r="R43" s="2"/>
      <c r="S43" s="25"/>
      <c r="T43" s="21"/>
    </row>
    <row r="44" spans="1:26" x14ac:dyDescent="0.25">
      <c r="A44" s="23">
        <v>5.3</v>
      </c>
      <c r="B44" s="19" t="s">
        <v>34</v>
      </c>
      <c r="C44" s="18" t="s">
        <v>13</v>
      </c>
      <c r="D44" s="2"/>
      <c r="E44" s="2"/>
      <c r="F44" s="2">
        <f t="shared" si="22"/>
        <v>0</v>
      </c>
      <c r="G44" s="2">
        <v>-49.23</v>
      </c>
      <c r="H44" s="2">
        <f t="shared" si="21"/>
        <v>0</v>
      </c>
      <c r="I44" s="2">
        <v>-73.010000000000005</v>
      </c>
      <c r="J44" s="20">
        <f t="shared" si="23"/>
        <v>0</v>
      </c>
      <c r="K44" s="20">
        <v>115.10899999999999</v>
      </c>
      <c r="L44" s="20">
        <v>70</v>
      </c>
      <c r="M44" s="20">
        <f t="shared" si="7"/>
        <v>185.10899999999998</v>
      </c>
      <c r="N44" s="20">
        <f t="shared" si="8"/>
        <v>115.10899999999999</v>
      </c>
      <c r="O44" s="20">
        <f t="shared" si="16"/>
        <v>185.10899999999998</v>
      </c>
      <c r="P44" s="2">
        <v>185.11</v>
      </c>
      <c r="Q44" s="2"/>
      <c r="R44" s="2"/>
      <c r="S44" s="25">
        <f>R44-Q44</f>
        <v>0</v>
      </c>
      <c r="T44" s="21"/>
    </row>
    <row r="45" spans="1:26" x14ac:dyDescent="0.25">
      <c r="A45" s="23">
        <v>5.4</v>
      </c>
      <c r="B45" s="19" t="s">
        <v>35</v>
      </c>
      <c r="C45" s="18" t="s">
        <v>13</v>
      </c>
      <c r="D45" s="20">
        <v>278</v>
      </c>
      <c r="E45" s="20">
        <v>294.68</v>
      </c>
      <c r="F45" s="20">
        <f t="shared" si="22"/>
        <v>141.14060000000001</v>
      </c>
      <c r="G45" s="2">
        <v>-49.23</v>
      </c>
      <c r="H45" s="20">
        <f t="shared" si="21"/>
        <v>79.534132</v>
      </c>
      <c r="I45" s="2">
        <v>-73.010000000000005</v>
      </c>
      <c r="J45" s="20">
        <f>H45+F45</f>
        <v>220.67473200000001</v>
      </c>
      <c r="K45" s="20"/>
      <c r="L45" s="20">
        <v>100</v>
      </c>
      <c r="M45" s="20">
        <f t="shared" si="7"/>
        <v>100</v>
      </c>
      <c r="N45" s="20">
        <f t="shared" si="8"/>
        <v>-220.67473200000001</v>
      </c>
      <c r="O45" s="20">
        <f t="shared" si="16"/>
        <v>-194.68</v>
      </c>
      <c r="P45" s="20">
        <v>100</v>
      </c>
      <c r="Q45" s="20">
        <v>733.51</v>
      </c>
      <c r="R45" s="2"/>
      <c r="S45" s="25"/>
      <c r="T45" s="21"/>
    </row>
    <row r="46" spans="1:26" x14ac:dyDescent="0.25">
      <c r="A46" s="23">
        <v>5.5</v>
      </c>
      <c r="B46" s="19" t="s">
        <v>145</v>
      </c>
      <c r="C46" s="18" t="s">
        <v>13</v>
      </c>
      <c r="D46" s="2"/>
      <c r="E46" s="2"/>
      <c r="F46" s="2">
        <f t="shared" si="22"/>
        <v>0</v>
      </c>
      <c r="G46" s="2">
        <v>-49.23</v>
      </c>
      <c r="H46" s="2">
        <f t="shared" si="21"/>
        <v>0</v>
      </c>
      <c r="I46" s="2">
        <v>-73.010000000000005</v>
      </c>
      <c r="J46" s="20">
        <f t="shared" si="23"/>
        <v>0</v>
      </c>
      <c r="K46" s="20"/>
      <c r="L46" s="20"/>
      <c r="M46" s="20">
        <f t="shared" si="7"/>
        <v>0</v>
      </c>
      <c r="N46" s="20">
        <f t="shared" si="8"/>
        <v>0</v>
      </c>
      <c r="O46" s="20">
        <f t="shared" si="16"/>
        <v>0</v>
      </c>
      <c r="P46" s="2"/>
      <c r="Q46" s="2">
        <v>410.03</v>
      </c>
      <c r="R46" s="2"/>
      <c r="S46" s="25"/>
      <c r="T46" s="21"/>
    </row>
    <row r="47" spans="1:26" x14ac:dyDescent="0.25">
      <c r="A47" s="23">
        <v>5.6</v>
      </c>
      <c r="B47" s="19" t="s">
        <v>36</v>
      </c>
      <c r="C47" s="18" t="s">
        <v>13</v>
      </c>
      <c r="D47" s="20">
        <v>977.91</v>
      </c>
      <c r="E47" s="20">
        <v>1036.58</v>
      </c>
      <c r="F47" s="20">
        <f t="shared" si="22"/>
        <v>496.48490699999996</v>
      </c>
      <c r="G47" s="2">
        <v>-49.23</v>
      </c>
      <c r="H47" s="20">
        <f t="shared" si="21"/>
        <v>279.77294199999994</v>
      </c>
      <c r="I47" s="2">
        <v>-73.010000000000005</v>
      </c>
      <c r="J47" s="20">
        <f>H47+F47</f>
        <v>776.25784899999985</v>
      </c>
      <c r="K47" s="20">
        <f>57.738+945.91</f>
        <v>1003.6479999999999</v>
      </c>
      <c r="L47" s="20"/>
      <c r="M47" s="20">
        <f t="shared" si="7"/>
        <v>1003.6479999999999</v>
      </c>
      <c r="N47" s="20">
        <f t="shared" si="8"/>
        <v>227.39015100000006</v>
      </c>
      <c r="O47" s="20">
        <f t="shared" si="16"/>
        <v>-32.932000000000016</v>
      </c>
      <c r="P47" s="2">
        <v>1003.65</v>
      </c>
      <c r="Q47" s="20">
        <v>1652.27</v>
      </c>
      <c r="R47" s="20"/>
      <c r="S47" s="25">
        <f t="shared" si="10"/>
        <v>-1652.27</v>
      </c>
      <c r="T47" s="21">
        <f t="shared" si="1"/>
        <v>0</v>
      </c>
    </row>
    <row r="48" spans="1:26" s="26" customFormat="1" x14ac:dyDescent="0.25">
      <c r="A48" s="17">
        <v>6</v>
      </c>
      <c r="B48" s="15" t="s">
        <v>105</v>
      </c>
      <c r="C48" s="14" t="s">
        <v>13</v>
      </c>
      <c r="D48" s="3">
        <f>SUM(D49:D54)</f>
        <v>1684.63</v>
      </c>
      <c r="E48" s="3">
        <f t="shared" ref="E48:P48" si="24">SUM(E49:E54)</f>
        <v>1785.71</v>
      </c>
      <c r="F48" s="3">
        <f t="shared" si="24"/>
        <v>855.28665100000012</v>
      </c>
      <c r="G48" s="2">
        <v>-49.23</v>
      </c>
      <c r="H48" s="3">
        <f t="shared" si="24"/>
        <v>481.96312899999992</v>
      </c>
      <c r="I48" s="2">
        <v>-73.010000000000005</v>
      </c>
      <c r="J48" s="3">
        <f>SUM(J49:J54)</f>
        <v>1337.2497800000001</v>
      </c>
      <c r="K48" s="3">
        <f t="shared" si="24"/>
        <v>1136.0300000000002</v>
      </c>
      <c r="L48" s="3">
        <f t="shared" si="24"/>
        <v>280</v>
      </c>
      <c r="M48" s="3">
        <f>SUM(M49:M54)</f>
        <v>1416.0300000000002</v>
      </c>
      <c r="N48" s="3">
        <f t="shared" si="24"/>
        <v>-201.21977999999996</v>
      </c>
      <c r="O48" s="3">
        <f t="shared" si="24"/>
        <v>-369.67999999999995</v>
      </c>
      <c r="P48" s="3">
        <f t="shared" si="24"/>
        <v>1416.03</v>
      </c>
      <c r="Q48" s="3">
        <f>SUM(Q49:Q54)</f>
        <v>5380.59</v>
      </c>
      <c r="R48" s="3">
        <f>SUM(R49:R54)</f>
        <v>224.76399999999998</v>
      </c>
      <c r="S48" s="35">
        <f t="shared" si="10"/>
        <v>-5155.826</v>
      </c>
      <c r="T48" s="16">
        <f t="shared" si="1"/>
        <v>4.1773114100869977</v>
      </c>
      <c r="Z48" s="26" t="s">
        <v>37</v>
      </c>
    </row>
    <row r="49" spans="1:20" x14ac:dyDescent="0.25">
      <c r="A49" s="23">
        <v>6.1</v>
      </c>
      <c r="B49" s="19" t="s">
        <v>38</v>
      </c>
      <c r="C49" s="18" t="s">
        <v>13</v>
      </c>
      <c r="D49" s="2">
        <v>582.13</v>
      </c>
      <c r="E49" s="2">
        <v>617.05999999999995</v>
      </c>
      <c r="F49" s="2">
        <f t="shared" ref="F49:F54" si="25">D49+D49*G49/100</f>
        <v>295.54740100000004</v>
      </c>
      <c r="G49" s="2">
        <v>-49.23</v>
      </c>
      <c r="H49" s="2">
        <f t="shared" ref="H49:H54" si="26">E49+E49*I49/100</f>
        <v>166.54449399999993</v>
      </c>
      <c r="I49" s="2">
        <v>-73.010000000000005</v>
      </c>
      <c r="J49" s="20">
        <f t="shared" si="23"/>
        <v>462.09189499999997</v>
      </c>
      <c r="K49" s="20">
        <v>575.00800000000004</v>
      </c>
      <c r="L49" s="20">
        <v>200</v>
      </c>
      <c r="M49" s="20">
        <f t="shared" si="7"/>
        <v>775.00800000000004</v>
      </c>
      <c r="N49" s="20">
        <f t="shared" si="8"/>
        <v>112.91610500000007</v>
      </c>
      <c r="O49" s="20">
        <f t="shared" si="16"/>
        <v>157.94800000000009</v>
      </c>
      <c r="P49" s="2">
        <v>775.01</v>
      </c>
      <c r="Q49" s="20">
        <v>121.14</v>
      </c>
      <c r="R49" s="20">
        <f>42+32.308+48.1</f>
        <v>122.40799999999999</v>
      </c>
      <c r="S49" s="25">
        <f t="shared" si="10"/>
        <v>1.2679999999999865</v>
      </c>
      <c r="T49" s="21">
        <f t="shared" si="1"/>
        <v>101.04672280006602</v>
      </c>
    </row>
    <row r="50" spans="1:20" x14ac:dyDescent="0.25">
      <c r="A50" s="23">
        <v>6.2</v>
      </c>
      <c r="B50" s="19" t="s">
        <v>39</v>
      </c>
      <c r="C50" s="18" t="s">
        <v>13</v>
      </c>
      <c r="D50" s="2"/>
      <c r="E50" s="2"/>
      <c r="F50" s="2">
        <f t="shared" si="25"/>
        <v>0</v>
      </c>
      <c r="G50" s="2">
        <v>-49.23</v>
      </c>
      <c r="H50" s="2">
        <f t="shared" si="26"/>
        <v>0</v>
      </c>
      <c r="I50" s="2">
        <v>-73.010000000000005</v>
      </c>
      <c r="J50" s="20">
        <f t="shared" si="23"/>
        <v>0</v>
      </c>
      <c r="K50" s="20"/>
      <c r="L50" s="20"/>
      <c r="M50" s="20">
        <f t="shared" si="7"/>
        <v>0</v>
      </c>
      <c r="N50" s="20">
        <f t="shared" si="8"/>
        <v>0</v>
      </c>
      <c r="O50" s="20">
        <f t="shared" si="16"/>
        <v>0</v>
      </c>
      <c r="P50" s="2">
        <v>0</v>
      </c>
      <c r="Q50" s="2"/>
      <c r="R50" s="2"/>
      <c r="S50" s="25"/>
      <c r="T50" s="21"/>
    </row>
    <row r="51" spans="1:20" ht="19.5" customHeight="1" x14ac:dyDescent="0.25">
      <c r="A51" s="23">
        <v>6.3</v>
      </c>
      <c r="B51" s="19" t="s">
        <v>40</v>
      </c>
      <c r="C51" s="18" t="s">
        <v>13</v>
      </c>
      <c r="D51" s="2"/>
      <c r="E51" s="2"/>
      <c r="F51" s="2">
        <f t="shared" si="25"/>
        <v>0</v>
      </c>
      <c r="G51" s="2">
        <v>-49.23</v>
      </c>
      <c r="H51" s="2">
        <f t="shared" si="26"/>
        <v>0</v>
      </c>
      <c r="I51" s="2">
        <v>-73.010000000000005</v>
      </c>
      <c r="J51" s="20">
        <f t="shared" si="23"/>
        <v>0</v>
      </c>
      <c r="K51" s="20"/>
      <c r="L51" s="20"/>
      <c r="M51" s="20">
        <f t="shared" si="7"/>
        <v>0</v>
      </c>
      <c r="N51" s="20">
        <f t="shared" si="8"/>
        <v>0</v>
      </c>
      <c r="O51" s="20">
        <f t="shared" si="16"/>
        <v>0</v>
      </c>
      <c r="P51" s="2">
        <v>0</v>
      </c>
      <c r="Q51" s="2">
        <v>1262.94</v>
      </c>
      <c r="R51" s="2"/>
      <c r="S51" s="25">
        <f t="shared" si="10"/>
        <v>-1262.94</v>
      </c>
      <c r="T51" s="21"/>
    </row>
    <row r="52" spans="1:20" x14ac:dyDescent="0.25">
      <c r="A52" s="23">
        <v>6.4</v>
      </c>
      <c r="B52" s="19" t="s">
        <v>144</v>
      </c>
      <c r="C52" s="18" t="s">
        <v>13</v>
      </c>
      <c r="D52" s="2"/>
      <c r="E52" s="2"/>
      <c r="F52" s="2"/>
      <c r="G52" s="2"/>
      <c r="H52" s="2"/>
      <c r="I52" s="2"/>
      <c r="J52" s="20"/>
      <c r="K52" s="20"/>
      <c r="L52" s="20"/>
      <c r="M52" s="20"/>
      <c r="N52" s="20"/>
      <c r="O52" s="20"/>
      <c r="P52" s="2"/>
      <c r="Q52" s="2">
        <v>1281.3699999999999</v>
      </c>
      <c r="R52" s="2"/>
      <c r="S52" s="25">
        <f t="shared" si="10"/>
        <v>-1281.3699999999999</v>
      </c>
      <c r="T52" s="21"/>
    </row>
    <row r="53" spans="1:20" ht="17.25" customHeight="1" x14ac:dyDescent="0.25">
      <c r="A53" s="23">
        <v>6.5</v>
      </c>
      <c r="B53" s="19" t="s">
        <v>98</v>
      </c>
      <c r="C53" s="18" t="s">
        <v>13</v>
      </c>
      <c r="D53" s="2"/>
      <c r="E53" s="2"/>
      <c r="F53" s="2"/>
      <c r="G53" s="2"/>
      <c r="H53" s="2"/>
      <c r="I53" s="2"/>
      <c r="J53" s="20"/>
      <c r="K53" s="20"/>
      <c r="L53" s="20"/>
      <c r="M53" s="20"/>
      <c r="N53" s="20"/>
      <c r="O53" s="20"/>
      <c r="P53" s="2"/>
      <c r="Q53" s="2"/>
      <c r="R53" s="2"/>
      <c r="S53" s="25">
        <f t="shared" si="10"/>
        <v>0</v>
      </c>
      <c r="T53" s="21"/>
    </row>
    <row r="54" spans="1:20" x14ac:dyDescent="0.25">
      <c r="A54" s="23">
        <v>6.6</v>
      </c>
      <c r="B54" s="19" t="s">
        <v>136</v>
      </c>
      <c r="C54" s="18" t="s">
        <v>13</v>
      </c>
      <c r="D54" s="20">
        <v>1102.5</v>
      </c>
      <c r="E54" s="20">
        <v>1168.6500000000001</v>
      </c>
      <c r="F54" s="2">
        <f t="shared" si="25"/>
        <v>559.73925000000008</v>
      </c>
      <c r="G54" s="2">
        <v>-49.23</v>
      </c>
      <c r="H54" s="2">
        <f t="shared" si="26"/>
        <v>315.41863499999999</v>
      </c>
      <c r="I54" s="2">
        <v>-73.010000000000005</v>
      </c>
      <c r="J54" s="20">
        <f t="shared" si="23"/>
        <v>875.15788500000008</v>
      </c>
      <c r="K54" s="20">
        <v>561.02200000000005</v>
      </c>
      <c r="L54" s="20">
        <v>80</v>
      </c>
      <c r="M54" s="20">
        <f t="shared" si="7"/>
        <v>641.02200000000005</v>
      </c>
      <c r="N54" s="20">
        <f t="shared" si="8"/>
        <v>-314.13588500000003</v>
      </c>
      <c r="O54" s="20">
        <f t="shared" si="16"/>
        <v>-527.62800000000004</v>
      </c>
      <c r="P54" s="20">
        <v>641.02</v>
      </c>
      <c r="Q54" s="20">
        <v>2715.14</v>
      </c>
      <c r="R54" s="20">
        <f>102.356</f>
        <v>102.35599999999999</v>
      </c>
      <c r="S54" s="25">
        <f t="shared" si="10"/>
        <v>-2612.7839999999997</v>
      </c>
      <c r="T54" s="21">
        <f t="shared" si="1"/>
        <v>3.7698240238072436</v>
      </c>
    </row>
    <row r="55" spans="1:20" s="26" customFormat="1" ht="31.5" x14ac:dyDescent="0.25">
      <c r="A55" s="14" t="s">
        <v>41</v>
      </c>
      <c r="B55" s="15" t="s">
        <v>106</v>
      </c>
      <c r="C55" s="14" t="s">
        <v>13</v>
      </c>
      <c r="D55" s="3">
        <f>D56+D77</f>
        <v>25128.69</v>
      </c>
      <c r="E55" s="3">
        <f>E56+E77</f>
        <v>26636.42</v>
      </c>
      <c r="F55" s="3">
        <f>F56+F77</f>
        <v>12757.835913000003</v>
      </c>
      <c r="G55" s="2">
        <v>-49.23</v>
      </c>
      <c r="H55" s="3">
        <f>H56+H77</f>
        <v>7189.1697579999991</v>
      </c>
      <c r="I55" s="2">
        <v>-73.010000000000005</v>
      </c>
      <c r="J55" s="3">
        <f>J56+J77</f>
        <v>19947.005670999999</v>
      </c>
      <c r="K55" s="3">
        <f>K56+K77</f>
        <v>34109.149000000005</v>
      </c>
      <c r="L55" s="3">
        <f>L56+L77</f>
        <v>11013.295555555556</v>
      </c>
      <c r="M55" s="3">
        <f t="shared" si="7"/>
        <v>45122.444555555558</v>
      </c>
      <c r="N55" s="3"/>
      <c r="O55" s="3">
        <f t="shared" si="16"/>
        <v>18486.024555555559</v>
      </c>
      <c r="P55" s="3">
        <f>P56+P77</f>
        <v>45122.450555555566</v>
      </c>
      <c r="Q55" s="3">
        <f>Q56+Q77</f>
        <v>29770.039999999997</v>
      </c>
      <c r="R55" s="3">
        <f>R56+R77</f>
        <v>15120.004999999999</v>
      </c>
      <c r="S55" s="3">
        <f>S56+S77</f>
        <v>-14650.034999999998</v>
      </c>
      <c r="T55" s="16">
        <f t="shared" si="1"/>
        <v>50.789333840330755</v>
      </c>
    </row>
    <row r="56" spans="1:20" ht="31.5" x14ac:dyDescent="0.25">
      <c r="A56" s="27">
        <v>7</v>
      </c>
      <c r="B56" s="19" t="s">
        <v>107</v>
      </c>
      <c r="C56" s="18" t="s">
        <v>13</v>
      </c>
      <c r="D56" s="20">
        <f>SUM(D57:D76)</f>
        <v>24428.16</v>
      </c>
      <c r="E56" s="20">
        <f>SUM(E57:E76)</f>
        <v>25893.85</v>
      </c>
      <c r="F56" s="20">
        <f>SUM(F57:F76)</f>
        <v>12402.176832000003</v>
      </c>
      <c r="G56" s="2">
        <v>-49.23</v>
      </c>
      <c r="H56" s="20">
        <f>SUM(H57:H76)</f>
        <v>6988.7501149999989</v>
      </c>
      <c r="I56" s="2">
        <v>-73.010000000000005</v>
      </c>
      <c r="J56" s="20">
        <f>SUM(J57:J76)</f>
        <v>19390.926947</v>
      </c>
      <c r="K56" s="20">
        <f>SUM(K57:K76)</f>
        <v>33320.351000000002</v>
      </c>
      <c r="L56" s="20">
        <f>SUM(L57:L76)</f>
        <v>11013.295555555556</v>
      </c>
      <c r="M56" s="20">
        <f t="shared" si="7"/>
        <v>44333.646555555562</v>
      </c>
      <c r="N56" s="20"/>
      <c r="O56" s="20">
        <f t="shared" si="16"/>
        <v>18439.796555555564</v>
      </c>
      <c r="P56" s="20">
        <f>SUM(P57:P76)</f>
        <v>44333.650555555563</v>
      </c>
      <c r="Q56" s="20">
        <f>SUM(Q57:Q76)</f>
        <v>29295.899999999998</v>
      </c>
      <c r="R56" s="20">
        <f>SUM(R57:R76)</f>
        <v>14702.945</v>
      </c>
      <c r="S56" s="25">
        <f t="shared" si="10"/>
        <v>-14592.954999999998</v>
      </c>
      <c r="T56" s="21">
        <f t="shared" si="1"/>
        <v>50.187722514071936</v>
      </c>
    </row>
    <row r="57" spans="1:20" ht="31.5" x14ac:dyDescent="0.25">
      <c r="A57" s="23">
        <v>7.1</v>
      </c>
      <c r="B57" s="19" t="s">
        <v>42</v>
      </c>
      <c r="C57" s="18" t="s">
        <v>13</v>
      </c>
      <c r="D57" s="20">
        <v>14264.02</v>
      </c>
      <c r="E57" s="20">
        <v>15119.86</v>
      </c>
      <c r="F57" s="20">
        <f t="shared" ref="F57:F76" si="27">D57+D57*G57/100</f>
        <v>7241.8429540000006</v>
      </c>
      <c r="G57" s="2">
        <v>-49.23</v>
      </c>
      <c r="H57" s="20">
        <f>E57+E57*I57/100</f>
        <v>4080.8502140000001</v>
      </c>
      <c r="I57" s="2">
        <v>-73.010000000000005</v>
      </c>
      <c r="J57" s="20">
        <f>H57+F57</f>
        <v>11322.693168000002</v>
      </c>
      <c r="K57" s="20">
        <v>19409.72</v>
      </c>
      <c r="L57" s="20">
        <f>(K57/9)*4</f>
        <v>8626.5422222222223</v>
      </c>
      <c r="M57" s="20">
        <f t="shared" si="7"/>
        <v>28036.262222222223</v>
      </c>
      <c r="N57" s="20">
        <f t="shared" ref="N57:N76" si="28">K57-J57</f>
        <v>8087.0268319999996</v>
      </c>
      <c r="O57" s="20">
        <f t="shared" si="16"/>
        <v>12916.402222222223</v>
      </c>
      <c r="P57" s="20">
        <f>M57</f>
        <v>28036.262222222223</v>
      </c>
      <c r="Q57" s="20">
        <v>22098.25</v>
      </c>
      <c r="R57" s="20">
        <v>7784.6459999999997</v>
      </c>
      <c r="S57" s="25">
        <f t="shared" si="10"/>
        <v>-14313.603999999999</v>
      </c>
      <c r="T57" s="21">
        <f t="shared" si="1"/>
        <v>35.227432036473481</v>
      </c>
    </row>
    <row r="58" spans="1:20" x14ac:dyDescent="0.25">
      <c r="A58" s="23">
        <v>7.2</v>
      </c>
      <c r="B58" s="19" t="s">
        <v>27</v>
      </c>
      <c r="C58" s="18" t="s">
        <v>13</v>
      </c>
      <c r="D58" s="2">
        <v>770.26</v>
      </c>
      <c r="E58" s="2">
        <v>816.47</v>
      </c>
      <c r="F58" s="2">
        <f t="shared" si="27"/>
        <v>391.06100199999997</v>
      </c>
      <c r="G58" s="2">
        <v>-49.23</v>
      </c>
      <c r="H58" s="2">
        <f t="shared" ref="H58:H76" si="29">E58+E58*I58/100</f>
        <v>220.36525299999994</v>
      </c>
      <c r="I58" s="2">
        <v>-73.010000000000005</v>
      </c>
      <c r="J58" s="20">
        <f>H58+F58</f>
        <v>611.42625499999986</v>
      </c>
      <c r="K58" s="20">
        <v>1124.6179999999999</v>
      </c>
      <c r="L58" s="20">
        <f t="shared" ref="L58:L60" si="30">(K58/9)*4</f>
        <v>499.83022222222218</v>
      </c>
      <c r="M58" s="20">
        <f t="shared" si="7"/>
        <v>1624.4482222222221</v>
      </c>
      <c r="N58" s="20">
        <f t="shared" si="28"/>
        <v>513.19174500000008</v>
      </c>
      <c r="O58" s="20">
        <f t="shared" si="16"/>
        <v>807.97822222222203</v>
      </c>
      <c r="P58" s="20">
        <f t="shared" ref="P58:P60" si="31">M58</f>
        <v>1624.4482222222221</v>
      </c>
      <c r="Q58" s="20">
        <v>1193.31</v>
      </c>
      <c r="R58" s="2">
        <v>459.56099999999998</v>
      </c>
      <c r="S58" s="25">
        <f t="shared" si="10"/>
        <v>-733.74900000000002</v>
      </c>
      <c r="T58" s="21">
        <f t="shared" si="1"/>
        <v>38.511451341227342</v>
      </c>
    </row>
    <row r="59" spans="1:20" x14ac:dyDescent="0.25">
      <c r="A59" s="23">
        <v>7.3</v>
      </c>
      <c r="B59" s="19" t="s">
        <v>43</v>
      </c>
      <c r="C59" s="18" t="s">
        <v>13</v>
      </c>
      <c r="D59" s="2">
        <v>641.88</v>
      </c>
      <c r="E59" s="2">
        <v>680.39</v>
      </c>
      <c r="F59" s="2">
        <f t="shared" si="27"/>
        <v>325.882476</v>
      </c>
      <c r="G59" s="2">
        <v>-49.23</v>
      </c>
      <c r="H59" s="2">
        <f t="shared" si="29"/>
        <v>183.63726099999997</v>
      </c>
      <c r="I59" s="2">
        <v>-73.010000000000005</v>
      </c>
      <c r="J59" s="20">
        <f t="shared" ref="J59:J68" si="32">H59+F59</f>
        <v>509.51973699999996</v>
      </c>
      <c r="K59" s="20">
        <v>813.23099999999999</v>
      </c>
      <c r="L59" s="20">
        <f t="shared" si="30"/>
        <v>361.43599999999998</v>
      </c>
      <c r="M59" s="20">
        <f t="shared" si="7"/>
        <v>1174.6669999999999</v>
      </c>
      <c r="N59" s="20">
        <f t="shared" si="28"/>
        <v>303.71126300000003</v>
      </c>
      <c r="O59" s="20">
        <f t="shared" si="16"/>
        <v>494.27699999999993</v>
      </c>
      <c r="P59" s="20">
        <f t="shared" si="31"/>
        <v>1174.6669999999999</v>
      </c>
      <c r="Q59" s="20">
        <v>994.42</v>
      </c>
      <c r="R59" s="2">
        <v>231.29</v>
      </c>
      <c r="S59" s="25">
        <f t="shared" si="10"/>
        <v>-763.13</v>
      </c>
      <c r="T59" s="21">
        <f t="shared" si="1"/>
        <v>23.258784014802597</v>
      </c>
    </row>
    <row r="60" spans="1:20" x14ac:dyDescent="0.25">
      <c r="A60" s="23">
        <v>7.5</v>
      </c>
      <c r="B60" s="19" t="s">
        <v>30</v>
      </c>
      <c r="C60" s="18" t="s">
        <v>13</v>
      </c>
      <c r="D60" s="2"/>
      <c r="E60" s="2"/>
      <c r="F60" s="2">
        <f t="shared" si="27"/>
        <v>0</v>
      </c>
      <c r="G60" s="2">
        <v>-49.23</v>
      </c>
      <c r="H60" s="2">
        <f t="shared" si="29"/>
        <v>0</v>
      </c>
      <c r="I60" s="2">
        <v>-73.010000000000005</v>
      </c>
      <c r="J60" s="20">
        <f t="shared" si="32"/>
        <v>0</v>
      </c>
      <c r="K60" s="20">
        <v>57.345999999999997</v>
      </c>
      <c r="L60" s="20">
        <f t="shared" si="30"/>
        <v>25.487111111111108</v>
      </c>
      <c r="M60" s="20">
        <f t="shared" si="7"/>
        <v>82.833111111111108</v>
      </c>
      <c r="N60" s="20">
        <f t="shared" si="28"/>
        <v>57.345999999999997</v>
      </c>
      <c r="O60" s="20">
        <f t="shared" si="16"/>
        <v>82.833111111111108</v>
      </c>
      <c r="P60" s="20">
        <f t="shared" si="31"/>
        <v>82.833111111111108</v>
      </c>
      <c r="Q60" s="20"/>
      <c r="R60" s="2">
        <v>98.347999999999999</v>
      </c>
      <c r="S60" s="25">
        <f t="shared" si="10"/>
        <v>98.347999999999999</v>
      </c>
      <c r="T60" s="21"/>
    </row>
    <row r="61" spans="1:20" x14ac:dyDescent="0.25">
      <c r="A61" s="23">
        <v>7.6</v>
      </c>
      <c r="B61" s="19" t="s">
        <v>44</v>
      </c>
      <c r="C61" s="18" t="s">
        <v>13</v>
      </c>
      <c r="D61" s="2">
        <v>183.5</v>
      </c>
      <c r="E61" s="2">
        <v>194.51</v>
      </c>
      <c r="F61" s="2">
        <f t="shared" si="27"/>
        <v>93.162949999999995</v>
      </c>
      <c r="G61" s="2">
        <v>-49.23</v>
      </c>
      <c r="H61" s="2">
        <f t="shared" si="29"/>
        <v>52.498248999999987</v>
      </c>
      <c r="I61" s="2">
        <v>-73.010000000000005</v>
      </c>
      <c r="J61" s="20">
        <f t="shared" si="32"/>
        <v>145.66119899999998</v>
      </c>
      <c r="K61" s="20">
        <v>413.12799999999999</v>
      </c>
      <c r="L61" s="20">
        <v>120</v>
      </c>
      <c r="M61" s="20">
        <f t="shared" si="7"/>
        <v>533.12799999999993</v>
      </c>
      <c r="N61" s="20">
        <f t="shared" si="28"/>
        <v>267.46680100000003</v>
      </c>
      <c r="O61" s="20">
        <f t="shared" si="16"/>
        <v>338.61799999999994</v>
      </c>
      <c r="P61" s="2">
        <v>533.13</v>
      </c>
      <c r="Q61" s="20">
        <v>194.51</v>
      </c>
      <c r="R61" s="20">
        <v>309.25</v>
      </c>
      <c r="S61" s="25">
        <f t="shared" si="10"/>
        <v>114.74000000000001</v>
      </c>
      <c r="T61" s="21">
        <f t="shared" si="1"/>
        <v>158.9892550511542</v>
      </c>
    </row>
    <row r="62" spans="1:20" x14ac:dyDescent="0.25">
      <c r="A62" s="23">
        <v>7.7</v>
      </c>
      <c r="B62" s="19" t="s">
        <v>38</v>
      </c>
      <c r="C62" s="18" t="s">
        <v>13</v>
      </c>
      <c r="D62" s="2">
        <v>611.03</v>
      </c>
      <c r="E62" s="2">
        <v>647.69000000000005</v>
      </c>
      <c r="F62" s="2">
        <f t="shared" si="27"/>
        <v>310.21993100000003</v>
      </c>
      <c r="G62" s="2">
        <v>-49.23</v>
      </c>
      <c r="H62" s="2">
        <f t="shared" si="29"/>
        <v>174.811531</v>
      </c>
      <c r="I62" s="2">
        <v>-73.010000000000005</v>
      </c>
      <c r="J62" s="20">
        <f t="shared" si="32"/>
        <v>485.03146200000003</v>
      </c>
      <c r="K62" s="20">
        <v>3090.1550000000002</v>
      </c>
      <c r="L62" s="20">
        <v>810</v>
      </c>
      <c r="M62" s="20">
        <f t="shared" si="7"/>
        <v>3900.1550000000002</v>
      </c>
      <c r="N62" s="20">
        <f t="shared" si="28"/>
        <v>2605.1235380000003</v>
      </c>
      <c r="O62" s="20">
        <f t="shared" si="16"/>
        <v>3252.4650000000001</v>
      </c>
      <c r="P62" s="2">
        <v>3900.16</v>
      </c>
      <c r="Q62" s="20"/>
      <c r="R62" s="20">
        <v>356.21</v>
      </c>
      <c r="S62" s="25">
        <f t="shared" si="10"/>
        <v>356.21</v>
      </c>
      <c r="T62" s="21"/>
    </row>
    <row r="63" spans="1:20" x14ac:dyDescent="0.25">
      <c r="A63" s="23">
        <v>7.8</v>
      </c>
      <c r="B63" s="19" t="s">
        <v>46</v>
      </c>
      <c r="C63" s="18" t="s">
        <v>13</v>
      </c>
      <c r="D63" s="2">
        <v>652.57000000000005</v>
      </c>
      <c r="E63" s="2">
        <v>691.72</v>
      </c>
      <c r="F63" s="2">
        <f t="shared" si="27"/>
        <v>331.30978900000002</v>
      </c>
      <c r="G63" s="2">
        <v>-49.23</v>
      </c>
      <c r="H63" s="2">
        <f t="shared" si="29"/>
        <v>186.69522799999993</v>
      </c>
      <c r="I63" s="2">
        <v>-73.010000000000005</v>
      </c>
      <c r="J63" s="20">
        <f t="shared" si="32"/>
        <v>518.00501699999995</v>
      </c>
      <c r="K63" s="20">
        <v>843.75</v>
      </c>
      <c r="L63" s="20">
        <v>200</v>
      </c>
      <c r="M63" s="20">
        <f t="shared" si="7"/>
        <v>1043.75</v>
      </c>
      <c r="N63" s="20">
        <f t="shared" si="28"/>
        <v>325.74498300000005</v>
      </c>
      <c r="O63" s="20">
        <f t="shared" si="16"/>
        <v>352.03</v>
      </c>
      <c r="P63" s="2">
        <v>1043.75</v>
      </c>
      <c r="Q63" s="2">
        <v>254.26</v>
      </c>
      <c r="R63" s="2">
        <v>328.8</v>
      </c>
      <c r="S63" s="25">
        <f t="shared" si="10"/>
        <v>74.54000000000002</v>
      </c>
      <c r="T63" s="21">
        <f t="shared" si="1"/>
        <v>129.31644773066941</v>
      </c>
    </row>
    <row r="64" spans="1:20" x14ac:dyDescent="0.25">
      <c r="A64" s="53">
        <v>7.9</v>
      </c>
      <c r="B64" s="19" t="s">
        <v>99</v>
      </c>
      <c r="C64" s="18" t="s">
        <v>13</v>
      </c>
      <c r="D64" s="20">
        <v>301.14</v>
      </c>
      <c r="E64" s="20">
        <v>319.20999999999998</v>
      </c>
      <c r="F64" s="20">
        <f t="shared" si="27"/>
        <v>152.888778</v>
      </c>
      <c r="G64" s="2">
        <v>-49.23</v>
      </c>
      <c r="H64" s="20">
        <f t="shared" si="29"/>
        <v>86.154778999999962</v>
      </c>
      <c r="I64" s="2">
        <v>-73.010000000000005</v>
      </c>
      <c r="J64" s="20">
        <f t="shared" si="32"/>
        <v>239.04355699999996</v>
      </c>
      <c r="K64" s="20">
        <v>671.66399999999999</v>
      </c>
      <c r="L64" s="20">
        <v>100</v>
      </c>
      <c r="M64" s="20">
        <f t="shared" si="7"/>
        <v>771.66399999999999</v>
      </c>
      <c r="N64" s="20">
        <f t="shared" si="28"/>
        <v>432.62044300000002</v>
      </c>
      <c r="O64" s="20">
        <f t="shared" si="16"/>
        <v>452.45400000000001</v>
      </c>
      <c r="P64" s="2">
        <v>771.66</v>
      </c>
      <c r="Q64" s="20">
        <v>193.31</v>
      </c>
      <c r="R64" s="2">
        <v>479.45</v>
      </c>
      <c r="S64" s="25">
        <f t="shared" si="10"/>
        <v>286.14</v>
      </c>
      <c r="T64" s="21">
        <f t="shared" si="1"/>
        <v>248.02131291707619</v>
      </c>
    </row>
    <row r="65" spans="1:21" x14ac:dyDescent="0.25">
      <c r="A65" s="18">
        <v>7.1</v>
      </c>
      <c r="B65" s="19" t="s">
        <v>50</v>
      </c>
      <c r="C65" s="18" t="s">
        <v>13</v>
      </c>
      <c r="D65" s="2">
        <v>23.5</v>
      </c>
      <c r="E65" s="2">
        <v>24.91</v>
      </c>
      <c r="F65" s="2">
        <f>D65+D65*G65/100</f>
        <v>11.930950000000001</v>
      </c>
      <c r="G65" s="2">
        <v>-49.23</v>
      </c>
      <c r="H65" s="2">
        <f>E65+E65*I65/100</f>
        <v>6.7232090000000007</v>
      </c>
      <c r="I65" s="2">
        <v>-73.010000000000005</v>
      </c>
      <c r="J65" s="20">
        <f>H65+F65</f>
        <v>18.654159</v>
      </c>
      <c r="K65" s="20">
        <v>272.85899999999998</v>
      </c>
      <c r="L65" s="20"/>
      <c r="M65" s="20">
        <f>L65+K65</f>
        <v>272.85899999999998</v>
      </c>
      <c r="N65" s="20">
        <f>K65-J65</f>
        <v>254.20484099999999</v>
      </c>
      <c r="O65" s="20">
        <f>M65-E65</f>
        <v>247.94899999999998</v>
      </c>
      <c r="P65" s="2">
        <v>272.86</v>
      </c>
      <c r="Q65" s="20">
        <v>24.91</v>
      </c>
      <c r="R65" s="20">
        <v>559.55999999999995</v>
      </c>
      <c r="S65" s="25">
        <f t="shared" si="10"/>
        <v>534.65</v>
      </c>
      <c r="T65" s="21">
        <f t="shared" si="1"/>
        <v>2246.3267763950221</v>
      </c>
    </row>
    <row r="66" spans="1:21" ht="18.75" customHeight="1" x14ac:dyDescent="0.25">
      <c r="A66" s="18">
        <v>7.11</v>
      </c>
      <c r="B66" s="19" t="s">
        <v>47</v>
      </c>
      <c r="C66" s="18" t="s">
        <v>13</v>
      </c>
      <c r="D66" s="2">
        <v>1832.5</v>
      </c>
      <c r="E66" s="2">
        <v>1942.45</v>
      </c>
      <c r="F66" s="2">
        <f t="shared" si="27"/>
        <v>930.36025000000006</v>
      </c>
      <c r="G66" s="2">
        <v>-49.23</v>
      </c>
      <c r="H66" s="2">
        <f t="shared" si="29"/>
        <v>524.26725499999998</v>
      </c>
      <c r="I66" s="2">
        <v>-73.010000000000005</v>
      </c>
      <c r="J66" s="20">
        <f t="shared" si="32"/>
        <v>1454.6275049999999</v>
      </c>
      <c r="K66" s="20">
        <v>1967.37</v>
      </c>
      <c r="L66" s="20"/>
      <c r="M66" s="20">
        <f t="shared" si="7"/>
        <v>1967.37</v>
      </c>
      <c r="N66" s="20">
        <f t="shared" si="28"/>
        <v>512.74249499999996</v>
      </c>
      <c r="O66" s="20">
        <f t="shared" si="16"/>
        <v>24.919999999999845</v>
      </c>
      <c r="P66" s="2">
        <v>1967.37</v>
      </c>
      <c r="Q66" s="2">
        <v>1942.45</v>
      </c>
      <c r="R66" s="2">
        <v>1853.95</v>
      </c>
      <c r="S66" s="25">
        <f t="shared" si="10"/>
        <v>-88.5</v>
      </c>
      <c r="T66" s="21">
        <f t="shared" si="1"/>
        <v>95.443898169837055</v>
      </c>
    </row>
    <row r="67" spans="1:21" ht="34.5" customHeight="1" x14ac:dyDescent="0.25">
      <c r="A67" s="18">
        <v>7.12</v>
      </c>
      <c r="B67" s="19" t="s">
        <v>48</v>
      </c>
      <c r="C67" s="18" t="s">
        <v>13</v>
      </c>
      <c r="D67" s="20">
        <v>143.15</v>
      </c>
      <c r="E67" s="20">
        <v>151.74</v>
      </c>
      <c r="F67" s="20">
        <f t="shared" si="27"/>
        <v>72.677255000000017</v>
      </c>
      <c r="G67" s="2">
        <v>-49.23</v>
      </c>
      <c r="H67" s="20">
        <f t="shared" si="29"/>
        <v>40.954626000000005</v>
      </c>
      <c r="I67" s="2">
        <v>-73.010000000000005</v>
      </c>
      <c r="J67" s="20">
        <f t="shared" si="32"/>
        <v>113.63188100000002</v>
      </c>
      <c r="K67" s="20">
        <v>185.10499999999999</v>
      </c>
      <c r="L67" s="20"/>
      <c r="M67" s="20">
        <f t="shared" si="7"/>
        <v>185.10499999999999</v>
      </c>
      <c r="N67" s="20">
        <f t="shared" si="28"/>
        <v>71.473118999999969</v>
      </c>
      <c r="O67" s="20">
        <f t="shared" si="16"/>
        <v>33.364999999999981</v>
      </c>
      <c r="P67" s="20">
        <v>185.11</v>
      </c>
      <c r="Q67" s="20">
        <v>151.74</v>
      </c>
      <c r="R67" s="20">
        <v>201.31</v>
      </c>
      <c r="S67" s="25">
        <f t="shared" si="10"/>
        <v>49.569999999999993</v>
      </c>
      <c r="T67" s="21">
        <f t="shared" si="1"/>
        <v>132.66772110188481</v>
      </c>
    </row>
    <row r="68" spans="1:21" x14ac:dyDescent="0.25">
      <c r="A68" s="18">
        <v>7.14</v>
      </c>
      <c r="B68" s="19" t="s">
        <v>49</v>
      </c>
      <c r="C68" s="18" t="s">
        <v>13</v>
      </c>
      <c r="D68" s="2">
        <v>260.25</v>
      </c>
      <c r="E68" s="2">
        <v>275.87</v>
      </c>
      <c r="F68" s="2">
        <f t="shared" si="27"/>
        <v>132.12892500000001</v>
      </c>
      <c r="G68" s="2">
        <v>-49.23</v>
      </c>
      <c r="H68" s="2">
        <f>E68+E68*I68/100</f>
        <v>74.457312999999999</v>
      </c>
      <c r="I68" s="2">
        <v>-73.010000000000005</v>
      </c>
      <c r="J68" s="20">
        <f t="shared" si="32"/>
        <v>206.58623800000001</v>
      </c>
      <c r="K68" s="20">
        <v>455.91199999999998</v>
      </c>
      <c r="L68" s="20"/>
      <c r="M68" s="20">
        <f t="shared" si="7"/>
        <v>455.91199999999998</v>
      </c>
      <c r="N68" s="20">
        <f t="shared" si="28"/>
        <v>249.32576199999997</v>
      </c>
      <c r="O68" s="20">
        <f t="shared" si="16"/>
        <v>180.04199999999997</v>
      </c>
      <c r="P68" s="2">
        <v>455.91</v>
      </c>
      <c r="Q68" s="20">
        <v>275.87</v>
      </c>
      <c r="R68" s="20"/>
      <c r="S68" s="25">
        <f t="shared" si="10"/>
        <v>-275.87</v>
      </c>
      <c r="T68" s="21">
        <f t="shared" si="1"/>
        <v>0</v>
      </c>
    </row>
    <row r="69" spans="1:21" ht="37.5" customHeight="1" x14ac:dyDescent="0.25">
      <c r="A69" s="18">
        <v>7.15</v>
      </c>
      <c r="B69" s="19" t="s">
        <v>51</v>
      </c>
      <c r="C69" s="18" t="s">
        <v>13</v>
      </c>
      <c r="D69" s="20">
        <v>4342.8</v>
      </c>
      <c r="E69" s="20">
        <v>4603.37</v>
      </c>
      <c r="F69" s="20">
        <f t="shared" si="27"/>
        <v>2204.8395600000003</v>
      </c>
      <c r="G69" s="2">
        <v>-49.23</v>
      </c>
      <c r="H69" s="20">
        <f>E69+E69*I69/100</f>
        <v>1242.4495629999997</v>
      </c>
      <c r="I69" s="2">
        <v>-73.010000000000005</v>
      </c>
      <c r="J69" s="20">
        <f>H69+F69</f>
        <v>3447.289123</v>
      </c>
      <c r="K69" s="20">
        <v>1332.0619999999999</v>
      </c>
      <c r="L69" s="20"/>
      <c r="M69" s="20">
        <f t="shared" si="7"/>
        <v>1332.0619999999999</v>
      </c>
      <c r="N69" s="20">
        <f t="shared" si="28"/>
        <v>-2115.2271230000001</v>
      </c>
      <c r="O69" s="20">
        <f t="shared" si="16"/>
        <v>-3271.308</v>
      </c>
      <c r="P69" s="20">
        <v>1332.06</v>
      </c>
      <c r="Q69" s="20">
        <v>1972.87</v>
      </c>
      <c r="R69" s="20"/>
      <c r="S69" s="25">
        <f t="shared" si="10"/>
        <v>-1972.87</v>
      </c>
      <c r="T69" s="21">
        <f t="shared" si="1"/>
        <v>0</v>
      </c>
    </row>
    <row r="70" spans="1:21" x14ac:dyDescent="0.25">
      <c r="A70" s="18">
        <v>7.16</v>
      </c>
      <c r="B70" s="19" t="s">
        <v>52</v>
      </c>
      <c r="C70" s="18" t="s">
        <v>13</v>
      </c>
      <c r="D70" s="2"/>
      <c r="E70" s="2"/>
      <c r="F70" s="2">
        <f t="shared" si="27"/>
        <v>0</v>
      </c>
      <c r="G70" s="2">
        <v>-49.23</v>
      </c>
      <c r="H70" s="2">
        <f t="shared" si="29"/>
        <v>0</v>
      </c>
      <c r="I70" s="2">
        <v>-73.010000000000005</v>
      </c>
      <c r="J70" s="20"/>
      <c r="K70" s="20">
        <v>371.74799999999999</v>
      </c>
      <c r="L70" s="20">
        <v>100</v>
      </c>
      <c r="M70" s="20">
        <f t="shared" si="7"/>
        <v>471.74799999999999</v>
      </c>
      <c r="N70" s="20">
        <f t="shared" si="28"/>
        <v>371.74799999999999</v>
      </c>
      <c r="O70" s="20">
        <f t="shared" si="16"/>
        <v>471.74799999999999</v>
      </c>
      <c r="P70" s="2">
        <v>471.75</v>
      </c>
      <c r="Q70" s="20"/>
      <c r="R70" s="20"/>
      <c r="S70" s="25">
        <f t="shared" si="10"/>
        <v>0</v>
      </c>
      <c r="T70" s="21"/>
    </row>
    <row r="71" spans="1:21" x14ac:dyDescent="0.25">
      <c r="A71" s="18">
        <v>7.17</v>
      </c>
      <c r="B71" s="19" t="s">
        <v>53</v>
      </c>
      <c r="C71" s="18" t="s">
        <v>13</v>
      </c>
      <c r="D71" s="2"/>
      <c r="E71" s="2"/>
      <c r="F71" s="2">
        <f t="shared" si="27"/>
        <v>0</v>
      </c>
      <c r="G71" s="2">
        <v>-49.23</v>
      </c>
      <c r="H71" s="2">
        <f t="shared" si="29"/>
        <v>0</v>
      </c>
      <c r="I71" s="2">
        <v>-73.010000000000005</v>
      </c>
      <c r="J71" s="20"/>
      <c r="K71" s="20">
        <v>1022.936</v>
      </c>
      <c r="L71" s="20">
        <v>170</v>
      </c>
      <c r="M71" s="20">
        <f t="shared" si="7"/>
        <v>1192.9360000000001</v>
      </c>
      <c r="N71" s="20">
        <f t="shared" si="28"/>
        <v>1022.936</v>
      </c>
      <c r="O71" s="20">
        <f t="shared" si="16"/>
        <v>1192.9360000000001</v>
      </c>
      <c r="P71" s="2">
        <v>1192.94</v>
      </c>
      <c r="Q71" s="2"/>
      <c r="R71" s="2">
        <v>2040.57</v>
      </c>
      <c r="S71" s="25">
        <f t="shared" si="10"/>
        <v>2040.57</v>
      </c>
      <c r="T71" s="21"/>
    </row>
    <row r="72" spans="1:21" ht="33.75" customHeight="1" x14ac:dyDescent="0.25">
      <c r="A72" s="18">
        <v>7.15</v>
      </c>
      <c r="B72" s="19" t="s">
        <v>54</v>
      </c>
      <c r="C72" s="18" t="s">
        <v>13</v>
      </c>
      <c r="D72" s="2"/>
      <c r="E72" s="2"/>
      <c r="F72" s="2">
        <f t="shared" si="27"/>
        <v>0</v>
      </c>
      <c r="G72" s="2">
        <v>-49.23</v>
      </c>
      <c r="H72" s="2">
        <f t="shared" si="29"/>
        <v>0</v>
      </c>
      <c r="I72" s="2">
        <v>-73.010000000000005</v>
      </c>
      <c r="J72" s="20"/>
      <c r="K72" s="20">
        <v>138.90100000000001</v>
      </c>
      <c r="L72" s="20"/>
      <c r="M72" s="20">
        <f t="shared" si="7"/>
        <v>138.90100000000001</v>
      </c>
      <c r="N72" s="20">
        <f t="shared" si="28"/>
        <v>138.90100000000001</v>
      </c>
      <c r="O72" s="20">
        <f t="shared" si="16"/>
        <v>138.90100000000001</v>
      </c>
      <c r="P72" s="2">
        <v>138.9</v>
      </c>
      <c r="Q72" s="20"/>
      <c r="R72" s="20"/>
      <c r="S72" s="25">
        <f t="shared" si="10"/>
        <v>0</v>
      </c>
      <c r="T72" s="21"/>
    </row>
    <row r="73" spans="1:21" ht="15.75" hidden="1" customHeight="1" x14ac:dyDescent="0.25">
      <c r="A73" s="18">
        <v>7.15</v>
      </c>
      <c r="B73" s="19" t="s">
        <v>55</v>
      </c>
      <c r="C73" s="18" t="s">
        <v>13</v>
      </c>
      <c r="D73" s="2"/>
      <c r="E73" s="2"/>
      <c r="F73" s="2">
        <f t="shared" si="27"/>
        <v>0</v>
      </c>
      <c r="G73" s="2">
        <v>-49.23</v>
      </c>
      <c r="H73" s="2">
        <f t="shared" si="29"/>
        <v>0</v>
      </c>
      <c r="I73" s="2">
        <v>-73.010000000000005</v>
      </c>
      <c r="J73" s="20"/>
      <c r="K73" s="20">
        <v>9.4499999999999993</v>
      </c>
      <c r="L73" s="20"/>
      <c r="M73" s="20">
        <f t="shared" si="7"/>
        <v>9.4499999999999993</v>
      </c>
      <c r="N73" s="20">
        <f t="shared" si="28"/>
        <v>9.4499999999999993</v>
      </c>
      <c r="O73" s="20">
        <f t="shared" si="16"/>
        <v>9.4499999999999993</v>
      </c>
      <c r="P73" s="2">
        <v>9.4499999999999993</v>
      </c>
      <c r="Q73" s="2"/>
      <c r="R73" s="2"/>
      <c r="S73" s="25">
        <f t="shared" si="10"/>
        <v>0</v>
      </c>
      <c r="T73" s="21" t="e">
        <f t="shared" si="1"/>
        <v>#DIV/0!</v>
      </c>
    </row>
    <row r="74" spans="1:21" ht="31.5" hidden="1" customHeight="1" x14ac:dyDescent="0.25">
      <c r="A74" s="18">
        <v>7.15</v>
      </c>
      <c r="B74" s="19" t="s">
        <v>56</v>
      </c>
      <c r="C74" s="18" t="s">
        <v>13</v>
      </c>
      <c r="D74" s="2"/>
      <c r="E74" s="2"/>
      <c r="F74" s="2">
        <f t="shared" si="27"/>
        <v>0</v>
      </c>
      <c r="G74" s="2">
        <v>-49.23</v>
      </c>
      <c r="H74" s="2">
        <f t="shared" si="29"/>
        <v>0</v>
      </c>
      <c r="I74" s="2">
        <v>-73.010000000000005</v>
      </c>
      <c r="J74" s="20"/>
      <c r="K74" s="20">
        <v>958.13300000000004</v>
      </c>
      <c r="L74" s="20"/>
      <c r="M74" s="20">
        <f t="shared" si="7"/>
        <v>958.13300000000004</v>
      </c>
      <c r="N74" s="20">
        <f t="shared" si="28"/>
        <v>958.13300000000004</v>
      </c>
      <c r="O74" s="20">
        <f t="shared" si="16"/>
        <v>958.13300000000004</v>
      </c>
      <c r="P74" s="2">
        <v>958.13</v>
      </c>
      <c r="Q74" s="2"/>
      <c r="R74" s="2"/>
      <c r="S74" s="25">
        <f t="shared" si="10"/>
        <v>0</v>
      </c>
      <c r="T74" s="21" t="e">
        <f t="shared" si="1"/>
        <v>#DIV/0!</v>
      </c>
    </row>
    <row r="75" spans="1:21" ht="15.75" hidden="1" customHeight="1" x14ac:dyDescent="0.25">
      <c r="A75" s="18">
        <v>7.15</v>
      </c>
      <c r="B75" s="19" t="s">
        <v>22</v>
      </c>
      <c r="C75" s="18" t="s">
        <v>13</v>
      </c>
      <c r="D75" s="2"/>
      <c r="E75" s="2"/>
      <c r="F75" s="2">
        <f t="shared" si="27"/>
        <v>0</v>
      </c>
      <c r="G75" s="2">
        <v>-49.23</v>
      </c>
      <c r="H75" s="2">
        <f t="shared" si="29"/>
        <v>0</v>
      </c>
      <c r="I75" s="2">
        <v>-73.010000000000005</v>
      </c>
      <c r="J75" s="20"/>
      <c r="K75" s="20">
        <v>182.26300000000001</v>
      </c>
      <c r="L75" s="20"/>
      <c r="M75" s="20">
        <f t="shared" si="7"/>
        <v>182.26300000000001</v>
      </c>
      <c r="N75" s="20">
        <f t="shared" si="28"/>
        <v>182.26300000000001</v>
      </c>
      <c r="O75" s="20">
        <f t="shared" si="16"/>
        <v>182.26300000000001</v>
      </c>
      <c r="P75" s="2">
        <v>182.26</v>
      </c>
      <c r="Q75" s="2"/>
      <c r="R75" s="2"/>
      <c r="S75" s="25">
        <f t="shared" si="10"/>
        <v>0</v>
      </c>
      <c r="T75" s="21" t="e">
        <f t="shared" si="1"/>
        <v>#DIV/0!</v>
      </c>
    </row>
    <row r="76" spans="1:21" ht="15.75" hidden="1" customHeight="1" x14ac:dyDescent="0.25">
      <c r="A76" s="18">
        <v>7.18</v>
      </c>
      <c r="B76" s="19" t="s">
        <v>35</v>
      </c>
      <c r="C76" s="18" t="s">
        <v>13</v>
      </c>
      <c r="D76" s="20">
        <v>401.56</v>
      </c>
      <c r="E76" s="20">
        <v>425.66</v>
      </c>
      <c r="F76" s="20">
        <f t="shared" si="27"/>
        <v>203.87201199999998</v>
      </c>
      <c r="G76" s="2">
        <v>-49.23</v>
      </c>
      <c r="H76" s="20">
        <f t="shared" si="29"/>
        <v>114.88563399999998</v>
      </c>
      <c r="I76" s="2">
        <v>-73.010000000000005</v>
      </c>
      <c r="J76" s="20">
        <f>H76+F76</f>
        <v>318.75764599999997</v>
      </c>
      <c r="K76" s="20"/>
      <c r="L76" s="20"/>
      <c r="M76" s="20">
        <f t="shared" si="7"/>
        <v>0</v>
      </c>
      <c r="N76" s="20">
        <f t="shared" si="28"/>
        <v>-318.75764599999997</v>
      </c>
      <c r="O76" s="20">
        <f>M76-E76</f>
        <v>-425.66</v>
      </c>
      <c r="P76" s="20">
        <v>0</v>
      </c>
      <c r="Q76" s="20"/>
      <c r="R76" s="2"/>
      <c r="S76" s="25">
        <f t="shared" si="10"/>
        <v>0</v>
      </c>
      <c r="T76" s="21" t="e">
        <f t="shared" si="1"/>
        <v>#DIV/0!</v>
      </c>
    </row>
    <row r="77" spans="1:21" x14ac:dyDescent="0.25">
      <c r="A77" s="17">
        <v>8</v>
      </c>
      <c r="B77" s="15" t="s">
        <v>108</v>
      </c>
      <c r="C77" s="14" t="s">
        <v>13</v>
      </c>
      <c r="D77" s="3">
        <f>SUM(D81:D81)</f>
        <v>700.53</v>
      </c>
      <c r="E77" s="3">
        <f>SUM(E81:E81)</f>
        <v>742.57</v>
      </c>
      <c r="F77" s="3">
        <f>SUM(F81:F81)</f>
        <v>355.65908099999996</v>
      </c>
      <c r="G77" s="2">
        <v>-49.23</v>
      </c>
      <c r="H77" s="3">
        <f>SUM(H81:H81)</f>
        <v>200.41964299999995</v>
      </c>
      <c r="I77" s="2">
        <v>-73.010000000000005</v>
      </c>
      <c r="J77" s="3">
        <f t="shared" ref="J77:P77" si="33">SUM(J81:J81)</f>
        <v>556.07872399999997</v>
      </c>
      <c r="K77" s="3">
        <f t="shared" si="33"/>
        <v>788.798</v>
      </c>
      <c r="L77" s="3">
        <f t="shared" si="33"/>
        <v>0</v>
      </c>
      <c r="M77" s="3">
        <f t="shared" si="33"/>
        <v>788.798</v>
      </c>
      <c r="N77" s="3">
        <f t="shared" si="33"/>
        <v>232.71927600000004</v>
      </c>
      <c r="O77" s="3">
        <f t="shared" si="33"/>
        <v>46.227999999999952</v>
      </c>
      <c r="P77" s="3">
        <f t="shared" si="33"/>
        <v>788.8</v>
      </c>
      <c r="Q77" s="3">
        <f>SUM(Q78:Q81)</f>
        <v>474.14</v>
      </c>
      <c r="R77" s="3">
        <f>SUM(R78:R81)</f>
        <v>417.06</v>
      </c>
      <c r="S77" s="35">
        <f t="shared" si="10"/>
        <v>-57.079999999999984</v>
      </c>
      <c r="T77" s="16">
        <f t="shared" si="1"/>
        <v>87.961361623149287</v>
      </c>
    </row>
    <row r="78" spans="1:21" ht="30" customHeight="1" x14ac:dyDescent="0.25">
      <c r="A78" s="23">
        <v>8.1</v>
      </c>
      <c r="B78" s="19" t="s">
        <v>45</v>
      </c>
      <c r="C78" s="18" t="s">
        <v>13</v>
      </c>
      <c r="D78" s="3"/>
      <c r="E78" s="3"/>
      <c r="F78" s="3"/>
      <c r="G78" s="2"/>
      <c r="H78" s="3"/>
      <c r="I78" s="2"/>
      <c r="J78" s="3"/>
      <c r="K78" s="3"/>
      <c r="L78" s="3"/>
      <c r="M78" s="3"/>
      <c r="N78" s="3"/>
      <c r="O78" s="3"/>
      <c r="P78" s="3"/>
      <c r="Q78" s="20">
        <v>300.51</v>
      </c>
      <c r="R78" s="20"/>
      <c r="S78" s="25">
        <f t="shared" si="10"/>
        <v>-300.51</v>
      </c>
      <c r="T78" s="21"/>
    </row>
    <row r="79" spans="1:21" ht="31.5" customHeight="1" x14ac:dyDescent="0.25">
      <c r="A79" s="23">
        <v>8.1999999999999993</v>
      </c>
      <c r="B79" s="19" t="s">
        <v>109</v>
      </c>
      <c r="C79" s="18" t="s">
        <v>13</v>
      </c>
      <c r="D79" s="3"/>
      <c r="E79" s="3"/>
      <c r="F79" s="3"/>
      <c r="G79" s="2"/>
      <c r="H79" s="3"/>
      <c r="I79" s="2"/>
      <c r="J79" s="3"/>
      <c r="K79" s="3"/>
      <c r="L79" s="3"/>
      <c r="M79" s="3"/>
      <c r="N79" s="3"/>
      <c r="O79" s="3"/>
      <c r="P79" s="3"/>
      <c r="Q79" s="20"/>
      <c r="R79" s="20"/>
      <c r="S79" s="25">
        <f t="shared" si="10"/>
        <v>0</v>
      </c>
      <c r="T79" s="21"/>
    </row>
    <row r="80" spans="1:21" x14ac:dyDescent="0.25">
      <c r="A80" s="23">
        <v>8.3000000000000007</v>
      </c>
      <c r="B80" s="19" t="s">
        <v>138</v>
      </c>
      <c r="C80" s="18" t="s">
        <v>13</v>
      </c>
      <c r="D80" s="3"/>
      <c r="E80" s="3"/>
      <c r="F80" s="3"/>
      <c r="G80" s="2"/>
      <c r="H80" s="3"/>
      <c r="I80" s="2"/>
      <c r="J80" s="3"/>
      <c r="K80" s="3"/>
      <c r="L80" s="3"/>
      <c r="M80" s="3"/>
      <c r="N80" s="3"/>
      <c r="O80" s="3"/>
      <c r="P80" s="3"/>
      <c r="Q80" s="20"/>
      <c r="R80" s="20"/>
      <c r="S80" s="25">
        <f t="shared" si="10"/>
        <v>0</v>
      </c>
      <c r="T80" s="21"/>
      <c r="U80" s="54"/>
    </row>
    <row r="81" spans="1:20" x14ac:dyDescent="0.25">
      <c r="A81" s="23">
        <v>8.4</v>
      </c>
      <c r="B81" s="19" t="s">
        <v>57</v>
      </c>
      <c r="C81" s="18" t="s">
        <v>13</v>
      </c>
      <c r="D81" s="2">
        <v>700.53</v>
      </c>
      <c r="E81" s="2">
        <v>742.57</v>
      </c>
      <c r="F81" s="2">
        <f t="shared" ref="F81" si="34">D81+D81*G81/100</f>
        <v>355.65908099999996</v>
      </c>
      <c r="G81" s="2">
        <v>-49.23</v>
      </c>
      <c r="H81" s="2">
        <f t="shared" ref="H81" si="35">E81+E81*I81/100</f>
        <v>200.41964299999995</v>
      </c>
      <c r="I81" s="2">
        <v>-73.010000000000005</v>
      </c>
      <c r="J81" s="20">
        <f>H81+F81</f>
        <v>556.07872399999997</v>
      </c>
      <c r="K81" s="20">
        <v>788.798</v>
      </c>
      <c r="L81" s="20"/>
      <c r="M81" s="20">
        <f t="shared" si="7"/>
        <v>788.798</v>
      </c>
      <c r="N81" s="20">
        <f>K81-J81</f>
        <v>232.71927600000004</v>
      </c>
      <c r="O81" s="20">
        <f t="shared" si="16"/>
        <v>46.227999999999952</v>
      </c>
      <c r="P81" s="2">
        <v>788.8</v>
      </c>
      <c r="Q81" s="2">
        <v>173.63</v>
      </c>
      <c r="R81" s="2">
        <v>417.06</v>
      </c>
      <c r="S81" s="25">
        <f t="shared" si="10"/>
        <v>243.43</v>
      </c>
      <c r="T81" s="21">
        <f t="shared" ref="T81:T84" si="36">R81/Q81%</f>
        <v>240.20042619363014</v>
      </c>
    </row>
    <row r="82" spans="1:20" ht="27" customHeight="1" x14ac:dyDescent="0.25">
      <c r="A82" s="14" t="s">
        <v>58</v>
      </c>
      <c r="B82" s="15" t="s">
        <v>110</v>
      </c>
      <c r="C82" s="14" t="s">
        <v>13</v>
      </c>
      <c r="D82" s="4">
        <f>D23+D55</f>
        <v>464956.50000000006</v>
      </c>
      <c r="E82" s="4">
        <f>E23+E55</f>
        <v>484072.14000000007</v>
      </c>
      <c r="F82" s="4">
        <f>F23+F55</f>
        <v>236058.41505000007</v>
      </c>
      <c r="G82" s="2">
        <v>-49.23</v>
      </c>
      <c r="H82" s="4">
        <f>H23+H55</f>
        <v>130651.07058599999</v>
      </c>
      <c r="I82" s="2">
        <v>-73.010000000000005</v>
      </c>
      <c r="J82" s="4">
        <f t="shared" ref="J82:R82" si="37">J23+J55</f>
        <v>366709.48563600006</v>
      </c>
      <c r="K82" s="4">
        <f t="shared" si="37"/>
        <v>111969.07</v>
      </c>
      <c r="L82" s="4">
        <f t="shared" si="37"/>
        <v>42849.922222222223</v>
      </c>
      <c r="M82" s="4">
        <f t="shared" si="37"/>
        <v>154818.99222222221</v>
      </c>
      <c r="N82" s="4">
        <f t="shared" si="37"/>
        <v>-272513.71796899999</v>
      </c>
      <c r="O82" s="4">
        <f t="shared" si="37"/>
        <v>-329253.14777777781</v>
      </c>
      <c r="P82" s="4">
        <f t="shared" si="37"/>
        <v>397794.66944444453</v>
      </c>
      <c r="Q82" s="3">
        <f t="shared" si="37"/>
        <v>285736.71999999997</v>
      </c>
      <c r="R82" s="3">
        <f t="shared" si="37"/>
        <v>62293.300999999999</v>
      </c>
      <c r="S82" s="35">
        <f t="shared" ref="S82:S102" si="38">R82-Q82</f>
        <v>-223443.41899999997</v>
      </c>
      <c r="T82" s="16">
        <f t="shared" si="36"/>
        <v>21.800943539913249</v>
      </c>
    </row>
    <row r="83" spans="1:20" s="26" customFormat="1" x14ac:dyDescent="0.25">
      <c r="A83" s="14" t="s">
        <v>59</v>
      </c>
      <c r="B83" s="15" t="s">
        <v>111</v>
      </c>
      <c r="C83" s="14" t="s">
        <v>13</v>
      </c>
      <c r="D83" s="4"/>
      <c r="E83" s="4"/>
      <c r="F83" s="4"/>
      <c r="G83" s="4">
        <v>-49.23</v>
      </c>
      <c r="H83" s="4"/>
      <c r="I83" s="4">
        <v>-73.010000000000005</v>
      </c>
      <c r="J83" s="3">
        <f t="shared" si="23"/>
        <v>0</v>
      </c>
      <c r="K83" s="3">
        <f>K85-K82</f>
        <v>232908.57399999996</v>
      </c>
      <c r="L83" s="3"/>
      <c r="M83" s="22">
        <f t="shared" si="7"/>
        <v>232908.57399999996</v>
      </c>
      <c r="N83" s="3"/>
      <c r="O83" s="3">
        <f t="shared" si="16"/>
        <v>232908.57399999996</v>
      </c>
      <c r="P83" s="4">
        <f>P85-P82</f>
        <v>-52917.02544444456</v>
      </c>
      <c r="Q83" s="4">
        <v>0</v>
      </c>
      <c r="R83" s="4">
        <f>R85-R82</f>
        <v>-29553.012999999999</v>
      </c>
      <c r="S83" s="35">
        <f t="shared" si="38"/>
        <v>-29553.012999999999</v>
      </c>
      <c r="T83" s="16"/>
    </row>
    <row r="84" spans="1:20" ht="47.25" hidden="1" x14ac:dyDescent="0.25">
      <c r="A84" s="14" t="s">
        <v>60</v>
      </c>
      <c r="B84" s="15" t="s">
        <v>61</v>
      </c>
      <c r="C84" s="14" t="s">
        <v>13</v>
      </c>
      <c r="D84" s="20">
        <v>44664.78</v>
      </c>
      <c r="E84" s="20"/>
      <c r="F84" s="20">
        <f>D84+D84*G84/100</f>
        <v>22676.308806000001</v>
      </c>
      <c r="G84" s="2">
        <v>-49.23</v>
      </c>
      <c r="H84" s="2"/>
      <c r="I84" s="2">
        <v>-73.010000000000005</v>
      </c>
      <c r="J84" s="20">
        <f>F84+H84</f>
        <v>22676.308806000001</v>
      </c>
      <c r="K84" s="20"/>
      <c r="L84" s="20"/>
      <c r="M84" s="20">
        <f t="shared" si="7"/>
        <v>0</v>
      </c>
      <c r="N84" s="20"/>
      <c r="O84" s="20">
        <f t="shared" si="16"/>
        <v>0</v>
      </c>
      <c r="P84" s="2"/>
      <c r="Q84" s="2"/>
      <c r="R84" s="2"/>
      <c r="S84" s="25">
        <f t="shared" si="38"/>
        <v>0</v>
      </c>
      <c r="T84" s="16" t="e">
        <f t="shared" si="36"/>
        <v>#DIV/0!</v>
      </c>
    </row>
    <row r="85" spans="1:20" s="26" customFormat="1" x14ac:dyDescent="0.25">
      <c r="A85" s="14" t="s">
        <v>62</v>
      </c>
      <c r="B85" s="15" t="s">
        <v>63</v>
      </c>
      <c r="C85" s="14" t="s">
        <v>13</v>
      </c>
      <c r="D85" s="4">
        <f>D82-D84</f>
        <v>420291.72000000009</v>
      </c>
      <c r="E85" s="4">
        <f>E82-E84</f>
        <v>484072.14000000007</v>
      </c>
      <c r="F85" s="28">
        <f>F82-F84</f>
        <v>213382.10624400008</v>
      </c>
      <c r="G85" s="4">
        <v>-49.23</v>
      </c>
      <c r="H85" s="4">
        <f>H82-H84</f>
        <v>130651.07058599999</v>
      </c>
      <c r="I85" s="4">
        <v>-73.010000000000005</v>
      </c>
      <c r="J85" s="3">
        <f>F85+H85</f>
        <v>344033.17683000007</v>
      </c>
      <c r="K85" s="4">
        <f>F130+H130</f>
        <v>344877.64399999997</v>
      </c>
      <c r="L85" s="4"/>
      <c r="M85" s="3">
        <f>L85+K85</f>
        <v>344877.64399999997</v>
      </c>
      <c r="N85" s="4"/>
      <c r="O85" s="3">
        <f t="shared" si="16"/>
        <v>-139194.4960000001</v>
      </c>
      <c r="P85" s="4">
        <f>M85</f>
        <v>344877.64399999997</v>
      </c>
      <c r="Q85" s="4">
        <f>Q82</f>
        <v>285736.71999999997</v>
      </c>
      <c r="R85" s="4">
        <v>32740.288</v>
      </c>
      <c r="S85" s="35">
        <f t="shared" si="38"/>
        <v>-252996.43199999997</v>
      </c>
      <c r="T85" s="16">
        <f t="shared" ref="T85" si="39">R85/Q85*100-100</f>
        <v>-88.541798897950528</v>
      </c>
    </row>
    <row r="86" spans="1:20" s="26" customFormat="1" x14ac:dyDescent="0.25">
      <c r="A86" s="14" t="s">
        <v>64</v>
      </c>
      <c r="B86" s="15" t="s">
        <v>65</v>
      </c>
      <c r="C86" s="3" t="s">
        <v>66</v>
      </c>
      <c r="D86" s="3">
        <v>587665</v>
      </c>
      <c r="E86" s="3">
        <v>587665</v>
      </c>
      <c r="F86" s="3">
        <f>F131</f>
        <v>298368.95</v>
      </c>
      <c r="G86" s="4">
        <v>-49.23</v>
      </c>
      <c r="H86" s="3">
        <f>H131</f>
        <v>158600</v>
      </c>
      <c r="I86" s="4">
        <v>-73.010000000000005</v>
      </c>
      <c r="J86" s="3">
        <f>H86+F86</f>
        <v>456968.95</v>
      </c>
      <c r="K86" s="3">
        <f>D134</f>
        <v>456968.95</v>
      </c>
      <c r="L86" s="3"/>
      <c r="M86" s="3">
        <f t="shared" si="7"/>
        <v>456968.95</v>
      </c>
      <c r="N86" s="3">
        <f>K86-J86</f>
        <v>0</v>
      </c>
      <c r="O86" s="3">
        <f t="shared" si="16"/>
        <v>-130696.04999999999</v>
      </c>
      <c r="P86" s="4">
        <f>M86</f>
        <v>456968.95</v>
      </c>
      <c r="Q86" s="3">
        <v>3019.02</v>
      </c>
      <c r="R86" s="4">
        <v>761</v>
      </c>
      <c r="S86" s="35">
        <f t="shared" si="38"/>
        <v>-2258.02</v>
      </c>
      <c r="T86" s="16">
        <f>R86/Q86*100-100</f>
        <v>-74.793144795330932</v>
      </c>
    </row>
    <row r="87" spans="1:20" x14ac:dyDescent="0.25">
      <c r="A87" s="71"/>
      <c r="B87" s="72" t="s">
        <v>147</v>
      </c>
      <c r="C87" s="20" t="s">
        <v>66</v>
      </c>
      <c r="D87" s="30"/>
      <c r="E87" s="31"/>
      <c r="F87" s="30"/>
      <c r="G87" s="30"/>
      <c r="H87" s="30"/>
      <c r="I87" s="30"/>
      <c r="J87" s="2"/>
      <c r="K87" s="20"/>
      <c r="L87" s="20"/>
      <c r="M87" s="20"/>
      <c r="N87" s="20"/>
      <c r="O87" s="20"/>
      <c r="P87" s="2"/>
      <c r="Q87" s="31">
        <v>969.22</v>
      </c>
      <c r="R87" s="2">
        <v>318</v>
      </c>
      <c r="S87" s="35">
        <f t="shared" si="38"/>
        <v>-651.22</v>
      </c>
      <c r="T87" s="16">
        <f t="shared" ref="T87:T96" si="40">R87/Q87*100-100</f>
        <v>-67.190111636161035</v>
      </c>
    </row>
    <row r="88" spans="1:20" x14ac:dyDescent="0.25">
      <c r="A88" s="71"/>
      <c r="B88" s="72" t="s">
        <v>148</v>
      </c>
      <c r="C88" s="20" t="s">
        <v>66</v>
      </c>
      <c r="D88" s="30"/>
      <c r="E88" s="31"/>
      <c r="F88" s="30"/>
      <c r="G88" s="30"/>
      <c r="H88" s="30"/>
      <c r="I88" s="30"/>
      <c r="J88" s="2"/>
      <c r="K88" s="20"/>
      <c r="L88" s="20"/>
      <c r="M88" s="20"/>
      <c r="N88" s="20"/>
      <c r="O88" s="20"/>
      <c r="P88" s="2"/>
      <c r="Q88" s="31">
        <v>173</v>
      </c>
      <c r="R88" s="2">
        <v>301</v>
      </c>
      <c r="S88" s="35">
        <f t="shared" si="38"/>
        <v>128</v>
      </c>
      <c r="T88" s="16">
        <f t="shared" si="40"/>
        <v>73.988439306358401</v>
      </c>
    </row>
    <row r="89" spans="1:20" x14ac:dyDescent="0.25">
      <c r="A89" s="71"/>
      <c r="B89" s="72" t="s">
        <v>149</v>
      </c>
      <c r="C89" s="20" t="s">
        <v>66</v>
      </c>
      <c r="D89" s="30"/>
      <c r="E89" s="31"/>
      <c r="F89" s="30"/>
      <c r="G89" s="30"/>
      <c r="H89" s="30"/>
      <c r="I89" s="30"/>
      <c r="J89" s="2"/>
      <c r="K89" s="20"/>
      <c r="L89" s="20"/>
      <c r="M89" s="20"/>
      <c r="N89" s="20"/>
      <c r="O89" s="20"/>
      <c r="P89" s="2"/>
      <c r="Q89" s="31">
        <v>1876.8</v>
      </c>
      <c r="R89" s="2">
        <v>142</v>
      </c>
      <c r="S89" s="35">
        <f t="shared" si="38"/>
        <v>-1734.8</v>
      </c>
      <c r="T89" s="16">
        <f t="shared" si="40"/>
        <v>-92.433930093776638</v>
      </c>
    </row>
    <row r="90" spans="1:20" s="26" customFormat="1" x14ac:dyDescent="0.25">
      <c r="A90" s="80" t="s">
        <v>68</v>
      </c>
      <c r="B90" s="81" t="s">
        <v>69</v>
      </c>
      <c r="C90" s="32" t="s">
        <v>70</v>
      </c>
      <c r="D90" s="4">
        <v>26.13</v>
      </c>
      <c r="E90" s="4">
        <v>25.97</v>
      </c>
      <c r="F90" s="4"/>
      <c r="G90" s="4"/>
      <c r="H90" s="4"/>
      <c r="I90" s="4"/>
      <c r="J90" s="4"/>
      <c r="K90" s="3"/>
      <c r="L90" s="3"/>
      <c r="M90" s="3"/>
      <c r="N90" s="3"/>
      <c r="O90" s="3"/>
      <c r="P90" s="4"/>
      <c r="Q90" s="2">
        <v>17.18</v>
      </c>
      <c r="R90" s="2">
        <v>17.18</v>
      </c>
      <c r="S90" s="35">
        <f t="shared" si="38"/>
        <v>0</v>
      </c>
      <c r="T90" s="16">
        <f t="shared" si="40"/>
        <v>0</v>
      </c>
    </row>
    <row r="91" spans="1:20" s="26" customFormat="1" x14ac:dyDescent="0.25">
      <c r="A91" s="80"/>
      <c r="B91" s="82"/>
      <c r="C91" s="29" t="s">
        <v>66</v>
      </c>
      <c r="D91" s="4">
        <v>153532.56</v>
      </c>
      <c r="E91" s="4">
        <v>152628.42000000001</v>
      </c>
      <c r="F91" s="4"/>
      <c r="G91" s="4"/>
      <c r="H91" s="4"/>
      <c r="I91" s="4"/>
      <c r="J91" s="4"/>
      <c r="K91" s="3"/>
      <c r="L91" s="3"/>
      <c r="M91" s="3"/>
      <c r="N91" s="3"/>
      <c r="O91" s="3"/>
      <c r="P91" s="4"/>
      <c r="Q91" s="2">
        <v>518.52</v>
      </c>
      <c r="R91" s="2">
        <v>518.52</v>
      </c>
      <c r="S91" s="35">
        <f t="shared" si="38"/>
        <v>0</v>
      </c>
      <c r="T91" s="16">
        <f t="shared" si="40"/>
        <v>0</v>
      </c>
    </row>
    <row r="92" spans="1:20" ht="12" hidden="1" customHeight="1" x14ac:dyDescent="0.25">
      <c r="A92" s="78"/>
      <c r="B92" s="75" t="s">
        <v>71</v>
      </c>
      <c r="C92" s="32" t="s">
        <v>70</v>
      </c>
      <c r="D92" s="2">
        <v>18.850000000000001</v>
      </c>
      <c r="E92" s="2">
        <v>18.75</v>
      </c>
      <c r="F92" s="2"/>
      <c r="G92" s="2"/>
      <c r="H92" s="2"/>
      <c r="I92" s="2"/>
      <c r="J92" s="2"/>
      <c r="K92" s="20"/>
      <c r="L92" s="20"/>
      <c r="M92" s="20"/>
      <c r="N92" s="20"/>
      <c r="O92" s="20"/>
      <c r="P92" s="2"/>
      <c r="Q92" s="2">
        <v>18.75</v>
      </c>
      <c r="R92" s="2"/>
      <c r="S92" s="35">
        <f t="shared" si="38"/>
        <v>-18.75</v>
      </c>
      <c r="T92" s="16">
        <f t="shared" si="40"/>
        <v>-100</v>
      </c>
    </row>
    <row r="93" spans="1:20" ht="25.5" hidden="1" customHeight="1" x14ac:dyDescent="0.25">
      <c r="A93" s="79"/>
      <c r="B93" s="76"/>
      <c r="C93" s="29" t="s">
        <v>66</v>
      </c>
      <c r="D93" s="2">
        <v>131823.4</v>
      </c>
      <c r="E93" s="2">
        <v>130962.69</v>
      </c>
      <c r="F93" s="2"/>
      <c r="G93" s="2"/>
      <c r="H93" s="2"/>
      <c r="I93" s="2"/>
      <c r="J93" s="2"/>
      <c r="K93" s="20"/>
      <c r="L93" s="20"/>
      <c r="M93" s="20"/>
      <c r="N93" s="20"/>
      <c r="O93" s="20"/>
      <c r="P93" s="2"/>
      <c r="Q93" s="2">
        <v>130962.69</v>
      </c>
      <c r="R93" s="2"/>
      <c r="S93" s="35">
        <f t="shared" si="38"/>
        <v>-130962.69</v>
      </c>
      <c r="T93" s="16">
        <f t="shared" si="40"/>
        <v>-100</v>
      </c>
    </row>
    <row r="94" spans="1:20" hidden="1" x14ac:dyDescent="0.25">
      <c r="A94" s="78"/>
      <c r="B94" s="75" t="s">
        <v>67</v>
      </c>
      <c r="C94" s="32" t="s">
        <v>70</v>
      </c>
      <c r="D94" s="2">
        <v>51.85</v>
      </c>
      <c r="E94" s="2">
        <v>51.8</v>
      </c>
      <c r="F94" s="2"/>
      <c r="G94" s="2"/>
      <c r="H94" s="2"/>
      <c r="I94" s="2"/>
      <c r="J94" s="2"/>
      <c r="K94" s="20"/>
      <c r="L94" s="20"/>
      <c r="M94" s="20"/>
      <c r="N94" s="20"/>
      <c r="O94" s="20"/>
      <c r="P94" s="2"/>
      <c r="Q94" s="2">
        <v>51.8</v>
      </c>
      <c r="R94" s="2"/>
      <c r="S94" s="35">
        <f t="shared" si="38"/>
        <v>-51.8</v>
      </c>
      <c r="T94" s="16">
        <f t="shared" si="40"/>
        <v>-100</v>
      </c>
    </row>
    <row r="95" spans="1:20" hidden="1" x14ac:dyDescent="0.25">
      <c r="A95" s="79"/>
      <c r="B95" s="76"/>
      <c r="C95" s="29" t="s">
        <v>66</v>
      </c>
      <c r="D95" s="2">
        <v>21709.16</v>
      </c>
      <c r="E95" s="2">
        <v>21665.73</v>
      </c>
      <c r="F95" s="2"/>
      <c r="G95" s="2"/>
      <c r="H95" s="2"/>
      <c r="I95" s="2"/>
      <c r="J95" s="2"/>
      <c r="K95" s="20"/>
      <c r="L95" s="20"/>
      <c r="M95" s="20"/>
      <c r="N95" s="20"/>
      <c r="O95" s="20"/>
      <c r="P95" s="2"/>
      <c r="Q95" s="2">
        <v>21665.73</v>
      </c>
      <c r="R95" s="2"/>
      <c r="S95" s="35">
        <f t="shared" si="38"/>
        <v>-21665.73</v>
      </c>
      <c r="T95" s="16">
        <f t="shared" si="40"/>
        <v>-100</v>
      </c>
    </row>
    <row r="96" spans="1:20" x14ac:dyDescent="0.25">
      <c r="A96" s="33" t="s">
        <v>72</v>
      </c>
      <c r="B96" s="34" t="s">
        <v>73</v>
      </c>
      <c r="C96" s="35" t="s">
        <v>74</v>
      </c>
      <c r="D96" s="1"/>
      <c r="E96" s="1"/>
      <c r="F96" s="1"/>
      <c r="G96" s="25"/>
      <c r="H96" s="1"/>
      <c r="I96" s="1"/>
      <c r="J96" s="1"/>
      <c r="K96" s="1"/>
      <c r="L96" s="1"/>
      <c r="M96" s="25"/>
      <c r="N96" s="1"/>
      <c r="O96" s="1"/>
      <c r="P96" s="1"/>
      <c r="Q96" s="33">
        <f>Q85/Q86</f>
        <v>94.645520731893129</v>
      </c>
      <c r="R96" s="33">
        <f>R85/R86</f>
        <v>43.022717477003944</v>
      </c>
      <c r="S96" s="25">
        <f t="shared" si="38"/>
        <v>-51.622803254889185</v>
      </c>
      <c r="T96" s="21">
        <f t="shared" si="40"/>
        <v>-54.543313677911456</v>
      </c>
    </row>
    <row r="97" spans="1:20" ht="31.5" x14ac:dyDescent="0.25">
      <c r="A97" s="36">
        <v>9</v>
      </c>
      <c r="B97" s="34" t="s">
        <v>75</v>
      </c>
      <c r="C97" s="35" t="s">
        <v>76</v>
      </c>
      <c r="D97" s="1"/>
      <c r="E97" s="1"/>
      <c r="F97" s="1"/>
      <c r="G97" s="25"/>
      <c r="H97" s="1"/>
      <c r="I97" s="1"/>
      <c r="J97" s="1"/>
      <c r="K97" s="1"/>
      <c r="L97" s="1"/>
      <c r="M97" s="25"/>
      <c r="N97" s="1"/>
      <c r="O97" s="1"/>
      <c r="P97" s="1"/>
      <c r="Q97" s="69">
        <v>94</v>
      </c>
      <c r="R97" s="12">
        <v>94</v>
      </c>
      <c r="S97" s="69">
        <f t="shared" si="38"/>
        <v>0</v>
      </c>
      <c r="T97" s="16">
        <f t="shared" ref="T97:T102" si="41">R97/Q97*100-100</f>
        <v>0</v>
      </c>
    </row>
    <row r="98" spans="1:20" x14ac:dyDescent="0.25">
      <c r="A98" s="1" t="s">
        <v>77</v>
      </c>
      <c r="B98" s="37" t="s">
        <v>78</v>
      </c>
      <c r="C98" s="25" t="s">
        <v>76</v>
      </c>
      <c r="D98" s="1"/>
      <c r="E98" s="1"/>
      <c r="F98" s="1"/>
      <c r="G98" s="25"/>
      <c r="H98" s="1"/>
      <c r="I98" s="1"/>
      <c r="J98" s="1"/>
      <c r="K98" s="1"/>
      <c r="L98" s="1"/>
      <c r="M98" s="25"/>
      <c r="N98" s="1"/>
      <c r="O98" s="1"/>
      <c r="P98" s="1"/>
      <c r="Q98" s="36">
        <v>75</v>
      </c>
      <c r="R98" s="38">
        <v>75</v>
      </c>
      <c r="S98" s="69">
        <f t="shared" si="38"/>
        <v>0</v>
      </c>
      <c r="T98" s="21">
        <f t="shared" si="41"/>
        <v>0</v>
      </c>
    </row>
    <row r="99" spans="1:20" x14ac:dyDescent="0.25">
      <c r="A99" s="1" t="s">
        <v>79</v>
      </c>
      <c r="B99" s="37" t="s">
        <v>80</v>
      </c>
      <c r="C99" s="25" t="s">
        <v>76</v>
      </c>
      <c r="D99" s="1"/>
      <c r="E99" s="1"/>
      <c r="F99" s="1"/>
      <c r="G99" s="25"/>
      <c r="H99" s="1"/>
      <c r="I99" s="1"/>
      <c r="J99" s="1"/>
      <c r="K99" s="1"/>
      <c r="L99" s="1"/>
      <c r="M99" s="25"/>
      <c r="N99" s="1"/>
      <c r="O99" s="1"/>
      <c r="P99" s="1"/>
      <c r="Q99" s="36">
        <v>19</v>
      </c>
      <c r="R99" s="38">
        <v>19</v>
      </c>
      <c r="S99" s="69">
        <f t="shared" si="38"/>
        <v>0</v>
      </c>
      <c r="T99" s="21">
        <f t="shared" si="41"/>
        <v>0</v>
      </c>
    </row>
    <row r="100" spans="1:20" ht="31.5" x14ac:dyDescent="0.25">
      <c r="A100" s="36">
        <v>10</v>
      </c>
      <c r="B100" s="34" t="s">
        <v>81</v>
      </c>
      <c r="C100" s="35" t="s">
        <v>76</v>
      </c>
      <c r="D100" s="1"/>
      <c r="E100" s="1"/>
      <c r="F100" s="1"/>
      <c r="G100" s="25"/>
      <c r="H100" s="1"/>
      <c r="I100" s="1"/>
      <c r="J100" s="1"/>
      <c r="K100" s="1"/>
      <c r="L100" s="1"/>
      <c r="M100" s="25"/>
      <c r="N100" s="1"/>
      <c r="O100" s="1"/>
      <c r="P100" s="1"/>
      <c r="Q100" s="69">
        <v>77589</v>
      </c>
      <c r="R100" s="12">
        <f>(R33+R57)/R97/12*1000</f>
        <v>23652.503546099295</v>
      </c>
      <c r="S100" s="69">
        <f t="shared" si="38"/>
        <v>-53936.496453900705</v>
      </c>
      <c r="T100" s="16">
        <f t="shared" si="41"/>
        <v>-69.515648421684404</v>
      </c>
    </row>
    <row r="101" spans="1:20" x14ac:dyDescent="0.25">
      <c r="A101" s="1" t="s">
        <v>82</v>
      </c>
      <c r="B101" s="37" t="s">
        <v>78</v>
      </c>
      <c r="C101" s="25" t="s">
        <v>76</v>
      </c>
      <c r="D101" s="1"/>
      <c r="E101" s="1"/>
      <c r="F101" s="1"/>
      <c r="G101" s="25"/>
      <c r="H101" s="1"/>
      <c r="I101" s="1"/>
      <c r="J101" s="1"/>
      <c r="K101" s="1"/>
      <c r="L101" s="1"/>
      <c r="M101" s="25"/>
      <c r="N101" s="1"/>
      <c r="O101" s="1"/>
      <c r="P101" s="1"/>
      <c r="Q101" s="36">
        <v>72692</v>
      </c>
      <c r="R101" s="38">
        <f>R33/R98/12*1000</f>
        <v>20994.864444444447</v>
      </c>
      <c r="S101" s="70">
        <f t="shared" si="38"/>
        <v>-51697.135555555549</v>
      </c>
      <c r="T101" s="21">
        <f t="shared" si="41"/>
        <v>-71.118053644906666</v>
      </c>
    </row>
    <row r="102" spans="1:20" x14ac:dyDescent="0.25">
      <c r="A102" s="1" t="s">
        <v>83</v>
      </c>
      <c r="B102" s="37" t="s">
        <v>80</v>
      </c>
      <c r="C102" s="25" t="s">
        <v>76</v>
      </c>
      <c r="D102" s="1"/>
      <c r="E102" s="1"/>
      <c r="F102" s="1"/>
      <c r="G102" s="25"/>
      <c r="H102" s="1"/>
      <c r="I102" s="1"/>
      <c r="J102" s="1"/>
      <c r="K102" s="1"/>
      <c r="L102" s="1"/>
      <c r="M102" s="25"/>
      <c r="N102" s="1"/>
      <c r="O102" s="1"/>
      <c r="P102" s="1"/>
      <c r="Q102" s="36">
        <v>96922.16</v>
      </c>
      <c r="R102" s="38">
        <f>R57/R99/12*1000</f>
        <v>34143.184210526313</v>
      </c>
      <c r="S102" s="70">
        <f t="shared" si="38"/>
        <v>-62778.97578947369</v>
      </c>
      <c r="T102" s="21">
        <f t="shared" si="41"/>
        <v>-64.772571916962733</v>
      </c>
    </row>
    <row r="103" spans="1:20" x14ac:dyDescent="0.25">
      <c r="A103" s="39"/>
      <c r="B103" s="40"/>
      <c r="C103" s="39"/>
      <c r="D103" s="41"/>
      <c r="E103" s="41"/>
      <c r="F103" s="41"/>
      <c r="G103" s="41"/>
      <c r="H103" s="41"/>
      <c r="I103" s="41"/>
      <c r="J103" s="42"/>
      <c r="K103" s="41"/>
      <c r="L103" s="41"/>
      <c r="M103" s="41"/>
      <c r="N103" s="41"/>
      <c r="O103" s="41"/>
      <c r="P103" s="42"/>
    </row>
    <row r="104" spans="1:20" x14ac:dyDescent="0.25">
      <c r="A104" s="39"/>
      <c r="B104" s="40"/>
      <c r="C104" s="39"/>
      <c r="D104" s="41"/>
      <c r="E104" s="41"/>
      <c r="F104" s="41"/>
      <c r="G104" s="41"/>
      <c r="H104" s="41"/>
      <c r="I104" s="41"/>
      <c r="J104" s="42"/>
      <c r="K104" s="41"/>
      <c r="L104" s="41"/>
      <c r="M104" s="41"/>
      <c r="N104" s="41"/>
      <c r="O104" s="41"/>
      <c r="P104" s="42"/>
    </row>
    <row r="105" spans="1:20" x14ac:dyDescent="0.25">
      <c r="A105" s="39"/>
      <c r="B105" s="40"/>
      <c r="C105" s="39"/>
      <c r="D105" s="41"/>
      <c r="E105" s="41"/>
      <c r="F105" s="41"/>
      <c r="G105" s="41"/>
      <c r="H105" s="41"/>
      <c r="I105" s="41"/>
      <c r="J105" s="42"/>
      <c r="K105" s="41"/>
      <c r="L105" s="41"/>
      <c r="M105" s="41"/>
      <c r="N105" s="41"/>
      <c r="O105" s="41"/>
      <c r="P105" s="42"/>
    </row>
    <row r="106" spans="1:20" ht="35.25" customHeight="1" x14ac:dyDescent="0.25">
      <c r="A106" s="60"/>
      <c r="B106" s="73" t="s">
        <v>119</v>
      </c>
      <c r="C106" s="74" t="s">
        <v>126</v>
      </c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</row>
    <row r="107" spans="1:20" x14ac:dyDescent="0.25">
      <c r="A107" s="60"/>
      <c r="B107" s="61" t="s">
        <v>120</v>
      </c>
      <c r="C107" s="61" t="s">
        <v>132</v>
      </c>
      <c r="D107" s="61"/>
      <c r="E107" s="62"/>
      <c r="F107" s="64"/>
      <c r="G107" s="41"/>
      <c r="H107" s="41"/>
      <c r="I107" s="41"/>
      <c r="J107" s="42"/>
      <c r="K107" s="41"/>
      <c r="L107" s="41"/>
      <c r="M107" s="41"/>
      <c r="N107" s="41"/>
      <c r="O107" s="41"/>
      <c r="P107" s="42"/>
    </row>
    <row r="108" spans="1:20" x14ac:dyDescent="0.25">
      <c r="A108" s="60"/>
      <c r="B108" s="61" t="s">
        <v>121</v>
      </c>
      <c r="C108" s="61" t="s">
        <v>127</v>
      </c>
      <c r="D108" s="61"/>
      <c r="E108" s="62"/>
      <c r="F108" s="64"/>
      <c r="G108" s="41"/>
      <c r="H108" s="41"/>
      <c r="I108" s="41"/>
      <c r="J108" s="42"/>
      <c r="K108" s="41"/>
      <c r="L108" s="41"/>
      <c r="M108" s="41"/>
      <c r="N108" s="41"/>
      <c r="O108" s="41"/>
      <c r="P108" s="42"/>
    </row>
    <row r="109" spans="1:20" x14ac:dyDescent="0.25">
      <c r="A109" s="60"/>
      <c r="B109" s="61" t="s">
        <v>122</v>
      </c>
      <c r="C109" s="68" t="s">
        <v>128</v>
      </c>
      <c r="D109" s="61"/>
      <c r="E109" s="62"/>
      <c r="F109" s="64"/>
      <c r="G109" s="41"/>
      <c r="H109" s="41"/>
      <c r="I109" s="41"/>
      <c r="J109" s="42"/>
      <c r="K109" s="41"/>
      <c r="L109" s="41"/>
      <c r="M109" s="41"/>
      <c r="N109" s="41"/>
      <c r="O109" s="41"/>
      <c r="P109" s="42"/>
    </row>
    <row r="110" spans="1:20" x14ac:dyDescent="0.25">
      <c r="A110" s="60"/>
      <c r="B110" s="61" t="s">
        <v>123</v>
      </c>
      <c r="C110" s="61" t="s">
        <v>129</v>
      </c>
      <c r="D110" s="61"/>
      <c r="E110" s="62"/>
      <c r="F110" s="65"/>
      <c r="G110" s="41"/>
      <c r="H110" s="41"/>
      <c r="I110" s="41"/>
      <c r="J110" s="42"/>
      <c r="K110" s="41"/>
      <c r="L110" s="41"/>
      <c r="M110" s="41"/>
      <c r="N110" s="41"/>
      <c r="O110" s="41"/>
      <c r="P110" s="42"/>
    </row>
    <row r="111" spans="1:20" x14ac:dyDescent="0.25">
      <c r="A111" s="60"/>
      <c r="B111" s="61" t="s">
        <v>130</v>
      </c>
      <c r="C111" s="61" t="s">
        <v>131</v>
      </c>
      <c r="D111" s="61"/>
      <c r="E111" s="62"/>
      <c r="F111" s="65"/>
      <c r="G111" s="41"/>
      <c r="H111" s="41"/>
      <c r="I111" s="41"/>
      <c r="J111" s="42"/>
      <c r="K111" s="41"/>
      <c r="L111" s="41"/>
      <c r="M111" s="41"/>
      <c r="N111" s="41"/>
      <c r="O111" s="41"/>
      <c r="P111" s="42"/>
    </row>
    <row r="112" spans="1:20" x14ac:dyDescent="0.25">
      <c r="A112" s="60"/>
      <c r="B112" s="61" t="s">
        <v>124</v>
      </c>
      <c r="C112" s="61"/>
      <c r="D112" s="61"/>
      <c r="E112" s="62"/>
      <c r="F112" s="66"/>
      <c r="G112" s="41"/>
      <c r="H112" s="41"/>
      <c r="I112" s="41"/>
      <c r="J112" s="42"/>
      <c r="K112" s="41"/>
      <c r="L112" s="41"/>
      <c r="M112" s="41"/>
      <c r="N112" s="41"/>
      <c r="O112" s="41"/>
      <c r="P112" s="42"/>
    </row>
    <row r="113" spans="1:16" x14ac:dyDescent="0.25">
      <c r="A113" s="60"/>
      <c r="B113" s="61"/>
      <c r="C113" s="61"/>
      <c r="D113" s="61"/>
      <c r="E113" s="62"/>
      <c r="F113" s="63"/>
      <c r="G113" s="41"/>
      <c r="H113" s="41"/>
      <c r="I113" s="41"/>
      <c r="J113" s="42"/>
      <c r="K113" s="41"/>
      <c r="L113" s="41"/>
      <c r="M113" s="41"/>
      <c r="N113" s="41"/>
      <c r="O113" s="41"/>
      <c r="P113" s="42"/>
    </row>
    <row r="114" spans="1:16" x14ac:dyDescent="0.25">
      <c r="A114" s="60"/>
      <c r="B114" s="61" t="s">
        <v>125</v>
      </c>
      <c r="C114" s="61"/>
      <c r="D114" s="61"/>
      <c r="E114" s="62"/>
      <c r="F114" s="67"/>
      <c r="G114" s="41"/>
      <c r="H114" s="41"/>
      <c r="I114" s="41"/>
      <c r="J114" s="42"/>
      <c r="K114" s="41"/>
      <c r="L114" s="41"/>
      <c r="M114" s="41"/>
      <c r="N114" s="41"/>
      <c r="O114" s="41"/>
      <c r="P114" s="42"/>
    </row>
    <row r="115" spans="1:16" x14ac:dyDescent="0.25">
      <c r="A115" s="39"/>
      <c r="B115" s="40"/>
      <c r="C115" s="39"/>
      <c r="D115" s="41"/>
      <c r="E115" s="41"/>
      <c r="F115" s="41"/>
      <c r="G115" s="41"/>
      <c r="H115" s="41"/>
      <c r="I115" s="41"/>
      <c r="J115" s="42"/>
      <c r="K115" s="41"/>
      <c r="L115" s="41"/>
      <c r="M115" s="41"/>
      <c r="N115" s="41"/>
      <c r="O115" s="41"/>
      <c r="P115" s="42"/>
    </row>
    <row r="116" spans="1:16" x14ac:dyDescent="0.25">
      <c r="A116" s="39"/>
      <c r="B116" s="44"/>
      <c r="C116" s="45"/>
      <c r="D116" s="46"/>
      <c r="E116" s="47"/>
      <c r="F116" s="46"/>
      <c r="G116" s="46"/>
      <c r="H116" s="46"/>
      <c r="I116" s="46"/>
      <c r="J116" s="46"/>
      <c r="K116" s="46"/>
      <c r="L116" s="41"/>
      <c r="M116" s="41"/>
      <c r="N116" s="41"/>
      <c r="O116" s="41"/>
      <c r="P116" s="42"/>
    </row>
    <row r="117" spans="1:16" x14ac:dyDescent="0.25">
      <c r="A117" s="39"/>
      <c r="B117" s="44"/>
      <c r="C117" s="45"/>
      <c r="D117" s="46"/>
      <c r="E117" s="47"/>
      <c r="F117" s="46"/>
      <c r="G117" s="46"/>
      <c r="H117" s="46"/>
      <c r="I117" s="46"/>
      <c r="J117" s="46"/>
      <c r="K117" s="46"/>
      <c r="L117" s="41"/>
      <c r="M117" s="41"/>
      <c r="N117" s="41"/>
      <c r="O117" s="41"/>
      <c r="P117" s="42"/>
    </row>
    <row r="118" spans="1:16" x14ac:dyDescent="0.25">
      <c r="A118" s="39"/>
      <c r="B118" s="44"/>
      <c r="C118" s="45"/>
      <c r="D118" s="46"/>
      <c r="E118" s="46"/>
      <c r="F118" s="46"/>
      <c r="G118" s="46"/>
      <c r="H118" s="46"/>
      <c r="I118" s="46"/>
      <c r="J118" s="46"/>
      <c r="K118" s="46"/>
      <c r="L118" s="41"/>
      <c r="M118" s="41"/>
      <c r="N118" s="41"/>
      <c r="O118" s="41"/>
      <c r="P118" s="42"/>
    </row>
    <row r="119" spans="1:16" x14ac:dyDescent="0.25">
      <c r="A119" s="39"/>
      <c r="B119" s="44"/>
      <c r="C119" s="45"/>
      <c r="D119" s="46"/>
      <c r="E119" s="47"/>
      <c r="F119" s="46"/>
      <c r="G119" s="46"/>
      <c r="H119" s="46"/>
      <c r="I119" s="46"/>
      <c r="J119" s="46"/>
      <c r="K119" s="46"/>
      <c r="L119" s="41"/>
      <c r="M119" s="41"/>
      <c r="N119" s="41"/>
      <c r="O119" s="41"/>
      <c r="P119" s="42"/>
    </row>
    <row r="120" spans="1:16" x14ac:dyDescent="0.25">
      <c r="A120" s="39"/>
      <c r="B120" s="44"/>
      <c r="C120" s="41"/>
      <c r="D120" s="42"/>
      <c r="E120" s="42"/>
      <c r="F120" s="42"/>
      <c r="G120" s="42"/>
      <c r="H120" s="42"/>
      <c r="I120" s="42"/>
      <c r="J120" s="42"/>
      <c r="K120" s="42"/>
      <c r="L120" s="41"/>
      <c r="M120" s="41"/>
      <c r="N120" s="41"/>
      <c r="O120" s="41"/>
      <c r="P120" s="42"/>
    </row>
    <row r="121" spans="1:16" x14ac:dyDescent="0.25">
      <c r="A121" s="39"/>
      <c r="B121" s="44"/>
      <c r="C121" s="41"/>
      <c r="D121" s="42"/>
      <c r="E121" s="42"/>
      <c r="F121" s="42"/>
      <c r="G121" s="42"/>
      <c r="H121" s="42"/>
      <c r="I121" s="42"/>
      <c r="J121" s="42"/>
      <c r="K121" s="42"/>
      <c r="L121" s="41"/>
      <c r="M121" s="41"/>
      <c r="N121" s="41"/>
      <c r="O121" s="41"/>
      <c r="P121" s="42"/>
    </row>
    <row r="122" spans="1:16" x14ac:dyDescent="0.25">
      <c r="A122" s="39"/>
      <c r="B122" s="44"/>
      <c r="C122" s="41"/>
      <c r="D122" s="42"/>
      <c r="E122" s="47"/>
      <c r="F122" s="42"/>
      <c r="G122" s="42"/>
      <c r="H122" s="42"/>
      <c r="I122" s="42"/>
      <c r="J122" s="42"/>
      <c r="K122" s="42"/>
      <c r="L122" s="41"/>
      <c r="M122" s="41"/>
      <c r="N122" s="41"/>
      <c r="O122" s="41"/>
      <c r="P122" s="42"/>
    </row>
    <row r="123" spans="1:16" x14ac:dyDescent="0.25">
      <c r="A123" s="39"/>
      <c r="B123" s="44"/>
      <c r="C123" s="41"/>
      <c r="D123" s="42"/>
      <c r="E123" s="42"/>
      <c r="F123" s="42"/>
      <c r="G123" s="42"/>
      <c r="H123" s="42"/>
      <c r="I123" s="42"/>
      <c r="J123" s="42"/>
      <c r="K123" s="42"/>
      <c r="L123" s="41"/>
      <c r="M123" s="41"/>
      <c r="N123" s="41"/>
      <c r="O123" s="41"/>
      <c r="P123" s="42"/>
    </row>
    <row r="124" spans="1:16" x14ac:dyDescent="0.25">
      <c r="A124" s="39"/>
      <c r="B124" s="40"/>
      <c r="C124" s="39"/>
      <c r="D124" s="41"/>
      <c r="E124" s="41"/>
      <c r="F124" s="41"/>
      <c r="G124" s="41"/>
      <c r="H124" s="41"/>
      <c r="I124" s="41"/>
      <c r="J124" s="42"/>
      <c r="K124" s="41"/>
      <c r="L124" s="41"/>
      <c r="M124" s="41"/>
      <c r="N124" s="41"/>
      <c r="O124" s="41"/>
      <c r="P124" s="42"/>
    </row>
    <row r="125" spans="1:16" x14ac:dyDescent="0.25">
      <c r="A125" s="39"/>
      <c r="B125" s="40"/>
      <c r="C125" s="39"/>
      <c r="D125" s="41"/>
      <c r="E125" s="41"/>
      <c r="F125" s="41"/>
      <c r="G125" s="41"/>
      <c r="H125" s="41"/>
      <c r="I125" s="41"/>
      <c r="J125" s="42"/>
      <c r="K125" s="41"/>
      <c r="L125" s="41"/>
      <c r="M125" s="41"/>
      <c r="N125" s="41"/>
      <c r="O125" s="41"/>
      <c r="P125" s="42"/>
    </row>
    <row r="126" spans="1:16" x14ac:dyDescent="0.25">
      <c r="A126" s="39"/>
      <c r="B126" s="40"/>
      <c r="C126" s="39"/>
      <c r="D126" s="41"/>
      <c r="E126" s="41"/>
      <c r="F126" s="41"/>
      <c r="G126" s="41"/>
      <c r="H126" s="41"/>
      <c r="I126" s="41"/>
      <c r="J126" s="42"/>
      <c r="K126" s="41"/>
      <c r="L126" s="41"/>
      <c r="M126" s="41"/>
      <c r="N126" s="41"/>
      <c r="O126" s="41"/>
      <c r="P126" s="42"/>
    </row>
    <row r="127" spans="1:16" ht="141.75" x14ac:dyDescent="0.25">
      <c r="A127" s="39"/>
      <c r="B127" s="40"/>
      <c r="C127" s="39"/>
      <c r="D127" s="48" t="s">
        <v>1</v>
      </c>
      <c r="E127" s="48" t="s">
        <v>2</v>
      </c>
      <c r="F127" s="48" t="s">
        <v>3</v>
      </c>
      <c r="G127" s="48"/>
      <c r="H127" s="48" t="s">
        <v>4</v>
      </c>
      <c r="I127" s="48"/>
      <c r="J127" s="48" t="s">
        <v>84</v>
      </c>
      <c r="K127" s="41"/>
      <c r="L127" s="41"/>
      <c r="M127" s="41"/>
      <c r="N127" s="41"/>
      <c r="O127" s="41"/>
      <c r="P127" s="42"/>
    </row>
    <row r="128" spans="1:16" x14ac:dyDescent="0.25">
      <c r="A128" s="39"/>
      <c r="B128" s="40"/>
      <c r="C128" s="39"/>
      <c r="D128" s="41"/>
      <c r="E128" s="41"/>
      <c r="F128" s="41"/>
      <c r="G128" s="41"/>
      <c r="H128" s="41"/>
      <c r="I128" s="41"/>
      <c r="J128" s="42"/>
      <c r="K128" s="41"/>
      <c r="L128" s="41"/>
      <c r="M128" s="41"/>
      <c r="N128" s="41"/>
      <c r="O128" s="41"/>
      <c r="P128" s="42"/>
    </row>
    <row r="129" spans="1:26" x14ac:dyDescent="0.25">
      <c r="A129" s="39"/>
      <c r="B129" s="40"/>
      <c r="C129" s="39"/>
      <c r="D129" s="42"/>
      <c r="E129" s="42"/>
      <c r="F129" s="42"/>
      <c r="G129" s="42"/>
      <c r="H129" s="42"/>
      <c r="I129" s="42"/>
      <c r="J129" s="42"/>
      <c r="K129" s="41"/>
      <c r="L129" s="41"/>
      <c r="M129" s="41"/>
      <c r="N129" s="41"/>
      <c r="O129" s="41"/>
      <c r="P129" s="42"/>
    </row>
    <row r="130" spans="1:26" x14ac:dyDescent="0.25">
      <c r="A130" s="39"/>
      <c r="B130" s="49" t="s">
        <v>85</v>
      </c>
      <c r="C130" s="39"/>
      <c r="D130" s="42">
        <f>D85</f>
        <v>420291.72000000009</v>
      </c>
      <c r="E130" s="42">
        <f>E85</f>
        <v>484072.14000000007</v>
      </c>
      <c r="F130" s="42">
        <f>F132*F131</f>
        <v>214825.644</v>
      </c>
      <c r="G130" s="42"/>
      <c r="H130" s="42">
        <f>H132*H131</f>
        <v>130051.99999999999</v>
      </c>
      <c r="I130" s="42"/>
      <c r="J130" s="42"/>
      <c r="K130" s="41"/>
      <c r="L130" s="41"/>
      <c r="M130" s="41"/>
      <c r="N130" s="41"/>
      <c r="O130" s="41"/>
      <c r="P130" s="42"/>
    </row>
    <row r="131" spans="1:26" x14ac:dyDescent="0.25">
      <c r="A131" s="39"/>
      <c r="B131" s="49" t="s">
        <v>86</v>
      </c>
      <c r="C131" s="39"/>
      <c r="D131" s="42">
        <f>D86</f>
        <v>587665</v>
      </c>
      <c r="E131" s="42">
        <f>E86</f>
        <v>587665</v>
      </c>
      <c r="F131" s="42">
        <f>D135</f>
        <v>298368.95</v>
      </c>
      <c r="G131" s="42">
        <f>F131/E131*100-100</f>
        <v>-49.228055099418889</v>
      </c>
      <c r="H131" s="42">
        <f>D136</f>
        <v>158600</v>
      </c>
      <c r="I131" s="42">
        <f>H131/E131*100-100</f>
        <v>-73.0118349740073</v>
      </c>
      <c r="J131" s="42"/>
      <c r="K131" s="41"/>
      <c r="L131" s="41"/>
      <c r="M131" s="41"/>
      <c r="N131" s="41"/>
      <c r="O131" s="41"/>
      <c r="P131" s="42"/>
    </row>
    <row r="132" spans="1:26" x14ac:dyDescent="0.25">
      <c r="A132" s="39"/>
      <c r="B132" s="49" t="s">
        <v>87</v>
      </c>
      <c r="C132" s="39"/>
      <c r="D132" s="42" t="e">
        <f>#REF!</f>
        <v>#REF!</v>
      </c>
      <c r="E132" s="42" t="e">
        <f>#REF!</f>
        <v>#REF!</v>
      </c>
      <c r="F132" s="42">
        <v>0.72</v>
      </c>
      <c r="G132" s="42">
        <f>F131/D131*100</f>
        <v>50.771944900581111</v>
      </c>
      <c r="H132" s="42">
        <v>0.82</v>
      </c>
      <c r="I132" s="42">
        <f>H131/E131*100</f>
        <v>26.9881650259927</v>
      </c>
      <c r="J132" s="42"/>
      <c r="K132" s="41"/>
      <c r="L132" s="41"/>
      <c r="M132" s="41"/>
      <c r="N132" s="41"/>
      <c r="O132" s="41"/>
      <c r="P132" s="42"/>
    </row>
    <row r="133" spans="1:26" x14ac:dyDescent="0.25">
      <c r="A133" s="39"/>
      <c r="B133" s="42"/>
      <c r="C133" s="39"/>
      <c r="D133" s="42"/>
      <c r="E133" s="42"/>
      <c r="F133" s="42"/>
      <c r="G133" s="42"/>
      <c r="H133" s="42"/>
      <c r="I133" s="42"/>
      <c r="J133" s="42"/>
      <c r="K133" s="41"/>
      <c r="L133" s="41"/>
      <c r="M133" s="41"/>
      <c r="N133" s="41"/>
      <c r="O133" s="41"/>
      <c r="P133" s="42"/>
    </row>
    <row r="134" spans="1:26" x14ac:dyDescent="0.25">
      <c r="B134" s="50" t="s">
        <v>88</v>
      </c>
      <c r="C134" s="46"/>
      <c r="D134" s="46">
        <f>D135+D136</f>
        <v>456968.95</v>
      </c>
    </row>
    <row r="135" spans="1:26" x14ac:dyDescent="0.25">
      <c r="B135" s="51" t="s">
        <v>89</v>
      </c>
      <c r="C135" s="46"/>
      <c r="D135" s="46">
        <v>298368.95</v>
      </c>
    </row>
    <row r="136" spans="1:26" x14ac:dyDescent="0.25">
      <c r="B136" s="51" t="s">
        <v>90</v>
      </c>
      <c r="C136" s="46"/>
      <c r="D136" s="46">
        <v>158600</v>
      </c>
      <c r="K136" s="52"/>
      <c r="L136" s="52"/>
      <c r="M136" s="52"/>
    </row>
    <row r="137" spans="1:26" s="6" customFormat="1" x14ac:dyDescent="0.25">
      <c r="A137" s="5"/>
      <c r="B137" s="43"/>
      <c r="C137" s="5"/>
      <c r="D137" s="5"/>
      <c r="E137" s="5"/>
      <c r="F137" s="5"/>
      <c r="G137" s="5"/>
      <c r="H137" s="5"/>
      <c r="I137" s="5"/>
      <c r="J137" s="5"/>
      <c r="P137" s="5"/>
      <c r="Q137" s="5"/>
      <c r="R137" s="5"/>
      <c r="S137" s="5"/>
      <c r="T137" s="7"/>
      <c r="U137" s="5"/>
      <c r="V137" s="5"/>
      <c r="W137" s="5"/>
      <c r="X137" s="5"/>
      <c r="Y137" s="5"/>
      <c r="Z137" s="5"/>
    </row>
    <row r="138" spans="1:26" s="6" customFormat="1" x14ac:dyDescent="0.25">
      <c r="A138" s="5"/>
      <c r="B138" s="42"/>
      <c r="C138" s="5"/>
      <c r="D138" s="5"/>
      <c r="E138" s="5"/>
      <c r="F138" s="5"/>
      <c r="G138" s="5"/>
      <c r="H138" s="5"/>
      <c r="I138" s="5"/>
      <c r="J138" s="5"/>
      <c r="P138" s="5"/>
      <c r="Q138" s="5"/>
      <c r="R138" s="5"/>
      <c r="S138" s="5"/>
      <c r="T138" s="7"/>
      <c r="U138" s="5"/>
      <c r="V138" s="5"/>
      <c r="W138" s="5"/>
      <c r="X138" s="5"/>
      <c r="Y138" s="5"/>
      <c r="Z138" s="5"/>
    </row>
    <row r="148" spans="1:26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6" t="s">
        <v>37</v>
      </c>
      <c r="P148" s="5"/>
      <c r="Q148" s="5"/>
      <c r="R148" s="5"/>
      <c r="S148" s="5"/>
      <c r="T148" s="7"/>
      <c r="U148" s="5"/>
      <c r="V148" s="5"/>
      <c r="W148" s="5"/>
      <c r="X148" s="5"/>
      <c r="Y148" s="5"/>
      <c r="Z148" s="5"/>
    </row>
  </sheetData>
  <mergeCells count="16">
    <mergeCell ref="A16:T16"/>
    <mergeCell ref="A20:A21"/>
    <mergeCell ref="B20:B21"/>
    <mergeCell ref="C20:C21"/>
    <mergeCell ref="Q20:Q21"/>
    <mergeCell ref="R20:R21"/>
    <mergeCell ref="S20:T20"/>
    <mergeCell ref="A17:S17"/>
    <mergeCell ref="C106:T106"/>
    <mergeCell ref="B92:B93"/>
    <mergeCell ref="A19:T19"/>
    <mergeCell ref="A94:A95"/>
    <mergeCell ref="B94:B95"/>
    <mergeCell ref="A90:A91"/>
    <mergeCell ref="B90:B91"/>
    <mergeCell ref="A92:A93"/>
  </mergeCells>
  <hyperlinks>
    <hyperlink ref="T2" r:id="rId1" display="jl:1039135.100 "/>
    <hyperlink ref="C109" r:id="rId2"/>
  </hyperlinks>
  <pageMargins left="0.70866141732283472" right="0.70866141732283472" top="0.51181102362204722" bottom="0.78740157480314965" header="0.19685039370078741" footer="0.31496062992125984"/>
  <pageSetup paperSize="9" scale="61" pageOrder="overThenDown" orientation="portrait" horizontalDpi="180" verticalDpi="180" r:id="rId3"/>
  <rowBreaks count="1" manualBreakCount="1">
    <brk id="5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ТС_коррек_2017_поливная </vt:lpstr>
      <vt:lpstr>'ТС_коррек_2017_поливная '!Заголовки_для_печати</vt:lpstr>
      <vt:lpstr>'ТС_коррек_2017_поливная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WorkDir</dc:creator>
  <cp:lastModifiedBy>WorkDir</cp:lastModifiedBy>
  <cp:lastPrinted>2018-06-15T06:14:23Z</cp:lastPrinted>
  <dcterms:created xsi:type="dcterms:W3CDTF">2018-01-17T06:10:56Z</dcterms:created>
  <dcterms:modified xsi:type="dcterms:W3CDTF">2018-06-15T06:18:02Z</dcterms:modified>
</cp:coreProperties>
</file>