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640" windowHeight="3345" firstSheet="5" activeTab="5"/>
  </bookViews>
  <sheets>
    <sheet name="Лист3" sheetId="3" state="hidden" r:id="rId1"/>
    <sheet name="ян" sheetId="30" state="hidden" r:id="rId2"/>
    <sheet name="фев" sheetId="31" state="hidden" r:id="rId3"/>
    <sheet name="март" sheetId="32" state="hidden" r:id="rId4"/>
    <sheet name="апр" sheetId="33" state="hidden" r:id="rId5"/>
    <sheet name="май" sheetId="34" r:id="rId6"/>
    <sheet name="июнь" sheetId="35" state="hidden" r:id="rId7"/>
  </sheets>
  <calcPr calcId="124519"/>
</workbook>
</file>

<file path=xl/calcChain.xml><?xml version="1.0" encoding="utf-8"?>
<calcChain xmlns="http://schemas.openxmlformats.org/spreadsheetml/2006/main">
  <c r="L9" i="34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8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10"/>
  <c r="K9"/>
  <c r="K8"/>
  <c r="I224" i="35" l="1"/>
  <c r="R220"/>
  <c r="Q220"/>
  <c r="D220"/>
  <c r="R219"/>
  <c r="Q219"/>
  <c r="D219"/>
  <c r="R218"/>
  <c r="Q218"/>
  <c r="H218"/>
  <c r="I221" s="1"/>
  <c r="I225" s="1"/>
  <c r="R217"/>
  <c r="Q217"/>
  <c r="P217"/>
  <c r="R216"/>
  <c r="Q216"/>
  <c r="P216"/>
  <c r="K215"/>
  <c r="J215"/>
  <c r="I215"/>
  <c r="H215"/>
  <c r="G215"/>
  <c r="F215"/>
  <c r="R215" s="1"/>
  <c r="E215"/>
  <c r="Q215" s="1"/>
  <c r="D215"/>
  <c r="P215" s="1"/>
  <c r="R214"/>
  <c r="Q214"/>
  <c r="P214"/>
  <c r="R213"/>
  <c r="P212"/>
  <c r="F212"/>
  <c r="R212" s="1"/>
  <c r="E212"/>
  <c r="Q212" s="1"/>
  <c r="D212"/>
  <c r="P211"/>
  <c r="F211"/>
  <c r="R211" s="1"/>
  <c r="E211"/>
  <c r="Q211" s="1"/>
  <c r="D211"/>
  <c r="R210"/>
  <c r="Q210"/>
  <c r="P210"/>
  <c r="J210"/>
  <c r="J212" s="1"/>
  <c r="I210"/>
  <c r="I212" s="1"/>
  <c r="I211" s="1"/>
  <c r="H210"/>
  <c r="H212" s="1"/>
  <c r="H211" s="1"/>
  <c r="G210"/>
  <c r="F209"/>
  <c r="R209" s="1"/>
  <c r="R208"/>
  <c r="Q208"/>
  <c r="P208"/>
  <c r="J208"/>
  <c r="K208" s="1"/>
  <c r="L208" s="1"/>
  <c r="I208"/>
  <c r="H208"/>
  <c r="G208"/>
  <c r="Q206"/>
  <c r="P206"/>
  <c r="I206"/>
  <c r="H206"/>
  <c r="R204"/>
  <c r="Q204"/>
  <c r="P204"/>
  <c r="K204"/>
  <c r="J204"/>
  <c r="I204"/>
  <c r="H204"/>
  <c r="G204"/>
  <c r="R203"/>
  <c r="Q203"/>
  <c r="P203"/>
  <c r="J203"/>
  <c r="K203" s="1"/>
  <c r="L203" s="1"/>
  <c r="I203"/>
  <c r="H203"/>
  <c r="G203"/>
  <c r="R202"/>
  <c r="Q202"/>
  <c r="P202"/>
  <c r="J202"/>
  <c r="K202" s="1"/>
  <c r="L202" s="1"/>
  <c r="I202"/>
  <c r="H202"/>
  <c r="G202"/>
  <c r="R201"/>
  <c r="Q201"/>
  <c r="P201"/>
  <c r="K201"/>
  <c r="L201" s="1"/>
  <c r="J201"/>
  <c r="I201"/>
  <c r="H201"/>
  <c r="G201"/>
  <c r="R200"/>
  <c r="Q200"/>
  <c r="P200"/>
  <c r="L200"/>
  <c r="K200"/>
  <c r="J200"/>
  <c r="I200"/>
  <c r="H200"/>
  <c r="G200"/>
  <c r="R199"/>
  <c r="Q199"/>
  <c r="P199"/>
  <c r="K199"/>
  <c r="J199"/>
  <c r="I199"/>
  <c r="H199"/>
  <c r="G199"/>
  <c r="R198"/>
  <c r="Q198"/>
  <c r="P198"/>
  <c r="J198"/>
  <c r="K198" s="1"/>
  <c r="L198" s="1"/>
  <c r="I198"/>
  <c r="H198"/>
  <c r="G198"/>
  <c r="R197"/>
  <c r="Q197"/>
  <c r="P197"/>
  <c r="J197"/>
  <c r="K197" s="1"/>
  <c r="L197" s="1"/>
  <c r="I197"/>
  <c r="H197"/>
  <c r="G197"/>
  <c r="R196"/>
  <c r="Q196"/>
  <c r="P196"/>
  <c r="K196"/>
  <c r="L196" s="1"/>
  <c r="J196"/>
  <c r="I196"/>
  <c r="H196"/>
  <c r="G196"/>
  <c r="R195"/>
  <c r="Q195"/>
  <c r="P195"/>
  <c r="L195"/>
  <c r="K195"/>
  <c r="J195"/>
  <c r="I195"/>
  <c r="H195"/>
  <c r="G195"/>
  <c r="R194"/>
  <c r="Q194"/>
  <c r="P194"/>
  <c r="J194"/>
  <c r="K194" s="1"/>
  <c r="L194" s="1"/>
  <c r="I194"/>
  <c r="H194"/>
  <c r="H192" s="1"/>
  <c r="G194"/>
  <c r="R193"/>
  <c r="Q193"/>
  <c r="P193"/>
  <c r="J193"/>
  <c r="K193" s="1"/>
  <c r="L193" s="1"/>
  <c r="I193"/>
  <c r="I192" s="1"/>
  <c r="I188" s="1"/>
  <c r="H193"/>
  <c r="G193"/>
  <c r="R192"/>
  <c r="Q192"/>
  <c r="G192"/>
  <c r="F192"/>
  <c r="F188" s="1"/>
  <c r="E192"/>
  <c r="D192"/>
  <c r="P192" s="1"/>
  <c r="R191"/>
  <c r="Q191"/>
  <c r="P191"/>
  <c r="K191"/>
  <c r="L191" s="1"/>
  <c r="J191"/>
  <c r="I191"/>
  <c r="H191"/>
  <c r="G191"/>
  <c r="R190"/>
  <c r="Q190"/>
  <c r="P190"/>
  <c r="L190"/>
  <c r="K190"/>
  <c r="J190"/>
  <c r="I190"/>
  <c r="H190"/>
  <c r="G190"/>
  <c r="R189"/>
  <c r="Q189"/>
  <c r="P189"/>
  <c r="K189"/>
  <c r="J189"/>
  <c r="I189"/>
  <c r="H189"/>
  <c r="H188" s="1"/>
  <c r="G189"/>
  <c r="P188"/>
  <c r="E188"/>
  <c r="Q188" s="1"/>
  <c r="D188"/>
  <c r="R187"/>
  <c r="Q187"/>
  <c r="P187"/>
  <c r="K187"/>
  <c r="J187"/>
  <c r="I187"/>
  <c r="H187"/>
  <c r="G187"/>
  <c r="R186"/>
  <c r="Q186"/>
  <c r="P186"/>
  <c r="K186"/>
  <c r="J186"/>
  <c r="I186"/>
  <c r="H186"/>
  <c r="G186"/>
  <c r="R185"/>
  <c r="Q185"/>
  <c r="P185"/>
  <c r="K185"/>
  <c r="J185"/>
  <c r="I185"/>
  <c r="H185"/>
  <c r="H184" s="1"/>
  <c r="G185"/>
  <c r="Q184"/>
  <c r="P184"/>
  <c r="O184"/>
  <c r="J184"/>
  <c r="K184" s="1"/>
  <c r="L184" s="1"/>
  <c r="I184"/>
  <c r="F184"/>
  <c r="G184" s="1"/>
  <c r="D184"/>
  <c r="R183"/>
  <c r="Q183"/>
  <c r="P183"/>
  <c r="J183"/>
  <c r="K183" s="1"/>
  <c r="L183" s="1"/>
  <c r="I183"/>
  <c r="H183"/>
  <c r="G183"/>
  <c r="R182"/>
  <c r="Q182"/>
  <c r="P182"/>
  <c r="J182"/>
  <c r="K182" s="1"/>
  <c r="L182" s="1"/>
  <c r="I182"/>
  <c r="H182"/>
  <c r="G182"/>
  <c r="R181"/>
  <c r="Q181"/>
  <c r="P181"/>
  <c r="K181"/>
  <c r="L181" s="1"/>
  <c r="J181"/>
  <c r="J179" s="1"/>
  <c r="K179" s="1"/>
  <c r="L179" s="1"/>
  <c r="I181"/>
  <c r="H181"/>
  <c r="G181"/>
  <c r="R180"/>
  <c r="Q180"/>
  <c r="P180"/>
  <c r="L180"/>
  <c r="K180"/>
  <c r="J180"/>
  <c r="I180"/>
  <c r="H180"/>
  <c r="H179" s="1"/>
  <c r="G180"/>
  <c r="P179"/>
  <c r="I179"/>
  <c r="F179"/>
  <c r="R179" s="1"/>
  <c r="E179"/>
  <c r="Q179" s="1"/>
  <c r="D179"/>
  <c r="R178"/>
  <c r="Q178"/>
  <c r="P178"/>
  <c r="K178"/>
  <c r="J178"/>
  <c r="H178"/>
  <c r="G178"/>
  <c r="R177"/>
  <c r="Q177"/>
  <c r="K177"/>
  <c r="H177"/>
  <c r="G177"/>
  <c r="D177"/>
  <c r="P177" s="1"/>
  <c r="R176"/>
  <c r="Q176"/>
  <c r="P176"/>
  <c r="I176"/>
  <c r="H176"/>
  <c r="G176"/>
  <c r="F176"/>
  <c r="J176" s="1"/>
  <c r="K176" s="1"/>
  <c r="L176" s="1"/>
  <c r="R175"/>
  <c r="Q175"/>
  <c r="P175"/>
  <c r="K175"/>
  <c r="J175"/>
  <c r="G175"/>
  <c r="R174"/>
  <c r="Q174"/>
  <c r="P174"/>
  <c r="J174"/>
  <c r="K174" s="1"/>
  <c r="G174"/>
  <c r="R173"/>
  <c r="Q173"/>
  <c r="P173"/>
  <c r="K173"/>
  <c r="J173"/>
  <c r="G173"/>
  <c r="R172"/>
  <c r="Q172"/>
  <c r="P172"/>
  <c r="I172"/>
  <c r="H172"/>
  <c r="G172"/>
  <c r="F172"/>
  <c r="Q171"/>
  <c r="P171"/>
  <c r="G171"/>
  <c r="F171"/>
  <c r="R171" s="1"/>
  <c r="D171"/>
  <c r="R170"/>
  <c r="Q170"/>
  <c r="P170"/>
  <c r="K170"/>
  <c r="J170"/>
  <c r="H170"/>
  <c r="G170"/>
  <c r="R169"/>
  <c r="Q169"/>
  <c r="P169"/>
  <c r="K169"/>
  <c r="J169"/>
  <c r="J171" s="1"/>
  <c r="K171" s="1"/>
  <c r="H169"/>
  <c r="H171" s="1"/>
  <c r="G169"/>
  <c r="Q168"/>
  <c r="F168"/>
  <c r="G168" s="1"/>
  <c r="D168"/>
  <c r="P168" s="1"/>
  <c r="R167"/>
  <c r="Q167"/>
  <c r="P167"/>
  <c r="K167"/>
  <c r="J167"/>
  <c r="H167"/>
  <c r="G167"/>
  <c r="R166"/>
  <c r="Q166"/>
  <c r="P166"/>
  <c r="K166"/>
  <c r="J166"/>
  <c r="J168" s="1"/>
  <c r="K168" s="1"/>
  <c r="H166"/>
  <c r="H168" s="1"/>
  <c r="G166"/>
  <c r="R165"/>
  <c r="Q165"/>
  <c r="G165"/>
  <c r="F165"/>
  <c r="D165"/>
  <c r="P165" s="1"/>
  <c r="R164"/>
  <c r="Q164"/>
  <c r="P164"/>
  <c r="K164"/>
  <c r="J164"/>
  <c r="H164"/>
  <c r="G164"/>
  <c r="R163"/>
  <c r="Q163"/>
  <c r="P163"/>
  <c r="J163"/>
  <c r="K163" s="1"/>
  <c r="H163"/>
  <c r="H165" s="1"/>
  <c r="G163"/>
  <c r="R162"/>
  <c r="Q162"/>
  <c r="K162"/>
  <c r="G162"/>
  <c r="D162"/>
  <c r="P162" s="1"/>
  <c r="R161"/>
  <c r="Q161"/>
  <c r="P161"/>
  <c r="K161"/>
  <c r="J161"/>
  <c r="H161"/>
  <c r="G161"/>
  <c r="R160"/>
  <c r="Q160"/>
  <c r="P160"/>
  <c r="K160"/>
  <c r="J160"/>
  <c r="H160"/>
  <c r="H162" s="1"/>
  <c r="G160"/>
  <c r="R159"/>
  <c r="Q159"/>
  <c r="G159"/>
  <c r="F159"/>
  <c r="D159"/>
  <c r="P159" s="1"/>
  <c r="R158"/>
  <c r="Q158"/>
  <c r="P158"/>
  <c r="K158"/>
  <c r="J158"/>
  <c r="H158"/>
  <c r="G158"/>
  <c r="R157"/>
  <c r="Q157"/>
  <c r="P157"/>
  <c r="J157"/>
  <c r="K157" s="1"/>
  <c r="H157"/>
  <c r="H156" s="1"/>
  <c r="G157"/>
  <c r="Q156"/>
  <c r="J156"/>
  <c r="K156" s="1"/>
  <c r="L156" s="1"/>
  <c r="I156"/>
  <c r="F156"/>
  <c r="R156" s="1"/>
  <c r="D156"/>
  <c r="P156" s="1"/>
  <c r="R155"/>
  <c r="Q155"/>
  <c r="P155"/>
  <c r="J155"/>
  <c r="I155"/>
  <c r="K155" s="1"/>
  <c r="L155" s="1"/>
  <c r="H155"/>
  <c r="H154" s="1"/>
  <c r="G155"/>
  <c r="Q154"/>
  <c r="P154"/>
  <c r="J154"/>
  <c r="F154"/>
  <c r="R154" s="1"/>
  <c r="E154"/>
  <c r="E139" s="1"/>
  <c r="D154"/>
  <c r="R153"/>
  <c r="Q153"/>
  <c r="P153"/>
  <c r="K153"/>
  <c r="J153"/>
  <c r="H153"/>
  <c r="G153"/>
  <c r="R152"/>
  <c r="Q152"/>
  <c r="P152"/>
  <c r="K152"/>
  <c r="J152"/>
  <c r="H152"/>
  <c r="G152"/>
  <c r="R151"/>
  <c r="Q151"/>
  <c r="L151"/>
  <c r="K151"/>
  <c r="J151"/>
  <c r="I151"/>
  <c r="H151"/>
  <c r="G151"/>
  <c r="F151"/>
  <c r="D151"/>
  <c r="P151" s="1"/>
  <c r="R150"/>
  <c r="Q150"/>
  <c r="P150"/>
  <c r="K150"/>
  <c r="L150" s="1"/>
  <c r="J150"/>
  <c r="I150"/>
  <c r="H150"/>
  <c r="G150"/>
  <c r="R149"/>
  <c r="Q149"/>
  <c r="P149"/>
  <c r="J149"/>
  <c r="I149"/>
  <c r="H149"/>
  <c r="G149"/>
  <c r="R148"/>
  <c r="Q148"/>
  <c r="P148"/>
  <c r="K148"/>
  <c r="L148" s="1"/>
  <c r="J148"/>
  <c r="I148"/>
  <c r="H148"/>
  <c r="G148"/>
  <c r="R147"/>
  <c r="Q147"/>
  <c r="P147"/>
  <c r="L147"/>
  <c r="K147"/>
  <c r="J147"/>
  <c r="I147"/>
  <c r="H147"/>
  <c r="G147"/>
  <c r="R146"/>
  <c r="Q146"/>
  <c r="P146"/>
  <c r="J146"/>
  <c r="K146" s="1"/>
  <c r="L146" s="1"/>
  <c r="I146"/>
  <c r="H146"/>
  <c r="G146"/>
  <c r="R145"/>
  <c r="Q145"/>
  <c r="P145"/>
  <c r="J145"/>
  <c r="K145" s="1"/>
  <c r="L145" s="1"/>
  <c r="I145"/>
  <c r="H145"/>
  <c r="H220" s="1"/>
  <c r="H221" s="1"/>
  <c r="G145"/>
  <c r="F144"/>
  <c r="G144" s="1"/>
  <c r="E144"/>
  <c r="I144" s="1"/>
  <c r="D144"/>
  <c r="P144" s="1"/>
  <c r="R143"/>
  <c r="Q143"/>
  <c r="P143"/>
  <c r="J143"/>
  <c r="K143" s="1"/>
  <c r="I143"/>
  <c r="H143"/>
  <c r="G143"/>
  <c r="R142"/>
  <c r="Q142"/>
  <c r="P142"/>
  <c r="J142"/>
  <c r="K142" s="1"/>
  <c r="L142" s="1"/>
  <c r="I142"/>
  <c r="I140" s="1"/>
  <c r="H142"/>
  <c r="H144" s="1"/>
  <c r="G142"/>
  <c r="R141"/>
  <c r="Q141"/>
  <c r="P141"/>
  <c r="K141"/>
  <c r="L141" s="1"/>
  <c r="J141"/>
  <c r="J140" s="1"/>
  <c r="I141"/>
  <c r="H141"/>
  <c r="G141"/>
  <c r="R140"/>
  <c r="H140"/>
  <c r="G140"/>
  <c r="F140"/>
  <c r="E140"/>
  <c r="Q140" s="1"/>
  <c r="D140"/>
  <c r="P140" s="1"/>
  <c r="D139"/>
  <c r="P139" s="1"/>
  <c r="R137"/>
  <c r="Q137"/>
  <c r="P137"/>
  <c r="J137"/>
  <c r="I137"/>
  <c r="K137" s="1"/>
  <c r="L137" s="1"/>
  <c r="H137"/>
  <c r="G137"/>
  <c r="R136"/>
  <c r="Q136"/>
  <c r="P136"/>
  <c r="J136"/>
  <c r="K136" s="1"/>
  <c r="L136" s="1"/>
  <c r="I136"/>
  <c r="H136"/>
  <c r="G136"/>
  <c r="R135"/>
  <c r="Q135"/>
  <c r="P135"/>
  <c r="J135"/>
  <c r="K135" s="1"/>
  <c r="I135"/>
  <c r="H135"/>
  <c r="G135"/>
  <c r="R134"/>
  <c r="Q134"/>
  <c r="P134"/>
  <c r="K134"/>
  <c r="L134" s="1"/>
  <c r="J134"/>
  <c r="I134"/>
  <c r="H134"/>
  <c r="G134"/>
  <c r="R133"/>
  <c r="Q133"/>
  <c r="P133"/>
  <c r="K133"/>
  <c r="J133"/>
  <c r="I133"/>
  <c r="H133"/>
  <c r="G133"/>
  <c r="R132"/>
  <c r="Q132"/>
  <c r="P132"/>
  <c r="K132"/>
  <c r="J132"/>
  <c r="I132"/>
  <c r="H132"/>
  <c r="G132"/>
  <c r="R131"/>
  <c r="Q131"/>
  <c r="P131"/>
  <c r="L131"/>
  <c r="K131"/>
  <c r="J131"/>
  <c r="I131"/>
  <c r="H131"/>
  <c r="G131"/>
  <c r="R130"/>
  <c r="Q130"/>
  <c r="P130"/>
  <c r="J130"/>
  <c r="K130" s="1"/>
  <c r="L130" s="1"/>
  <c r="I130"/>
  <c r="H130"/>
  <c r="G130"/>
  <c r="R129"/>
  <c r="Q129"/>
  <c r="P129"/>
  <c r="J129"/>
  <c r="K129" s="1"/>
  <c r="L129" s="1"/>
  <c r="I129"/>
  <c r="H129"/>
  <c r="G129"/>
  <c r="R128"/>
  <c r="Q128"/>
  <c r="P128"/>
  <c r="K128"/>
  <c r="L128" s="1"/>
  <c r="J128"/>
  <c r="I128"/>
  <c r="H128"/>
  <c r="G128"/>
  <c r="R127"/>
  <c r="Q127"/>
  <c r="P127"/>
  <c r="L127"/>
  <c r="K127"/>
  <c r="J127"/>
  <c r="I127"/>
  <c r="H127"/>
  <c r="G127"/>
  <c r="R126"/>
  <c r="Q126"/>
  <c r="P126"/>
  <c r="J126"/>
  <c r="K126" s="1"/>
  <c r="L126" s="1"/>
  <c r="I126"/>
  <c r="H126"/>
  <c r="G126"/>
  <c r="Q125"/>
  <c r="P125"/>
  <c r="I125"/>
  <c r="H125"/>
  <c r="F125"/>
  <c r="R125" s="1"/>
  <c r="R124"/>
  <c r="Q124"/>
  <c r="P124"/>
  <c r="L124"/>
  <c r="K124"/>
  <c r="J124"/>
  <c r="I124"/>
  <c r="H124"/>
  <c r="G124"/>
  <c r="R123"/>
  <c r="Q123"/>
  <c r="P123"/>
  <c r="J123"/>
  <c r="K123" s="1"/>
  <c r="L123" s="1"/>
  <c r="I123"/>
  <c r="H123"/>
  <c r="G123"/>
  <c r="R122"/>
  <c r="Q122"/>
  <c r="P122"/>
  <c r="K122"/>
  <c r="L122" s="1"/>
  <c r="G122"/>
  <c r="R121"/>
  <c r="P121"/>
  <c r="H121"/>
  <c r="G121"/>
  <c r="F121"/>
  <c r="J121" s="1"/>
  <c r="K121" s="1"/>
  <c r="L121" s="1"/>
  <c r="E121"/>
  <c r="I121" s="1"/>
  <c r="R120"/>
  <c r="Q120"/>
  <c r="P120"/>
  <c r="H120"/>
  <c r="G120"/>
  <c r="F120"/>
  <c r="J120" s="1"/>
  <c r="E120"/>
  <c r="I120" s="1"/>
  <c r="Q119"/>
  <c r="I119"/>
  <c r="H119"/>
  <c r="F119"/>
  <c r="R119" s="1"/>
  <c r="D119"/>
  <c r="P119" s="1"/>
  <c r="R118"/>
  <c r="Q118"/>
  <c r="P118"/>
  <c r="K118"/>
  <c r="J118"/>
  <c r="H118"/>
  <c r="G118"/>
  <c r="R117"/>
  <c r="Q117"/>
  <c r="P117"/>
  <c r="K117"/>
  <c r="J117"/>
  <c r="H117"/>
  <c r="G117"/>
  <c r="R116"/>
  <c r="Q116"/>
  <c r="P116"/>
  <c r="J116"/>
  <c r="K116" s="1"/>
  <c r="H116"/>
  <c r="H115" s="1"/>
  <c r="H110" s="1"/>
  <c r="G116"/>
  <c r="R115"/>
  <c r="Q115"/>
  <c r="J115"/>
  <c r="K115" s="1"/>
  <c r="L115" s="1"/>
  <c r="I115"/>
  <c r="G115"/>
  <c r="D115"/>
  <c r="P115" s="1"/>
  <c r="R114"/>
  <c r="Q114"/>
  <c r="P114"/>
  <c r="K114"/>
  <c r="J114"/>
  <c r="G114"/>
  <c r="R113"/>
  <c r="Q113"/>
  <c r="P113"/>
  <c r="J113"/>
  <c r="K113" s="1"/>
  <c r="G113"/>
  <c r="R112"/>
  <c r="Q112"/>
  <c r="P112"/>
  <c r="K112"/>
  <c r="J112"/>
  <c r="G112"/>
  <c r="Q111"/>
  <c r="P111"/>
  <c r="J111"/>
  <c r="K111" s="1"/>
  <c r="L111" s="1"/>
  <c r="I111"/>
  <c r="I110" s="1"/>
  <c r="H111"/>
  <c r="F111"/>
  <c r="R111" s="1"/>
  <c r="E110"/>
  <c r="Q110" s="1"/>
  <c r="D110"/>
  <c r="P110" s="1"/>
  <c r="R109"/>
  <c r="Q109"/>
  <c r="P109"/>
  <c r="I109"/>
  <c r="H109"/>
  <c r="G109"/>
  <c r="F109"/>
  <c r="J109" s="1"/>
  <c r="K109" s="1"/>
  <c r="L109" s="1"/>
  <c r="R108"/>
  <c r="Q108"/>
  <c r="P108"/>
  <c r="J108"/>
  <c r="K108" s="1"/>
  <c r="L108" s="1"/>
  <c r="I108"/>
  <c r="H108"/>
  <c r="G108"/>
  <c r="R107"/>
  <c r="Q107"/>
  <c r="P107"/>
  <c r="I107"/>
  <c r="H107"/>
  <c r="G107"/>
  <c r="F107"/>
  <c r="J107" s="1"/>
  <c r="K107" s="1"/>
  <c r="L107" s="1"/>
  <c r="R106"/>
  <c r="Q106"/>
  <c r="P106"/>
  <c r="J106"/>
  <c r="K106" s="1"/>
  <c r="L106" s="1"/>
  <c r="I106"/>
  <c r="H106"/>
  <c r="G106"/>
  <c r="Q105"/>
  <c r="P105"/>
  <c r="I105"/>
  <c r="H105"/>
  <c r="F105"/>
  <c r="J105" s="1"/>
  <c r="H104"/>
  <c r="E104"/>
  <c r="I104" s="1"/>
  <c r="D104"/>
  <c r="P104" s="1"/>
  <c r="R103"/>
  <c r="Q103"/>
  <c r="P103"/>
  <c r="L103"/>
  <c r="K103"/>
  <c r="J103"/>
  <c r="I103"/>
  <c r="H103"/>
  <c r="G103"/>
  <c r="R102"/>
  <c r="Q102"/>
  <c r="P102"/>
  <c r="K102"/>
  <c r="J102"/>
  <c r="H102"/>
  <c r="G102"/>
  <c r="R101"/>
  <c r="Q101"/>
  <c r="P101"/>
  <c r="K101"/>
  <c r="J101"/>
  <c r="H101"/>
  <c r="G101"/>
  <c r="R100"/>
  <c r="Q100"/>
  <c r="P100"/>
  <c r="J100"/>
  <c r="K100" s="1"/>
  <c r="H100"/>
  <c r="H99" s="1"/>
  <c r="G100"/>
  <c r="Q99"/>
  <c r="J99"/>
  <c r="K99" s="1"/>
  <c r="L99" s="1"/>
  <c r="I99"/>
  <c r="F99"/>
  <c r="D99"/>
  <c r="R98"/>
  <c r="Q98"/>
  <c r="P98"/>
  <c r="J98"/>
  <c r="I98"/>
  <c r="I97" s="1"/>
  <c r="H98"/>
  <c r="H97" s="1"/>
  <c r="G98"/>
  <c r="Q97"/>
  <c r="E97"/>
  <c r="R96"/>
  <c r="Q96"/>
  <c r="P96"/>
  <c r="J96"/>
  <c r="I96"/>
  <c r="I95" s="1"/>
  <c r="H96"/>
  <c r="G96"/>
  <c r="R95"/>
  <c r="Q95"/>
  <c r="H95"/>
  <c r="G95"/>
  <c r="F95"/>
  <c r="E95"/>
  <c r="D95"/>
  <c r="P95" s="1"/>
  <c r="R94"/>
  <c r="Q94"/>
  <c r="P94"/>
  <c r="K94"/>
  <c r="L94" s="1"/>
  <c r="J94"/>
  <c r="J93" s="1"/>
  <c r="K93" s="1"/>
  <c r="I94"/>
  <c r="H94"/>
  <c r="G94"/>
  <c r="R93"/>
  <c r="L93"/>
  <c r="I93"/>
  <c r="H93"/>
  <c r="G93"/>
  <c r="F93"/>
  <c r="E93"/>
  <c r="Q93" s="1"/>
  <c r="D93"/>
  <c r="P93" s="1"/>
  <c r="R92"/>
  <c r="Q92"/>
  <c r="P92"/>
  <c r="J92"/>
  <c r="I92"/>
  <c r="H92"/>
  <c r="R91"/>
  <c r="Q91"/>
  <c r="P91"/>
  <c r="J91"/>
  <c r="K91" s="1"/>
  <c r="L91" s="1"/>
  <c r="I91"/>
  <c r="H91"/>
  <c r="G91"/>
  <c r="R90"/>
  <c r="Q90"/>
  <c r="P90"/>
  <c r="K90"/>
  <c r="L90" s="1"/>
  <c r="J90"/>
  <c r="I90"/>
  <c r="H90"/>
  <c r="G90"/>
  <c r="R89"/>
  <c r="Q89"/>
  <c r="P89"/>
  <c r="L89"/>
  <c r="K89"/>
  <c r="J89"/>
  <c r="I89"/>
  <c r="H89"/>
  <c r="G89"/>
  <c r="R88"/>
  <c r="Q88"/>
  <c r="P88"/>
  <c r="J88"/>
  <c r="I88"/>
  <c r="I87" s="1"/>
  <c r="H88"/>
  <c r="H219" s="1"/>
  <c r="G88"/>
  <c r="R87"/>
  <c r="Q87"/>
  <c r="O87"/>
  <c r="H87"/>
  <c r="G87"/>
  <c r="F87"/>
  <c r="E87"/>
  <c r="D87"/>
  <c r="P87" s="1"/>
  <c r="R86"/>
  <c r="Q86"/>
  <c r="K86"/>
  <c r="F86"/>
  <c r="G86" s="1"/>
  <c r="D86"/>
  <c r="P86" s="1"/>
  <c r="R85"/>
  <c r="Q85"/>
  <c r="P85"/>
  <c r="K85"/>
  <c r="J85"/>
  <c r="H85"/>
  <c r="G85"/>
  <c r="R84"/>
  <c r="Q84"/>
  <c r="P84"/>
  <c r="J84"/>
  <c r="K84" s="1"/>
  <c r="H84"/>
  <c r="H86" s="1"/>
  <c r="G84"/>
  <c r="Q83"/>
  <c r="P83"/>
  <c r="K83"/>
  <c r="G83"/>
  <c r="F83"/>
  <c r="R83" s="1"/>
  <c r="D83"/>
  <c r="R82"/>
  <c r="Q82"/>
  <c r="P82"/>
  <c r="J82"/>
  <c r="K82" s="1"/>
  <c r="H82"/>
  <c r="H74" s="1"/>
  <c r="R81"/>
  <c r="Q81"/>
  <c r="P81"/>
  <c r="K81"/>
  <c r="J81"/>
  <c r="H81"/>
  <c r="G81"/>
  <c r="R80"/>
  <c r="Q80"/>
  <c r="K80"/>
  <c r="H80"/>
  <c r="G80"/>
  <c r="F80"/>
  <c r="D80"/>
  <c r="P80" s="1"/>
  <c r="R79"/>
  <c r="Q79"/>
  <c r="P79"/>
  <c r="J79"/>
  <c r="K79" s="1"/>
  <c r="H79"/>
  <c r="G79"/>
  <c r="R78"/>
  <c r="Q78"/>
  <c r="P78"/>
  <c r="K78"/>
  <c r="J78"/>
  <c r="H78"/>
  <c r="G78"/>
  <c r="Q77"/>
  <c r="P77"/>
  <c r="K77"/>
  <c r="F77"/>
  <c r="D77"/>
  <c r="R76"/>
  <c r="Q76"/>
  <c r="P76"/>
  <c r="K76"/>
  <c r="J76"/>
  <c r="H76"/>
  <c r="G76"/>
  <c r="R75"/>
  <c r="Q75"/>
  <c r="P75"/>
  <c r="K75"/>
  <c r="J75"/>
  <c r="J73" s="1"/>
  <c r="K73" s="1"/>
  <c r="H75"/>
  <c r="H77" s="1"/>
  <c r="G75"/>
  <c r="R74"/>
  <c r="J74"/>
  <c r="K74" s="1"/>
  <c r="F74"/>
  <c r="G74" s="1"/>
  <c r="E74"/>
  <c r="Q74" s="1"/>
  <c r="D74"/>
  <c r="P74" s="1"/>
  <c r="P73"/>
  <c r="I73"/>
  <c r="H73"/>
  <c r="G73"/>
  <c r="F73"/>
  <c r="R73" s="1"/>
  <c r="E73"/>
  <c r="Q73" s="1"/>
  <c r="D73"/>
  <c r="D72" s="1"/>
  <c r="P72" s="1"/>
  <c r="R72"/>
  <c r="Q72"/>
  <c r="I72"/>
  <c r="H72"/>
  <c r="G72"/>
  <c r="F72"/>
  <c r="J72" s="1"/>
  <c r="K72" s="1"/>
  <c r="L72" s="1"/>
  <c r="R71"/>
  <c r="Q71"/>
  <c r="J71"/>
  <c r="K71" s="1"/>
  <c r="F71"/>
  <c r="G71" s="1"/>
  <c r="D71"/>
  <c r="P71" s="1"/>
  <c r="R70"/>
  <c r="Q70"/>
  <c r="P70"/>
  <c r="K70"/>
  <c r="J70"/>
  <c r="H70"/>
  <c r="G70"/>
  <c r="R69"/>
  <c r="Q69"/>
  <c r="P69"/>
  <c r="J69"/>
  <c r="K69" s="1"/>
  <c r="H69"/>
  <c r="H71" s="1"/>
  <c r="G69"/>
  <c r="R68"/>
  <c r="Q68"/>
  <c r="P68"/>
  <c r="H68"/>
  <c r="G68"/>
  <c r="D68"/>
  <c r="R67"/>
  <c r="Q67"/>
  <c r="P67"/>
  <c r="J67"/>
  <c r="K67" s="1"/>
  <c r="H67"/>
  <c r="H52" s="1"/>
  <c r="G67"/>
  <c r="R66"/>
  <c r="Q66"/>
  <c r="P66"/>
  <c r="K66"/>
  <c r="J66"/>
  <c r="J68" s="1"/>
  <c r="K68" s="1"/>
  <c r="H66"/>
  <c r="G66"/>
  <c r="Q65"/>
  <c r="K65"/>
  <c r="F65"/>
  <c r="D65"/>
  <c r="P65" s="1"/>
  <c r="R64"/>
  <c r="Q64"/>
  <c r="P64"/>
  <c r="K64"/>
  <c r="J64"/>
  <c r="H64"/>
  <c r="G64"/>
  <c r="R63"/>
  <c r="Q63"/>
  <c r="P63"/>
  <c r="K63"/>
  <c r="J63"/>
  <c r="J65" s="1"/>
  <c r="H63"/>
  <c r="H65" s="1"/>
  <c r="G63"/>
  <c r="R62"/>
  <c r="Q62"/>
  <c r="G62"/>
  <c r="F62"/>
  <c r="D62"/>
  <c r="P62" s="1"/>
  <c r="R61"/>
  <c r="Q61"/>
  <c r="P61"/>
  <c r="K61"/>
  <c r="J61"/>
  <c r="H61"/>
  <c r="G61"/>
  <c r="R60"/>
  <c r="Q60"/>
  <c r="P60"/>
  <c r="J60"/>
  <c r="K60" s="1"/>
  <c r="H60"/>
  <c r="H62" s="1"/>
  <c r="G60"/>
  <c r="R59"/>
  <c r="Q59"/>
  <c r="K59"/>
  <c r="G59"/>
  <c r="D59"/>
  <c r="P59" s="1"/>
  <c r="R58"/>
  <c r="Q58"/>
  <c r="P58"/>
  <c r="K58"/>
  <c r="J58"/>
  <c r="H58"/>
  <c r="G58"/>
  <c r="R57"/>
  <c r="Q57"/>
  <c r="P57"/>
  <c r="K57"/>
  <c r="J57"/>
  <c r="H57"/>
  <c r="H59" s="1"/>
  <c r="G57"/>
  <c r="R56"/>
  <c r="Q56"/>
  <c r="J56"/>
  <c r="K56" s="1"/>
  <c r="F56"/>
  <c r="G56" s="1"/>
  <c r="D56"/>
  <c r="P56" s="1"/>
  <c r="R55"/>
  <c r="Q55"/>
  <c r="P55"/>
  <c r="K55"/>
  <c r="J55"/>
  <c r="H55"/>
  <c r="G55"/>
  <c r="R54"/>
  <c r="Q54"/>
  <c r="P54"/>
  <c r="J54"/>
  <c r="H54"/>
  <c r="H56" s="1"/>
  <c r="G54"/>
  <c r="Q53"/>
  <c r="R52"/>
  <c r="Q52"/>
  <c r="J52"/>
  <c r="K52" s="1"/>
  <c r="F52"/>
  <c r="G52" s="1"/>
  <c r="D52"/>
  <c r="P52" s="1"/>
  <c r="Q51"/>
  <c r="F51"/>
  <c r="D51"/>
  <c r="D53" s="1"/>
  <c r="P53" s="1"/>
  <c r="Q50"/>
  <c r="P50"/>
  <c r="D50"/>
  <c r="R49"/>
  <c r="Q49"/>
  <c r="P49"/>
  <c r="J49"/>
  <c r="K49" s="1"/>
  <c r="H49"/>
  <c r="G49"/>
  <c r="Q48"/>
  <c r="P48"/>
  <c r="H48"/>
  <c r="G48"/>
  <c r="F48"/>
  <c r="F50" s="1"/>
  <c r="R50" s="1"/>
  <c r="Q47"/>
  <c r="P47"/>
  <c r="G47"/>
  <c r="F47"/>
  <c r="R47" s="1"/>
  <c r="D47"/>
  <c r="R46"/>
  <c r="Q46"/>
  <c r="P46"/>
  <c r="J46"/>
  <c r="K46" s="1"/>
  <c r="H46"/>
  <c r="G46"/>
  <c r="R45"/>
  <c r="Q45"/>
  <c r="P45"/>
  <c r="K45"/>
  <c r="J45"/>
  <c r="J47" s="1"/>
  <c r="K47" s="1"/>
  <c r="I45"/>
  <c r="H45"/>
  <c r="G45"/>
  <c r="R44"/>
  <c r="Q44"/>
  <c r="P44"/>
  <c r="G44"/>
  <c r="D44"/>
  <c r="R43"/>
  <c r="Q43"/>
  <c r="P43"/>
  <c r="K43"/>
  <c r="J43"/>
  <c r="H43"/>
  <c r="G43"/>
  <c r="R42"/>
  <c r="Q42"/>
  <c r="P42"/>
  <c r="K42"/>
  <c r="J42"/>
  <c r="J44" s="1"/>
  <c r="K44" s="1"/>
  <c r="H42"/>
  <c r="H44" s="1"/>
  <c r="G42"/>
  <c r="J41"/>
  <c r="K41" s="1"/>
  <c r="I41"/>
  <c r="F41"/>
  <c r="E41"/>
  <c r="Q41" s="1"/>
  <c r="D41"/>
  <c r="P41" s="1"/>
  <c r="Q40"/>
  <c r="P40"/>
  <c r="H40"/>
  <c r="G40"/>
  <c r="F40"/>
  <c r="R40" s="1"/>
  <c r="D40"/>
  <c r="R39"/>
  <c r="Q39"/>
  <c r="P39"/>
  <c r="J39"/>
  <c r="K39" s="1"/>
  <c r="H39"/>
  <c r="G39"/>
  <c r="R38"/>
  <c r="Q38"/>
  <c r="P38"/>
  <c r="J38"/>
  <c r="I38"/>
  <c r="H38"/>
  <c r="G38"/>
  <c r="Q37"/>
  <c r="I37"/>
  <c r="R36"/>
  <c r="Q36"/>
  <c r="P36"/>
  <c r="J36"/>
  <c r="I36"/>
  <c r="I35" s="1"/>
  <c r="H36"/>
  <c r="G36"/>
  <c r="R35"/>
  <c r="Q35"/>
  <c r="H35"/>
  <c r="G35"/>
  <c r="F35"/>
  <c r="E35"/>
  <c r="D35"/>
  <c r="P35" s="1"/>
  <c r="R34"/>
  <c r="Q34"/>
  <c r="P34"/>
  <c r="J34"/>
  <c r="H34"/>
  <c r="G34"/>
  <c r="R33"/>
  <c r="Q33"/>
  <c r="P33"/>
  <c r="J33"/>
  <c r="K33" s="1"/>
  <c r="H33"/>
  <c r="G33"/>
  <c r="R32"/>
  <c r="Q32"/>
  <c r="P32"/>
  <c r="K32"/>
  <c r="J32"/>
  <c r="H32"/>
  <c r="G32"/>
  <c r="R31"/>
  <c r="Q31"/>
  <c r="P31"/>
  <c r="K31"/>
  <c r="J31"/>
  <c r="H31"/>
  <c r="G31"/>
  <c r="R30"/>
  <c r="Q30"/>
  <c r="I30"/>
  <c r="G30"/>
  <c r="F30"/>
  <c r="F10" s="1"/>
  <c r="D30"/>
  <c r="P30" s="1"/>
  <c r="R29"/>
  <c r="Q29"/>
  <c r="P29"/>
  <c r="G29"/>
  <c r="D29"/>
  <c r="R28"/>
  <c r="Q28"/>
  <c r="P28"/>
  <c r="K28"/>
  <c r="J28"/>
  <c r="H28"/>
  <c r="H29" s="1"/>
  <c r="G28"/>
  <c r="R27"/>
  <c r="Q27"/>
  <c r="P27"/>
  <c r="K27"/>
  <c r="J27"/>
  <c r="J29" s="1"/>
  <c r="K29" s="1"/>
  <c r="H27"/>
  <c r="G27"/>
  <c r="R26"/>
  <c r="J26"/>
  <c r="H26"/>
  <c r="F26"/>
  <c r="E26"/>
  <c r="Q26" s="1"/>
  <c r="D26"/>
  <c r="P26" s="1"/>
  <c r="R25"/>
  <c r="Q25"/>
  <c r="P25"/>
  <c r="K25"/>
  <c r="J25"/>
  <c r="H25"/>
  <c r="G25"/>
  <c r="R24"/>
  <c r="Q24"/>
  <c r="P24"/>
  <c r="K24"/>
  <c r="J24"/>
  <c r="H24"/>
  <c r="G24"/>
  <c r="R23"/>
  <c r="Q23"/>
  <c r="K23"/>
  <c r="H23"/>
  <c r="G23"/>
  <c r="F23"/>
  <c r="E23"/>
  <c r="D23"/>
  <c r="P23" s="1"/>
  <c r="R22"/>
  <c r="Q22"/>
  <c r="P22"/>
  <c r="K22"/>
  <c r="J22"/>
  <c r="H22"/>
  <c r="G22"/>
  <c r="R21"/>
  <c r="Q21"/>
  <c r="P21"/>
  <c r="J21"/>
  <c r="K21" s="1"/>
  <c r="H21"/>
  <c r="G21"/>
  <c r="Q20"/>
  <c r="P20"/>
  <c r="K20"/>
  <c r="G20"/>
  <c r="F20"/>
  <c r="R20" s="1"/>
  <c r="D20"/>
  <c r="R19"/>
  <c r="Q19"/>
  <c r="P19"/>
  <c r="J19"/>
  <c r="K19" s="1"/>
  <c r="H19"/>
  <c r="G19"/>
  <c r="R18"/>
  <c r="Q18"/>
  <c r="P18"/>
  <c r="K18"/>
  <c r="J18"/>
  <c r="H18"/>
  <c r="H20" s="1"/>
  <c r="G18"/>
  <c r="R17"/>
  <c r="Q17"/>
  <c r="K17"/>
  <c r="F17"/>
  <c r="G17" s="1"/>
  <c r="D17"/>
  <c r="P17" s="1"/>
  <c r="R16"/>
  <c r="Q16"/>
  <c r="P16"/>
  <c r="K16"/>
  <c r="J16"/>
  <c r="H16"/>
  <c r="G16"/>
  <c r="R15"/>
  <c r="Q15"/>
  <c r="P15"/>
  <c r="J15"/>
  <c r="H15"/>
  <c r="H17" s="1"/>
  <c r="G15"/>
  <c r="Q14"/>
  <c r="P14"/>
  <c r="G14"/>
  <c r="F14"/>
  <c r="R14" s="1"/>
  <c r="D14"/>
  <c r="R13"/>
  <c r="Q13"/>
  <c r="P13"/>
  <c r="J13"/>
  <c r="K13" s="1"/>
  <c r="H13"/>
  <c r="G13"/>
  <c r="R12"/>
  <c r="Q12"/>
  <c r="P12"/>
  <c r="J12"/>
  <c r="J14" s="1"/>
  <c r="K14" s="1"/>
  <c r="H12"/>
  <c r="H11" s="1"/>
  <c r="G12"/>
  <c r="Q11"/>
  <c r="P11"/>
  <c r="I11"/>
  <c r="I10" s="1"/>
  <c r="I9" s="1"/>
  <c r="F11"/>
  <c r="R11" s="1"/>
  <c r="D11"/>
  <c r="E10"/>
  <c r="Q10" s="1"/>
  <c r="D10"/>
  <c r="P10" s="1"/>
  <c r="E9"/>
  <c r="Q9" s="1"/>
  <c r="O8"/>
  <c r="E8"/>
  <c r="Q8" s="1"/>
  <c r="Q5"/>
  <c r="Q5" i="34"/>
  <c r="F73"/>
  <c r="F72" s="1"/>
  <c r="J72" s="1"/>
  <c r="P206"/>
  <c r="Q206"/>
  <c r="F209"/>
  <c r="F176"/>
  <c r="J176" s="1"/>
  <c r="F125"/>
  <c r="R125" s="1"/>
  <c r="F107"/>
  <c r="J107" s="1"/>
  <c r="F105"/>
  <c r="J105" s="1"/>
  <c r="F109"/>
  <c r="F48"/>
  <c r="F50" s="1"/>
  <c r="F88" i="33"/>
  <c r="F88" i="31"/>
  <c r="J141" i="34"/>
  <c r="J210"/>
  <c r="J208"/>
  <c r="J204"/>
  <c r="J203"/>
  <c r="J202"/>
  <c r="J201"/>
  <c r="J200"/>
  <c r="J199"/>
  <c r="J198"/>
  <c r="J197"/>
  <c r="J196"/>
  <c r="J195"/>
  <c r="J194"/>
  <c r="J193"/>
  <c r="J191"/>
  <c r="J190"/>
  <c r="J189"/>
  <c r="J187"/>
  <c r="J186"/>
  <c r="J185"/>
  <c r="J183"/>
  <c r="J182"/>
  <c r="J181"/>
  <c r="J180"/>
  <c r="J178"/>
  <c r="J175"/>
  <c r="J174"/>
  <c r="J173"/>
  <c r="J170"/>
  <c r="J169"/>
  <c r="J167"/>
  <c r="J166"/>
  <c r="J164"/>
  <c r="J163"/>
  <c r="J165" s="1"/>
  <c r="J161"/>
  <c r="J160"/>
  <c r="J158"/>
  <c r="J157"/>
  <c r="J155"/>
  <c r="J154" s="1"/>
  <c r="J153"/>
  <c r="J152"/>
  <c r="J150"/>
  <c r="J149"/>
  <c r="J148"/>
  <c r="J147"/>
  <c r="J146"/>
  <c r="J145"/>
  <c r="J220" s="1"/>
  <c r="J143"/>
  <c r="J142"/>
  <c r="J144" s="1"/>
  <c r="J137"/>
  <c r="J136"/>
  <c r="J135"/>
  <c r="J134"/>
  <c r="J133"/>
  <c r="J132"/>
  <c r="J131"/>
  <c r="J130"/>
  <c r="J129"/>
  <c r="J128"/>
  <c r="J127"/>
  <c r="J126"/>
  <c r="J125"/>
  <c r="J124"/>
  <c r="J123"/>
  <c r="J118"/>
  <c r="J117"/>
  <c r="J116"/>
  <c r="J114"/>
  <c r="J113"/>
  <c r="J112"/>
  <c r="J109"/>
  <c r="J108"/>
  <c r="J106"/>
  <c r="J103"/>
  <c r="J102"/>
  <c r="J101"/>
  <c r="J100"/>
  <c r="J98"/>
  <c r="J96"/>
  <c r="J94"/>
  <c r="J93" s="1"/>
  <c r="J92"/>
  <c r="J91"/>
  <c r="J90"/>
  <c r="J89"/>
  <c r="J88"/>
  <c r="J219" s="1"/>
  <c r="J85"/>
  <c r="J84"/>
  <c r="J82"/>
  <c r="J81"/>
  <c r="J79"/>
  <c r="J78"/>
  <c r="J76"/>
  <c r="J75"/>
  <c r="J70"/>
  <c r="J69"/>
  <c r="J67"/>
  <c r="J66"/>
  <c r="J64"/>
  <c r="J63"/>
  <c r="J61"/>
  <c r="J60"/>
  <c r="J58"/>
  <c r="J57"/>
  <c r="J55"/>
  <c r="J54"/>
  <c r="J49"/>
  <c r="J46"/>
  <c r="J45"/>
  <c r="J43"/>
  <c r="J42"/>
  <c r="J39"/>
  <c r="J38"/>
  <c r="J36"/>
  <c r="J35" s="1"/>
  <c r="J34"/>
  <c r="J33"/>
  <c r="J32"/>
  <c r="J31"/>
  <c r="J28"/>
  <c r="J27"/>
  <c r="J25"/>
  <c r="J24"/>
  <c r="J22"/>
  <c r="J21"/>
  <c r="J19"/>
  <c r="J18"/>
  <c r="J16"/>
  <c r="J15"/>
  <c r="J13"/>
  <c r="J12"/>
  <c r="R12"/>
  <c r="R13"/>
  <c r="R15"/>
  <c r="R16"/>
  <c r="R18"/>
  <c r="R19"/>
  <c r="R21"/>
  <c r="R22"/>
  <c r="R24"/>
  <c r="R25"/>
  <c r="R27"/>
  <c r="R28"/>
  <c r="R29"/>
  <c r="R31"/>
  <c r="R32"/>
  <c r="R33"/>
  <c r="R34"/>
  <c r="R36"/>
  <c r="R38"/>
  <c r="R39"/>
  <c r="R42"/>
  <c r="R43"/>
  <c r="R44"/>
  <c r="R45"/>
  <c r="R46"/>
  <c r="R48"/>
  <c r="R49"/>
  <c r="R54"/>
  <c r="R55"/>
  <c r="R57"/>
  <c r="R58"/>
  <c r="R59"/>
  <c r="R60"/>
  <c r="R61"/>
  <c r="R63"/>
  <c r="R64"/>
  <c r="R66"/>
  <c r="R67"/>
  <c r="R68"/>
  <c r="R69"/>
  <c r="R70"/>
  <c r="R75"/>
  <c r="R76"/>
  <c r="R78"/>
  <c r="R79"/>
  <c r="R81"/>
  <c r="R82"/>
  <c r="R84"/>
  <c r="R85"/>
  <c r="R88"/>
  <c r="R89"/>
  <c r="R90"/>
  <c r="R91"/>
  <c r="R92"/>
  <c r="R94"/>
  <c r="R96"/>
  <c r="R98"/>
  <c r="R100"/>
  <c r="R101"/>
  <c r="R102"/>
  <c r="R103"/>
  <c r="R105"/>
  <c r="R106"/>
  <c r="R108"/>
  <c r="R109"/>
  <c r="R112"/>
  <c r="R113"/>
  <c r="R114"/>
  <c r="R115"/>
  <c r="R116"/>
  <c r="R117"/>
  <c r="R118"/>
  <c r="R122"/>
  <c r="R123"/>
  <c r="R124"/>
  <c r="R126"/>
  <c r="R127"/>
  <c r="R128"/>
  <c r="R129"/>
  <c r="R130"/>
  <c r="R131"/>
  <c r="R132"/>
  <c r="R133"/>
  <c r="R134"/>
  <c r="R135"/>
  <c r="R136"/>
  <c r="R137"/>
  <c r="R141"/>
  <c r="R142"/>
  <c r="R143"/>
  <c r="R145"/>
  <c r="R146"/>
  <c r="R147"/>
  <c r="R148"/>
  <c r="R149"/>
  <c r="R150"/>
  <c r="R152"/>
  <c r="R153"/>
  <c r="R155"/>
  <c r="R157"/>
  <c r="R158"/>
  <c r="R160"/>
  <c r="R161"/>
  <c r="R162"/>
  <c r="R163"/>
  <c r="R164"/>
  <c r="R166"/>
  <c r="R167"/>
  <c r="R169"/>
  <c r="R170"/>
  <c r="R173"/>
  <c r="R174"/>
  <c r="R175"/>
  <c r="R177"/>
  <c r="R178"/>
  <c r="R180"/>
  <c r="R181"/>
  <c r="R182"/>
  <c r="R183"/>
  <c r="R185"/>
  <c r="R186"/>
  <c r="R187"/>
  <c r="R189"/>
  <c r="R190"/>
  <c r="R191"/>
  <c r="R193"/>
  <c r="R194"/>
  <c r="R195"/>
  <c r="R196"/>
  <c r="R197"/>
  <c r="R198"/>
  <c r="R199"/>
  <c r="R200"/>
  <c r="R201"/>
  <c r="R202"/>
  <c r="R203"/>
  <c r="R204"/>
  <c r="R208"/>
  <c r="R210"/>
  <c r="R213"/>
  <c r="R214"/>
  <c r="R216"/>
  <c r="R217"/>
  <c r="R218"/>
  <c r="R219"/>
  <c r="R220"/>
  <c r="I37"/>
  <c r="Q11"/>
  <c r="Q12"/>
  <c r="Q13"/>
  <c r="Q14"/>
  <c r="Q15"/>
  <c r="Q16"/>
  <c r="Q17"/>
  <c r="Q18"/>
  <c r="Q19"/>
  <c r="Q20"/>
  <c r="Q21"/>
  <c r="Q22"/>
  <c r="Q24"/>
  <c r="Q25"/>
  <c r="Q27"/>
  <c r="Q28"/>
  <c r="Q29"/>
  <c r="Q30"/>
  <c r="Q31"/>
  <c r="Q32"/>
  <c r="Q33"/>
  <c r="Q34"/>
  <c r="Q36"/>
  <c r="Q37"/>
  <c r="Q38"/>
  <c r="Q39"/>
  <c r="Q40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5"/>
  <c r="Q76"/>
  <c r="Q77"/>
  <c r="Q78"/>
  <c r="Q79"/>
  <c r="Q80"/>
  <c r="Q81"/>
  <c r="Q82"/>
  <c r="Q83"/>
  <c r="Q84"/>
  <c r="Q85"/>
  <c r="Q86"/>
  <c r="Q88"/>
  <c r="Q89"/>
  <c r="Q90"/>
  <c r="Q91"/>
  <c r="Q92"/>
  <c r="Q94"/>
  <c r="Q96"/>
  <c r="Q98"/>
  <c r="Q99"/>
  <c r="Q100"/>
  <c r="Q101"/>
  <c r="Q102"/>
  <c r="Q103"/>
  <c r="Q105"/>
  <c r="Q106"/>
  <c r="Q107"/>
  <c r="Q108"/>
  <c r="Q109"/>
  <c r="Q111"/>
  <c r="Q112"/>
  <c r="Q113"/>
  <c r="Q114"/>
  <c r="Q115"/>
  <c r="Q116"/>
  <c r="Q117"/>
  <c r="Q118"/>
  <c r="Q119"/>
  <c r="Q122"/>
  <c r="Q123"/>
  <c r="Q124"/>
  <c r="Q125"/>
  <c r="Q126"/>
  <c r="Q127"/>
  <c r="Q128"/>
  <c r="Q129"/>
  <c r="Q130"/>
  <c r="Q131"/>
  <c r="Q132"/>
  <c r="Q133"/>
  <c r="Q134"/>
  <c r="Q135"/>
  <c r="Q136"/>
  <c r="Q137"/>
  <c r="Q141"/>
  <c r="Q142"/>
  <c r="Q143"/>
  <c r="Q145"/>
  <c r="Q146"/>
  <c r="Q147"/>
  <c r="Q148"/>
  <c r="Q149"/>
  <c r="Q150"/>
  <c r="Q151"/>
  <c r="Q152"/>
  <c r="Q153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80"/>
  <c r="Q181"/>
  <c r="Q182"/>
  <c r="Q183"/>
  <c r="Q184"/>
  <c r="Q185"/>
  <c r="Q186"/>
  <c r="Q187"/>
  <c r="Q189"/>
  <c r="Q190"/>
  <c r="Q191"/>
  <c r="Q193"/>
  <c r="Q194"/>
  <c r="Q195"/>
  <c r="Q196"/>
  <c r="Q197"/>
  <c r="Q198"/>
  <c r="Q199"/>
  <c r="Q200"/>
  <c r="Q201"/>
  <c r="Q202"/>
  <c r="Q203"/>
  <c r="Q204"/>
  <c r="Q208"/>
  <c r="Q210"/>
  <c r="Q214"/>
  <c r="Q216"/>
  <c r="Q217"/>
  <c r="Q218"/>
  <c r="Q219"/>
  <c r="Q220"/>
  <c r="I210"/>
  <c r="I208"/>
  <c r="I206"/>
  <c r="I204"/>
  <c r="I203"/>
  <c r="I202"/>
  <c r="I201"/>
  <c r="I200"/>
  <c r="I199"/>
  <c r="I198"/>
  <c r="I197"/>
  <c r="I196"/>
  <c r="I195"/>
  <c r="I194"/>
  <c r="I193"/>
  <c r="I191"/>
  <c r="I190"/>
  <c r="I189"/>
  <c r="I187"/>
  <c r="I186"/>
  <c r="I185"/>
  <c r="I183"/>
  <c r="I182"/>
  <c r="I181"/>
  <c r="I180"/>
  <c r="I184"/>
  <c r="I176"/>
  <c r="I172"/>
  <c r="I156"/>
  <c r="I155"/>
  <c r="I154" s="1"/>
  <c r="I151"/>
  <c r="I150"/>
  <c r="I149"/>
  <c r="I148"/>
  <c r="I147"/>
  <c r="I146"/>
  <c r="I145"/>
  <c r="I143"/>
  <c r="I142"/>
  <c r="I141"/>
  <c r="I137"/>
  <c r="I136"/>
  <c r="I135"/>
  <c r="I134"/>
  <c r="I133"/>
  <c r="I132"/>
  <c r="I131"/>
  <c r="I130"/>
  <c r="I129"/>
  <c r="I128"/>
  <c r="I127"/>
  <c r="I126"/>
  <c r="I125"/>
  <c r="I124"/>
  <c r="I123"/>
  <c r="I119"/>
  <c r="I115"/>
  <c r="I111"/>
  <c r="I105"/>
  <c r="I109"/>
  <c r="I107"/>
  <c r="I106"/>
  <c r="I99"/>
  <c r="I98"/>
  <c r="I96"/>
  <c r="I95" s="1"/>
  <c r="I94"/>
  <c r="I93" s="1"/>
  <c r="I92"/>
  <c r="I91"/>
  <c r="I90"/>
  <c r="I89"/>
  <c r="I88"/>
  <c r="I72"/>
  <c r="I45"/>
  <c r="I41" s="1"/>
  <c r="I38"/>
  <c r="I36"/>
  <c r="I35" s="1"/>
  <c r="I30"/>
  <c r="I11"/>
  <c r="H178" i="33"/>
  <c r="H36" i="34"/>
  <c r="H34"/>
  <c r="H33"/>
  <c r="H32"/>
  <c r="H31"/>
  <c r="P12"/>
  <c r="P13"/>
  <c r="P15"/>
  <c r="P16"/>
  <c r="P18"/>
  <c r="P19"/>
  <c r="P21"/>
  <c r="P22"/>
  <c r="P24"/>
  <c r="P25"/>
  <c r="P27"/>
  <c r="P28"/>
  <c r="P31"/>
  <c r="P32"/>
  <c r="P33"/>
  <c r="P34"/>
  <c r="P36"/>
  <c r="P38"/>
  <c r="P39"/>
  <c r="P42"/>
  <c r="P43"/>
  <c r="P45"/>
  <c r="P46"/>
  <c r="P48"/>
  <c r="P49"/>
  <c r="P54"/>
  <c r="P55"/>
  <c r="P57"/>
  <c r="P58"/>
  <c r="P60"/>
  <c r="P61"/>
  <c r="P63"/>
  <c r="P64"/>
  <c r="P66"/>
  <c r="P67"/>
  <c r="P69"/>
  <c r="P70"/>
  <c r="P75"/>
  <c r="P76"/>
  <c r="P78"/>
  <c r="P79"/>
  <c r="P81"/>
  <c r="P82"/>
  <c r="P84"/>
  <c r="P85"/>
  <c r="P88"/>
  <c r="P89"/>
  <c r="P90"/>
  <c r="P91"/>
  <c r="P92"/>
  <c r="P94"/>
  <c r="P96"/>
  <c r="P98"/>
  <c r="P100"/>
  <c r="P101"/>
  <c r="P102"/>
  <c r="P103"/>
  <c r="P105"/>
  <c r="P106"/>
  <c r="P107"/>
  <c r="P108"/>
  <c r="P109"/>
  <c r="P111"/>
  <c r="P112"/>
  <c r="P113"/>
  <c r="P114"/>
  <c r="P116"/>
  <c r="P117"/>
  <c r="P118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41"/>
  <c r="P142"/>
  <c r="P143"/>
  <c r="P145"/>
  <c r="P146"/>
  <c r="P147"/>
  <c r="P148"/>
  <c r="P149"/>
  <c r="P150"/>
  <c r="P152"/>
  <c r="P153"/>
  <c r="P155"/>
  <c r="P157"/>
  <c r="P158"/>
  <c r="P160"/>
  <c r="P161"/>
  <c r="P163"/>
  <c r="P164"/>
  <c r="P166"/>
  <c r="P167"/>
  <c r="P169"/>
  <c r="P170"/>
  <c r="P172"/>
  <c r="P173"/>
  <c r="P174"/>
  <c r="P175"/>
  <c r="P176"/>
  <c r="P178"/>
  <c r="P180"/>
  <c r="P181"/>
  <c r="P182"/>
  <c r="P183"/>
  <c r="P185"/>
  <c r="P186"/>
  <c r="P187"/>
  <c r="P189"/>
  <c r="P190"/>
  <c r="P191"/>
  <c r="P193"/>
  <c r="P194"/>
  <c r="P195"/>
  <c r="P196"/>
  <c r="P197"/>
  <c r="P198"/>
  <c r="P199"/>
  <c r="P200"/>
  <c r="P201"/>
  <c r="P202"/>
  <c r="P203"/>
  <c r="P204"/>
  <c r="P208"/>
  <c r="P210"/>
  <c r="P214"/>
  <c r="P216"/>
  <c r="P217"/>
  <c r="H210"/>
  <c r="H208"/>
  <c r="H206"/>
  <c r="H204"/>
  <c r="H203"/>
  <c r="H202"/>
  <c r="H201"/>
  <c r="H200"/>
  <c r="H199"/>
  <c r="H198"/>
  <c r="H197"/>
  <c r="H196"/>
  <c r="H195"/>
  <c r="H194"/>
  <c r="H193"/>
  <c r="H191"/>
  <c r="H190"/>
  <c r="H189"/>
  <c r="H187"/>
  <c r="H186"/>
  <c r="H185"/>
  <c r="H183"/>
  <c r="H182"/>
  <c r="H181"/>
  <c r="H180"/>
  <c r="H178"/>
  <c r="H177" s="1"/>
  <c r="H176"/>
  <c r="H172"/>
  <c r="H170"/>
  <c r="H169"/>
  <c r="H171" s="1"/>
  <c r="H167"/>
  <c r="H166"/>
  <c r="H168" s="1"/>
  <c r="H164"/>
  <c r="H163"/>
  <c r="H161"/>
  <c r="H160"/>
  <c r="H158"/>
  <c r="H157"/>
  <c r="H155"/>
  <c r="H154" s="1"/>
  <c r="H153"/>
  <c r="H152"/>
  <c r="H150"/>
  <c r="H149"/>
  <c r="H148"/>
  <c r="H147"/>
  <c r="H146"/>
  <c r="H145"/>
  <c r="H143"/>
  <c r="H142"/>
  <c r="H141"/>
  <c r="H137"/>
  <c r="H136"/>
  <c r="H135"/>
  <c r="H134"/>
  <c r="H133"/>
  <c r="H132"/>
  <c r="H131"/>
  <c r="H130"/>
  <c r="H129"/>
  <c r="H128"/>
  <c r="H127"/>
  <c r="H126"/>
  <c r="H125"/>
  <c r="H124"/>
  <c r="H123"/>
  <c r="H121"/>
  <c r="H120"/>
  <c r="H119" s="1"/>
  <c r="H118"/>
  <c r="H117"/>
  <c r="H116"/>
  <c r="H115" s="1"/>
  <c r="H111"/>
  <c r="H109"/>
  <c r="H108"/>
  <c r="H107"/>
  <c r="H106"/>
  <c r="H105"/>
  <c r="H103"/>
  <c r="H102"/>
  <c r="H101"/>
  <c r="H100"/>
  <c r="H98"/>
  <c r="H96"/>
  <c r="H94"/>
  <c r="H93" s="1"/>
  <c r="H92"/>
  <c r="H91"/>
  <c r="H90"/>
  <c r="H89"/>
  <c r="H88"/>
  <c r="H85"/>
  <c r="H84"/>
  <c r="H86" s="1"/>
  <c r="H82"/>
  <c r="H81"/>
  <c r="H83" s="1"/>
  <c r="H79"/>
  <c r="H78"/>
  <c r="H80" s="1"/>
  <c r="H76"/>
  <c r="H75"/>
  <c r="H70"/>
  <c r="H69"/>
  <c r="H71" s="1"/>
  <c r="H67"/>
  <c r="H66"/>
  <c r="H68" s="1"/>
  <c r="H64"/>
  <c r="H63"/>
  <c r="H65" s="1"/>
  <c r="H61"/>
  <c r="H60"/>
  <c r="H62" s="1"/>
  <c r="H58"/>
  <c r="H57"/>
  <c r="H59" s="1"/>
  <c r="H55"/>
  <c r="H54"/>
  <c r="H56" s="1"/>
  <c r="H49"/>
  <c r="H48"/>
  <c r="H50" s="1"/>
  <c r="H46"/>
  <c r="H45"/>
  <c r="H47" s="1"/>
  <c r="H43"/>
  <c r="H42"/>
  <c r="H39"/>
  <c r="H38"/>
  <c r="H28"/>
  <c r="H27"/>
  <c r="H25"/>
  <c r="H24"/>
  <c r="H22"/>
  <c r="H21"/>
  <c r="H23" s="1"/>
  <c r="H19"/>
  <c r="H18"/>
  <c r="H20" s="1"/>
  <c r="H16"/>
  <c r="H15"/>
  <c r="H17" s="1"/>
  <c r="H13"/>
  <c r="H12"/>
  <c r="D220"/>
  <c r="D219"/>
  <c r="J215"/>
  <c r="I215"/>
  <c r="H215"/>
  <c r="G215"/>
  <c r="F215"/>
  <c r="R215" s="1"/>
  <c r="E215"/>
  <c r="Q215" s="1"/>
  <c r="D215"/>
  <c r="P215" s="1"/>
  <c r="F212"/>
  <c r="R212" s="1"/>
  <c r="E212"/>
  <c r="Q212" s="1"/>
  <c r="D212"/>
  <c r="D211" s="1"/>
  <c r="P211" s="1"/>
  <c r="E211"/>
  <c r="Q211" s="1"/>
  <c r="G210"/>
  <c r="R209"/>
  <c r="G208"/>
  <c r="G204"/>
  <c r="G203"/>
  <c r="G202"/>
  <c r="G201"/>
  <c r="G200"/>
  <c r="G199"/>
  <c r="G198"/>
  <c r="G197"/>
  <c r="G196"/>
  <c r="G195"/>
  <c r="G194"/>
  <c r="G193"/>
  <c r="F192"/>
  <c r="R192" s="1"/>
  <c r="E192"/>
  <c r="E188" s="1"/>
  <c r="Q188" s="1"/>
  <c r="D192"/>
  <c r="P192" s="1"/>
  <c r="G191"/>
  <c r="G190"/>
  <c r="G189"/>
  <c r="G187"/>
  <c r="G186"/>
  <c r="G185"/>
  <c r="O184"/>
  <c r="F184"/>
  <c r="R184" s="1"/>
  <c r="D184"/>
  <c r="P184" s="1"/>
  <c r="G183"/>
  <c r="G182"/>
  <c r="G181"/>
  <c r="G180"/>
  <c r="H179"/>
  <c r="F179"/>
  <c r="E179"/>
  <c r="Q179" s="1"/>
  <c r="D179"/>
  <c r="P179" s="1"/>
  <c r="G178"/>
  <c r="G177"/>
  <c r="D177"/>
  <c r="P177" s="1"/>
  <c r="G175"/>
  <c r="G174"/>
  <c r="G173"/>
  <c r="F172"/>
  <c r="R172" s="1"/>
  <c r="F171"/>
  <c r="R171" s="1"/>
  <c r="D171"/>
  <c r="P171" s="1"/>
  <c r="G170"/>
  <c r="G169"/>
  <c r="F168"/>
  <c r="G168" s="1"/>
  <c r="D168"/>
  <c r="P168" s="1"/>
  <c r="G167"/>
  <c r="G166"/>
  <c r="F165"/>
  <c r="R165" s="1"/>
  <c r="D165"/>
  <c r="P165" s="1"/>
  <c r="G164"/>
  <c r="G163"/>
  <c r="G162"/>
  <c r="D162"/>
  <c r="P162" s="1"/>
  <c r="G161"/>
  <c r="G160"/>
  <c r="H159"/>
  <c r="F159"/>
  <c r="G159" s="1"/>
  <c r="D159"/>
  <c r="P159" s="1"/>
  <c r="G158"/>
  <c r="G157"/>
  <c r="F156"/>
  <c r="R156" s="1"/>
  <c r="D156"/>
  <c r="P156" s="1"/>
  <c r="G155"/>
  <c r="F154"/>
  <c r="R154" s="1"/>
  <c r="E154"/>
  <c r="D154"/>
  <c r="P154" s="1"/>
  <c r="H151"/>
  <c r="G153"/>
  <c r="G152"/>
  <c r="F151"/>
  <c r="G151" s="1"/>
  <c r="D151"/>
  <c r="P151" s="1"/>
  <c r="G150"/>
  <c r="G149"/>
  <c r="G148"/>
  <c r="G147"/>
  <c r="G146"/>
  <c r="F144"/>
  <c r="R144" s="1"/>
  <c r="E144"/>
  <c r="Q144" s="1"/>
  <c r="D144"/>
  <c r="P144" s="1"/>
  <c r="G143"/>
  <c r="G142"/>
  <c r="I140"/>
  <c r="E140"/>
  <c r="Q140" s="1"/>
  <c r="D140"/>
  <c r="P140" s="1"/>
  <c r="G137"/>
  <c r="G136"/>
  <c r="G135"/>
  <c r="G134"/>
  <c r="G133"/>
  <c r="G132"/>
  <c r="G131"/>
  <c r="G130"/>
  <c r="G129"/>
  <c r="G128"/>
  <c r="G127"/>
  <c r="G126"/>
  <c r="G124"/>
  <c r="G123"/>
  <c r="G122"/>
  <c r="F121"/>
  <c r="R121" s="1"/>
  <c r="E121"/>
  <c r="I121" s="1"/>
  <c r="F120"/>
  <c r="J120" s="1"/>
  <c r="J119" s="1"/>
  <c r="E120"/>
  <c r="Q120" s="1"/>
  <c r="D119"/>
  <c r="P119" s="1"/>
  <c r="G118"/>
  <c r="G117"/>
  <c r="G116"/>
  <c r="D115"/>
  <c r="P115" s="1"/>
  <c r="G114"/>
  <c r="G113"/>
  <c r="G112"/>
  <c r="G111"/>
  <c r="F111"/>
  <c r="R111" s="1"/>
  <c r="E110"/>
  <c r="Q110" s="1"/>
  <c r="D110"/>
  <c r="P110" s="1"/>
  <c r="I108"/>
  <c r="G108"/>
  <c r="G106"/>
  <c r="H104"/>
  <c r="E104"/>
  <c r="Q104" s="1"/>
  <c r="D104"/>
  <c r="P104" s="1"/>
  <c r="I103"/>
  <c r="G103"/>
  <c r="G102"/>
  <c r="G101"/>
  <c r="H99"/>
  <c r="G100"/>
  <c r="F99"/>
  <c r="R99" s="1"/>
  <c r="D99"/>
  <c r="P99" s="1"/>
  <c r="G98"/>
  <c r="G96"/>
  <c r="H95"/>
  <c r="F95"/>
  <c r="R95" s="1"/>
  <c r="E95"/>
  <c r="Q95" s="1"/>
  <c r="D95"/>
  <c r="P95" s="1"/>
  <c r="G94"/>
  <c r="F93"/>
  <c r="R93" s="1"/>
  <c r="E93"/>
  <c r="Q93" s="1"/>
  <c r="D93"/>
  <c r="P93" s="1"/>
  <c r="G91"/>
  <c r="G90"/>
  <c r="G89"/>
  <c r="E87"/>
  <c r="Q87" s="1"/>
  <c r="D87"/>
  <c r="P87" s="1"/>
  <c r="F86"/>
  <c r="R86" s="1"/>
  <c r="D86"/>
  <c r="P86" s="1"/>
  <c r="G85"/>
  <c r="G84"/>
  <c r="F83"/>
  <c r="R83" s="1"/>
  <c r="D83"/>
  <c r="P83" s="1"/>
  <c r="G81"/>
  <c r="F80"/>
  <c r="G80" s="1"/>
  <c r="D80"/>
  <c r="P80" s="1"/>
  <c r="G79"/>
  <c r="G78"/>
  <c r="F77"/>
  <c r="G77" s="1"/>
  <c r="D77"/>
  <c r="P77" s="1"/>
  <c r="G76"/>
  <c r="G75"/>
  <c r="F74"/>
  <c r="R74" s="1"/>
  <c r="E74"/>
  <c r="Q74" s="1"/>
  <c r="D74"/>
  <c r="P74" s="1"/>
  <c r="I73"/>
  <c r="E73"/>
  <c r="Q73" s="1"/>
  <c r="D73"/>
  <c r="P73" s="1"/>
  <c r="F71"/>
  <c r="G71" s="1"/>
  <c r="D71"/>
  <c r="P71" s="1"/>
  <c r="G70"/>
  <c r="G69"/>
  <c r="G68"/>
  <c r="D68"/>
  <c r="P68" s="1"/>
  <c r="G67"/>
  <c r="G66"/>
  <c r="F65"/>
  <c r="R65" s="1"/>
  <c r="D65"/>
  <c r="P65" s="1"/>
  <c r="G64"/>
  <c r="G63"/>
  <c r="F62"/>
  <c r="G62" s="1"/>
  <c r="D62"/>
  <c r="P62" s="1"/>
  <c r="G61"/>
  <c r="G60"/>
  <c r="G59"/>
  <c r="D59"/>
  <c r="P59" s="1"/>
  <c r="G58"/>
  <c r="G57"/>
  <c r="J56"/>
  <c r="F56"/>
  <c r="G56" s="1"/>
  <c r="D56"/>
  <c r="P56" s="1"/>
  <c r="G55"/>
  <c r="G54"/>
  <c r="F52"/>
  <c r="G52" s="1"/>
  <c r="D52"/>
  <c r="P52" s="1"/>
  <c r="F51"/>
  <c r="R51" s="1"/>
  <c r="D51"/>
  <c r="D53" s="1"/>
  <c r="P53" s="1"/>
  <c r="D50"/>
  <c r="P50" s="1"/>
  <c r="G49"/>
  <c r="G48"/>
  <c r="F47"/>
  <c r="R47" s="1"/>
  <c r="D47"/>
  <c r="P47" s="1"/>
  <c r="G46"/>
  <c r="G45"/>
  <c r="G44"/>
  <c r="D44"/>
  <c r="P44" s="1"/>
  <c r="G43"/>
  <c r="G42"/>
  <c r="F41"/>
  <c r="E41"/>
  <c r="Q41" s="1"/>
  <c r="D41"/>
  <c r="P41" s="1"/>
  <c r="F40"/>
  <c r="G40" s="1"/>
  <c r="D40"/>
  <c r="P40" s="1"/>
  <c r="G39"/>
  <c r="H40"/>
  <c r="G38"/>
  <c r="D37"/>
  <c r="P37" s="1"/>
  <c r="H35"/>
  <c r="G36"/>
  <c r="F35"/>
  <c r="R35" s="1"/>
  <c r="E35"/>
  <c r="Q35" s="1"/>
  <c r="D35"/>
  <c r="P35" s="1"/>
  <c r="G34"/>
  <c r="G33"/>
  <c r="G32"/>
  <c r="H30"/>
  <c r="G31"/>
  <c r="F30"/>
  <c r="R30" s="1"/>
  <c r="D30"/>
  <c r="P30" s="1"/>
  <c r="G29"/>
  <c r="D29"/>
  <c r="P29" s="1"/>
  <c r="G28"/>
  <c r="H29"/>
  <c r="G27"/>
  <c r="F26"/>
  <c r="R26" s="1"/>
  <c r="E26"/>
  <c r="Q26" s="1"/>
  <c r="D26"/>
  <c r="P26" s="1"/>
  <c r="G25"/>
  <c r="G24"/>
  <c r="F23"/>
  <c r="R23" s="1"/>
  <c r="E23"/>
  <c r="Q23" s="1"/>
  <c r="D23"/>
  <c r="P23" s="1"/>
  <c r="G22"/>
  <c r="G21"/>
  <c r="F20"/>
  <c r="G20" s="1"/>
  <c r="D20"/>
  <c r="P20" s="1"/>
  <c r="G19"/>
  <c r="G18"/>
  <c r="F17"/>
  <c r="R17" s="1"/>
  <c r="D17"/>
  <c r="P17" s="1"/>
  <c r="G16"/>
  <c r="G15"/>
  <c r="F14"/>
  <c r="G14" s="1"/>
  <c r="D14"/>
  <c r="P14" s="1"/>
  <c r="G13"/>
  <c r="G12"/>
  <c r="F11"/>
  <c r="G11" s="1"/>
  <c r="D11"/>
  <c r="P11" s="1"/>
  <c r="E10"/>
  <c r="Q10" s="1"/>
  <c r="O8"/>
  <c r="G8" i="33"/>
  <c r="J213"/>
  <c r="J144"/>
  <c r="J71"/>
  <c r="J68"/>
  <c r="J65"/>
  <c r="J62"/>
  <c r="J44"/>
  <c r="J47"/>
  <c r="J29"/>
  <c r="J50"/>
  <c r="J56"/>
  <c r="J53"/>
  <c r="F53"/>
  <c r="J52"/>
  <c r="F52"/>
  <c r="F65"/>
  <c r="F71"/>
  <c r="F62"/>
  <c r="F56"/>
  <c r="J88" i="32"/>
  <c r="J33"/>
  <c r="P8"/>
  <c r="O8" i="31"/>
  <c r="O8" i="33"/>
  <c r="O184"/>
  <c r="F155"/>
  <c r="F193"/>
  <c r="F145"/>
  <c r="F176"/>
  <c r="F141"/>
  <c r="F193" i="32"/>
  <c r="F145"/>
  <c r="F88"/>
  <c r="F193" i="31"/>
  <c r="J184" i="34" l="1"/>
  <c r="H218"/>
  <c r="G121"/>
  <c r="E139"/>
  <c r="Q139" s="1"/>
  <c r="P212"/>
  <c r="P51"/>
  <c r="I104"/>
  <c r="I120"/>
  <c r="I144"/>
  <c r="Q121"/>
  <c r="J172"/>
  <c r="H219"/>
  <c r="F119"/>
  <c r="G41"/>
  <c r="D97"/>
  <c r="P97" s="1"/>
  <c r="G179"/>
  <c r="G184"/>
  <c r="D188"/>
  <c r="F211"/>
  <c r="R211" s="1"/>
  <c r="D218"/>
  <c r="P218" s="1"/>
  <c r="H44"/>
  <c r="H165"/>
  <c r="H184"/>
  <c r="H192"/>
  <c r="I10"/>
  <c r="I87"/>
  <c r="Q192"/>
  <c r="Q154"/>
  <c r="R168"/>
  <c r="R159"/>
  <c r="H220"/>
  <c r="N221" s="1"/>
  <c r="K105" i="35"/>
  <c r="L105" s="1"/>
  <c r="J104"/>
  <c r="G41"/>
  <c r="F37"/>
  <c r="K120"/>
  <c r="L120" s="1"/>
  <c r="J119"/>
  <c r="K119" s="1"/>
  <c r="L119" s="1"/>
  <c r="G65"/>
  <c r="R65"/>
  <c r="N221"/>
  <c r="H225"/>
  <c r="N225" s="1"/>
  <c r="K15"/>
  <c r="J11"/>
  <c r="K36"/>
  <c r="L36" s="1"/>
  <c r="J35"/>
  <c r="K35" s="1"/>
  <c r="L35" s="1"/>
  <c r="J40"/>
  <c r="K40" s="1"/>
  <c r="K38"/>
  <c r="L38" s="1"/>
  <c r="G51"/>
  <c r="R51"/>
  <c r="F53"/>
  <c r="K54"/>
  <c r="J51"/>
  <c r="K96"/>
  <c r="L96" s="1"/>
  <c r="J95"/>
  <c r="K95" s="1"/>
  <c r="L95" s="1"/>
  <c r="R99"/>
  <c r="G99"/>
  <c r="R188"/>
  <c r="G188"/>
  <c r="H50"/>
  <c r="G26"/>
  <c r="H30"/>
  <c r="H10" s="1"/>
  <c r="G50"/>
  <c r="H83"/>
  <c r="H47"/>
  <c r="H41"/>
  <c r="H37" s="1"/>
  <c r="K140"/>
  <c r="L140" s="1"/>
  <c r="R10"/>
  <c r="F9"/>
  <c r="G10"/>
  <c r="K34"/>
  <c r="J30"/>
  <c r="K30" s="1"/>
  <c r="L30" s="1"/>
  <c r="R105"/>
  <c r="G105"/>
  <c r="F104"/>
  <c r="G77"/>
  <c r="R77"/>
  <c r="K88"/>
  <c r="L88" s="1"/>
  <c r="O88"/>
  <c r="J218"/>
  <c r="J219"/>
  <c r="J87"/>
  <c r="K87" s="1"/>
  <c r="L87" s="1"/>
  <c r="E138"/>
  <c r="Q139"/>
  <c r="J211"/>
  <c r="K211" s="1"/>
  <c r="L211" s="1"/>
  <c r="K212"/>
  <c r="L212" s="1"/>
  <c r="I8"/>
  <c r="R41"/>
  <c r="H139"/>
  <c r="H138" s="1"/>
  <c r="H14"/>
  <c r="J62"/>
  <c r="K62" s="1"/>
  <c r="K98"/>
  <c r="L98" s="1"/>
  <c r="D97"/>
  <c r="P97" s="1"/>
  <c r="J125"/>
  <c r="K125" s="1"/>
  <c r="L125" s="1"/>
  <c r="J144"/>
  <c r="K144" s="1"/>
  <c r="R144"/>
  <c r="J159"/>
  <c r="K159" s="1"/>
  <c r="P99"/>
  <c r="Q144"/>
  <c r="I154"/>
  <c r="I139" s="1"/>
  <c r="I138" s="1"/>
  <c r="H159"/>
  <c r="J172"/>
  <c r="K172" s="1"/>
  <c r="L172" s="1"/>
  <c r="J220"/>
  <c r="G11"/>
  <c r="K12"/>
  <c r="D37"/>
  <c r="J48"/>
  <c r="J37" s="1"/>
  <c r="K37" s="1"/>
  <c r="L37" s="1"/>
  <c r="R48"/>
  <c r="H51"/>
  <c r="H53" s="1"/>
  <c r="Q104"/>
  <c r="F110"/>
  <c r="J110"/>
  <c r="K110" s="1"/>
  <c r="L110" s="1"/>
  <c r="Q121"/>
  <c r="F139"/>
  <c r="G179"/>
  <c r="R184"/>
  <c r="K210"/>
  <c r="L210" s="1"/>
  <c r="G211"/>
  <c r="G212"/>
  <c r="D218"/>
  <c r="P218" s="1"/>
  <c r="D138"/>
  <c r="P138" s="1"/>
  <c r="J165"/>
  <c r="K165" s="1"/>
  <c r="R168"/>
  <c r="J192"/>
  <c r="K192" s="1"/>
  <c r="L192" s="1"/>
  <c r="P51"/>
  <c r="G111"/>
  <c r="G119"/>
  <c r="G125"/>
  <c r="G154"/>
  <c r="G156"/>
  <c r="G83" i="34"/>
  <c r="R73"/>
  <c r="R80"/>
  <c r="J40"/>
  <c r="R179"/>
  <c r="J179"/>
  <c r="R176"/>
  <c r="G165"/>
  <c r="G95"/>
  <c r="G107"/>
  <c r="R107"/>
  <c r="F104"/>
  <c r="G104" s="1"/>
  <c r="J104"/>
  <c r="G105"/>
  <c r="G93"/>
  <c r="J218"/>
  <c r="R77"/>
  <c r="R14"/>
  <c r="G50"/>
  <c r="R50"/>
  <c r="J48"/>
  <c r="J50" s="1"/>
  <c r="R119"/>
  <c r="G211"/>
  <c r="G212"/>
  <c r="J121"/>
  <c r="R120"/>
  <c r="G120"/>
  <c r="G72"/>
  <c r="R72"/>
  <c r="R151"/>
  <c r="R71"/>
  <c r="J65"/>
  <c r="R62"/>
  <c r="R56"/>
  <c r="R52"/>
  <c r="R41"/>
  <c r="G47"/>
  <c r="R40"/>
  <c r="G30"/>
  <c r="R20"/>
  <c r="R11"/>
  <c r="J212"/>
  <c r="J211" s="1"/>
  <c r="J171"/>
  <c r="J115"/>
  <c r="J71"/>
  <c r="J68"/>
  <c r="J52"/>
  <c r="I212"/>
  <c r="I211" s="1"/>
  <c r="I9"/>
  <c r="H212"/>
  <c r="H211" s="1"/>
  <c r="H188"/>
  <c r="H156"/>
  <c r="H162"/>
  <c r="H140"/>
  <c r="H139" s="1"/>
  <c r="H110"/>
  <c r="H97" s="1"/>
  <c r="H87"/>
  <c r="H74"/>
  <c r="H73"/>
  <c r="H72" s="1"/>
  <c r="H52"/>
  <c r="H41"/>
  <c r="H11"/>
  <c r="H10" s="1"/>
  <c r="O88"/>
  <c r="J87"/>
  <c r="J111"/>
  <c r="G119"/>
  <c r="J156"/>
  <c r="G51"/>
  <c r="F53"/>
  <c r="R53" s="1"/>
  <c r="G172"/>
  <c r="G23"/>
  <c r="J26"/>
  <c r="J41"/>
  <c r="G74"/>
  <c r="J95"/>
  <c r="E97"/>
  <c r="Q97" s="1"/>
  <c r="G141"/>
  <c r="F140"/>
  <c r="R140" s="1"/>
  <c r="G145"/>
  <c r="G154"/>
  <c r="G176"/>
  <c r="J192"/>
  <c r="J188" s="1"/>
  <c r="J29"/>
  <c r="J44"/>
  <c r="J99"/>
  <c r="E9"/>
  <c r="Q9" s="1"/>
  <c r="J11"/>
  <c r="J14"/>
  <c r="G17"/>
  <c r="H26"/>
  <c r="F37"/>
  <c r="R37" s="1"/>
  <c r="O87"/>
  <c r="J159"/>
  <c r="J168"/>
  <c r="I179"/>
  <c r="G35"/>
  <c r="G171"/>
  <c r="J51"/>
  <c r="G65"/>
  <c r="G86"/>
  <c r="G88"/>
  <c r="F87"/>
  <c r="R87" s="1"/>
  <c r="G115"/>
  <c r="G144"/>
  <c r="G192"/>
  <c r="F188"/>
  <c r="R188" s="1"/>
  <c r="J30"/>
  <c r="J73"/>
  <c r="J74"/>
  <c r="G99"/>
  <c r="G125"/>
  <c r="J140"/>
  <c r="E138"/>
  <c r="Q138" s="1"/>
  <c r="I110"/>
  <c r="I97" s="1"/>
  <c r="F10"/>
  <c r="R10" s="1"/>
  <c r="G26"/>
  <c r="J47"/>
  <c r="J62"/>
  <c r="H77"/>
  <c r="H144"/>
  <c r="D10"/>
  <c r="P10" s="1"/>
  <c r="H14"/>
  <c r="I192"/>
  <c r="I188" s="1"/>
  <c r="H51"/>
  <c r="G73"/>
  <c r="G109"/>
  <c r="J151"/>
  <c r="G156"/>
  <c r="D72"/>
  <c r="P72" s="1"/>
  <c r="J128" i="30"/>
  <c r="F150" i="31"/>
  <c r="F145"/>
  <c r="J171" i="30"/>
  <c r="F171"/>
  <c r="J165"/>
  <c r="F165"/>
  <c r="J204"/>
  <c r="J203"/>
  <c r="J202"/>
  <c r="J201"/>
  <c r="J200"/>
  <c r="J199"/>
  <c r="J198"/>
  <c r="J197"/>
  <c r="J196"/>
  <c r="J195"/>
  <c r="J194"/>
  <c r="J193"/>
  <c r="J191"/>
  <c r="J190"/>
  <c r="J189"/>
  <c r="J187"/>
  <c r="J186"/>
  <c r="J185"/>
  <c r="J183"/>
  <c r="J182"/>
  <c r="J181"/>
  <c r="J180"/>
  <c r="J176"/>
  <c r="J175"/>
  <c r="J174"/>
  <c r="J173"/>
  <c r="J170"/>
  <c r="J169"/>
  <c r="J167"/>
  <c r="J166"/>
  <c r="J164"/>
  <c r="J163"/>
  <c r="J161"/>
  <c r="J160"/>
  <c r="J158"/>
  <c r="J157"/>
  <c r="J153"/>
  <c r="J152"/>
  <c r="J142"/>
  <c r="J141"/>
  <c r="J146"/>
  <c r="J147"/>
  <c r="J148"/>
  <c r="J149"/>
  <c r="J150"/>
  <c r="J145"/>
  <c r="F145"/>
  <c r="J89"/>
  <c r="J90"/>
  <c r="J91"/>
  <c r="J92"/>
  <c r="J88"/>
  <c r="F94"/>
  <c r="F88"/>
  <c r="J72" i="33"/>
  <c r="F49"/>
  <c r="F48"/>
  <c r="F125"/>
  <c r="F107"/>
  <c r="P188" i="34" l="1"/>
  <c r="D139"/>
  <c r="R110" i="35"/>
  <c r="G110"/>
  <c r="E205"/>
  <c r="Q138"/>
  <c r="R104"/>
  <c r="G104"/>
  <c r="F97"/>
  <c r="J53"/>
  <c r="K53" s="1"/>
  <c r="K51"/>
  <c r="K104"/>
  <c r="L104" s="1"/>
  <c r="J97"/>
  <c r="K97" s="1"/>
  <c r="L97" s="1"/>
  <c r="J188"/>
  <c r="I205"/>
  <c r="I207" s="1"/>
  <c r="K154"/>
  <c r="L154" s="1"/>
  <c r="J50"/>
  <c r="K50" s="1"/>
  <c r="K48"/>
  <c r="F138"/>
  <c r="R139"/>
  <c r="G139"/>
  <c r="P37"/>
  <c r="D9"/>
  <c r="R9"/>
  <c r="G9"/>
  <c r="F8"/>
  <c r="R53"/>
  <c r="G53"/>
  <c r="K11"/>
  <c r="L11" s="1"/>
  <c r="J10"/>
  <c r="R37"/>
  <c r="G37"/>
  <c r="H9"/>
  <c r="H8" s="1"/>
  <c r="H205" s="1"/>
  <c r="H207" s="1"/>
  <c r="H213" s="1"/>
  <c r="R104" i="34"/>
  <c r="F110"/>
  <c r="F97" s="1"/>
  <c r="R97" s="1"/>
  <c r="I139"/>
  <c r="I138" s="1"/>
  <c r="I8"/>
  <c r="H138"/>
  <c r="H53"/>
  <c r="J110"/>
  <c r="G188"/>
  <c r="G87"/>
  <c r="E8"/>
  <c r="Q8" s="1"/>
  <c r="G140"/>
  <c r="F139"/>
  <c r="R139" s="1"/>
  <c r="H37"/>
  <c r="H9" s="1"/>
  <c r="H8" s="1"/>
  <c r="H205" s="1"/>
  <c r="G37"/>
  <c r="D9"/>
  <c r="P9" s="1"/>
  <c r="G10"/>
  <c r="F9"/>
  <c r="R9" s="1"/>
  <c r="J139"/>
  <c r="J53"/>
  <c r="J10"/>
  <c r="G53"/>
  <c r="J37"/>
  <c r="F109" i="33"/>
  <c r="D138" i="34" l="1"/>
  <c r="P138" s="1"/>
  <c r="P139"/>
  <c r="K10" i="35"/>
  <c r="L10" s="1"/>
  <c r="J9"/>
  <c r="F205"/>
  <c r="G8"/>
  <c r="R8"/>
  <c r="K188"/>
  <c r="L188" s="1"/>
  <c r="J139"/>
  <c r="P9"/>
  <c r="D8"/>
  <c r="R138"/>
  <c r="G138"/>
  <c r="O137"/>
  <c r="I213"/>
  <c r="I209"/>
  <c r="R97"/>
  <c r="G97"/>
  <c r="Q205"/>
  <c r="E207"/>
  <c r="G110" i="34"/>
  <c r="R110"/>
  <c r="G97"/>
  <c r="J97"/>
  <c r="I205"/>
  <c r="I207" s="1"/>
  <c r="I209" s="1"/>
  <c r="H207"/>
  <c r="H213" s="1"/>
  <c r="G9"/>
  <c r="F8"/>
  <c r="J138"/>
  <c r="F138"/>
  <c r="R138" s="1"/>
  <c r="G139"/>
  <c r="E205"/>
  <c r="Q205" s="1"/>
  <c r="J9"/>
  <c r="D8"/>
  <c r="P8" s="1"/>
  <c r="I17" i="32"/>
  <c r="Q17" i="33" s="1"/>
  <c r="J17" i="32"/>
  <c r="J74"/>
  <c r="Q9" i="33"/>
  <c r="Q10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9"/>
  <c r="Q210"/>
  <c r="Q214"/>
  <c r="Q215"/>
  <c r="Q216"/>
  <c r="Q217"/>
  <c r="Q218"/>
  <c r="Q219"/>
  <c r="Q220"/>
  <c r="Q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8"/>
  <c r="I184"/>
  <c r="I187"/>
  <c r="I186"/>
  <c r="I185"/>
  <c r="I45"/>
  <c r="I210"/>
  <c r="I206"/>
  <c r="I204"/>
  <c r="I203"/>
  <c r="I202"/>
  <c r="I201"/>
  <c r="I200"/>
  <c r="I199"/>
  <c r="I198"/>
  <c r="I197"/>
  <c r="I196"/>
  <c r="I195"/>
  <c r="I192" s="1"/>
  <c r="I188" s="1"/>
  <c r="I194"/>
  <c r="I193"/>
  <c r="I191"/>
  <c r="I190"/>
  <c r="I189"/>
  <c r="I183"/>
  <c r="I182"/>
  <c r="I181"/>
  <c r="I180"/>
  <c r="I176"/>
  <c r="I172"/>
  <c r="I156"/>
  <c r="I155"/>
  <c r="I154" s="1"/>
  <c r="I151"/>
  <c r="I150"/>
  <c r="I149"/>
  <c r="I148"/>
  <c r="I147"/>
  <c r="I146"/>
  <c r="I145"/>
  <c r="I142"/>
  <c r="I141"/>
  <c r="I140" s="1"/>
  <c r="I137"/>
  <c r="I136"/>
  <c r="I135"/>
  <c r="I134"/>
  <c r="I133"/>
  <c r="I132"/>
  <c r="K132" s="1"/>
  <c r="I131"/>
  <c r="I130"/>
  <c r="I129"/>
  <c r="I128"/>
  <c r="I127"/>
  <c r="I126"/>
  <c r="I125"/>
  <c r="I124"/>
  <c r="I123"/>
  <c r="I121"/>
  <c r="I120"/>
  <c r="I119"/>
  <c r="I115"/>
  <c r="I111"/>
  <c r="I109"/>
  <c r="I108"/>
  <c r="I107"/>
  <c r="I106"/>
  <c r="I105"/>
  <c r="I103"/>
  <c r="K103" s="1"/>
  <c r="L103" s="1"/>
  <c r="I99"/>
  <c r="I98"/>
  <c r="I96"/>
  <c r="I94"/>
  <c r="I93" s="1"/>
  <c r="I92"/>
  <c r="I91"/>
  <c r="I90"/>
  <c r="I89"/>
  <c r="I88"/>
  <c r="I87" s="1"/>
  <c r="I72"/>
  <c r="I38"/>
  <c r="I37"/>
  <c r="I36"/>
  <c r="I35" s="1"/>
  <c r="I30"/>
  <c r="I11"/>
  <c r="H36"/>
  <c r="H35" s="1"/>
  <c r="H34"/>
  <c r="H33"/>
  <c r="H32"/>
  <c r="H31"/>
  <c r="H210"/>
  <c r="H209"/>
  <c r="H208"/>
  <c r="H206"/>
  <c r="H204"/>
  <c r="H203"/>
  <c r="H202"/>
  <c r="H201"/>
  <c r="H200"/>
  <c r="H199"/>
  <c r="H198"/>
  <c r="H197"/>
  <c r="H196"/>
  <c r="H195"/>
  <c r="H192" s="1"/>
  <c r="H194"/>
  <c r="H193"/>
  <c r="H191"/>
  <c r="H190"/>
  <c r="H189"/>
  <c r="H187"/>
  <c r="H186"/>
  <c r="H184" s="1"/>
  <c r="H185"/>
  <c r="H183"/>
  <c r="H182"/>
  <c r="H179" s="1"/>
  <c r="H181"/>
  <c r="H180"/>
  <c r="H176"/>
  <c r="H172"/>
  <c r="H170"/>
  <c r="H169"/>
  <c r="H171" s="1"/>
  <c r="H167"/>
  <c r="H166"/>
  <c r="H168" s="1"/>
  <c r="H164"/>
  <c r="H163"/>
  <c r="H165" s="1"/>
  <c r="H161"/>
  <c r="H160"/>
  <c r="H158"/>
  <c r="H157"/>
  <c r="H159" s="1"/>
  <c r="H155"/>
  <c r="H154" s="1"/>
  <c r="H153"/>
  <c r="H152"/>
  <c r="H151" s="1"/>
  <c r="H150"/>
  <c r="H149"/>
  <c r="H148"/>
  <c r="H147"/>
  <c r="H146"/>
  <c r="H145"/>
  <c r="H220" s="1"/>
  <c r="H221" s="1"/>
  <c r="H143"/>
  <c r="H142"/>
  <c r="H144" s="1"/>
  <c r="H141"/>
  <c r="H137"/>
  <c r="H136"/>
  <c r="H135"/>
  <c r="H134"/>
  <c r="H133"/>
  <c r="H132"/>
  <c r="H131"/>
  <c r="H130"/>
  <c r="H129"/>
  <c r="H128"/>
  <c r="H127"/>
  <c r="H126"/>
  <c r="H125"/>
  <c r="H124"/>
  <c r="H123"/>
  <c r="H121"/>
  <c r="H120"/>
  <c r="H119" s="1"/>
  <c r="H118"/>
  <c r="H115" s="1"/>
  <c r="H117"/>
  <c r="H116"/>
  <c r="H111"/>
  <c r="H109"/>
  <c r="H108"/>
  <c r="H107"/>
  <c r="H106"/>
  <c r="H105"/>
  <c r="H104" s="1"/>
  <c r="H103"/>
  <c r="H102"/>
  <c r="H101"/>
  <c r="H99" s="1"/>
  <c r="H100"/>
  <c r="H98"/>
  <c r="H96"/>
  <c r="H95" s="1"/>
  <c r="H94"/>
  <c r="H93" s="1"/>
  <c r="H92"/>
  <c r="H91"/>
  <c r="H90"/>
  <c r="H89"/>
  <c r="H88"/>
  <c r="H85"/>
  <c r="H84"/>
  <c r="H82"/>
  <c r="H81"/>
  <c r="H79"/>
  <c r="H78"/>
  <c r="H76"/>
  <c r="H75"/>
  <c r="H70"/>
  <c r="H69"/>
  <c r="H67"/>
  <c r="H66"/>
  <c r="H68" s="1"/>
  <c r="H64"/>
  <c r="H63"/>
  <c r="H61"/>
  <c r="H60"/>
  <c r="H62" s="1"/>
  <c r="H58"/>
  <c r="H57"/>
  <c r="H55"/>
  <c r="H56" s="1"/>
  <c r="H54"/>
  <c r="H49"/>
  <c r="H48"/>
  <c r="H46"/>
  <c r="H45"/>
  <c r="H43"/>
  <c r="H42"/>
  <c r="H39"/>
  <c r="H38"/>
  <c r="H40" s="1"/>
  <c r="H28"/>
  <c r="H29" s="1"/>
  <c r="H27"/>
  <c r="H25"/>
  <c r="H24"/>
  <c r="H26" s="1"/>
  <c r="H22"/>
  <c r="H23" s="1"/>
  <c r="H21"/>
  <c r="H19"/>
  <c r="H18"/>
  <c r="H20" s="1"/>
  <c r="H16"/>
  <c r="H15"/>
  <c r="H13"/>
  <c r="H12"/>
  <c r="J215"/>
  <c r="J178"/>
  <c r="K178" s="1"/>
  <c r="J155"/>
  <c r="J143"/>
  <c r="K143" s="1"/>
  <c r="J137"/>
  <c r="J136"/>
  <c r="J135"/>
  <c r="J134"/>
  <c r="J133"/>
  <c r="J132"/>
  <c r="J131"/>
  <c r="J130"/>
  <c r="J129"/>
  <c r="J127"/>
  <c r="K127" s="1"/>
  <c r="L127" s="1"/>
  <c r="J126"/>
  <c r="J125"/>
  <c r="J124"/>
  <c r="J123"/>
  <c r="J121"/>
  <c r="J120"/>
  <c r="J118"/>
  <c r="J117"/>
  <c r="K117" s="1"/>
  <c r="J116"/>
  <c r="J114"/>
  <c r="K114" s="1"/>
  <c r="J113"/>
  <c r="J112"/>
  <c r="K112" s="1"/>
  <c r="J109"/>
  <c r="J107"/>
  <c r="K107" s="1"/>
  <c r="L107" s="1"/>
  <c r="J106"/>
  <c r="K106" s="1"/>
  <c r="L106" s="1"/>
  <c r="J105"/>
  <c r="J103"/>
  <c r="J102"/>
  <c r="J101"/>
  <c r="J100"/>
  <c r="J98"/>
  <c r="J85"/>
  <c r="K85" s="1"/>
  <c r="J84"/>
  <c r="J82"/>
  <c r="K82" s="1"/>
  <c r="J81"/>
  <c r="K81" s="1"/>
  <c r="J79"/>
  <c r="J78"/>
  <c r="J76"/>
  <c r="J55"/>
  <c r="K55" s="1"/>
  <c r="J54"/>
  <c r="K54" s="1"/>
  <c r="J49"/>
  <c r="J48"/>
  <c r="K48" s="1"/>
  <c r="J46"/>
  <c r="J45"/>
  <c r="K45" s="1"/>
  <c r="J43"/>
  <c r="K43" s="1"/>
  <c r="J42"/>
  <c r="K42" s="1"/>
  <c r="J39"/>
  <c r="K39" s="1"/>
  <c r="J38"/>
  <c r="J96"/>
  <c r="J210"/>
  <c r="J208"/>
  <c r="J70"/>
  <c r="J69"/>
  <c r="K69" s="1"/>
  <c r="J67"/>
  <c r="J66"/>
  <c r="K66" s="1"/>
  <c r="J64"/>
  <c r="K64" s="1"/>
  <c r="J63"/>
  <c r="K63" s="1"/>
  <c r="J61"/>
  <c r="K61" s="1"/>
  <c r="J60"/>
  <c r="K60" s="1"/>
  <c r="J58"/>
  <c r="J57"/>
  <c r="K57" s="1"/>
  <c r="J34"/>
  <c r="J33"/>
  <c r="K33" s="1"/>
  <c r="J32"/>
  <c r="J31"/>
  <c r="J28"/>
  <c r="J27"/>
  <c r="K27" s="1"/>
  <c r="J25"/>
  <c r="K25" s="1"/>
  <c r="J24"/>
  <c r="K24" s="1"/>
  <c r="J22"/>
  <c r="K22" s="1"/>
  <c r="J21"/>
  <c r="J19"/>
  <c r="J18"/>
  <c r="K18" s="1"/>
  <c r="J16"/>
  <c r="K16" s="1"/>
  <c r="J15"/>
  <c r="K15" s="1"/>
  <c r="J13"/>
  <c r="K13" s="1"/>
  <c r="J12"/>
  <c r="E26"/>
  <c r="F26"/>
  <c r="R26" s="1"/>
  <c r="F20"/>
  <c r="R20" s="1"/>
  <c r="P193" i="32"/>
  <c r="P176"/>
  <c r="P155"/>
  <c r="P125"/>
  <c r="F155" i="30"/>
  <c r="J155"/>
  <c r="J96"/>
  <c r="J34"/>
  <c r="J31"/>
  <c r="P31" i="32"/>
  <c r="J50"/>
  <c r="P48"/>
  <c r="J23"/>
  <c r="J20"/>
  <c r="J47"/>
  <c r="J94" i="30"/>
  <c r="P109" i="32"/>
  <c r="E47" i="30"/>
  <c r="F47"/>
  <c r="F26" i="32"/>
  <c r="F36"/>
  <c r="J215"/>
  <c r="F218"/>
  <c r="F220"/>
  <c r="F219"/>
  <c r="I224" i="33"/>
  <c r="R220"/>
  <c r="D220"/>
  <c r="R219"/>
  <c r="D219"/>
  <c r="R218"/>
  <c r="R217"/>
  <c r="R216"/>
  <c r="K215"/>
  <c r="I215"/>
  <c r="H215"/>
  <c r="G215"/>
  <c r="F215"/>
  <c r="R215" s="1"/>
  <c r="E215"/>
  <c r="D215"/>
  <c r="D218" s="1"/>
  <c r="R214"/>
  <c r="R213"/>
  <c r="F212"/>
  <c r="R212" s="1"/>
  <c r="E212"/>
  <c r="E211" s="1"/>
  <c r="D212"/>
  <c r="D211"/>
  <c r="R210"/>
  <c r="G210"/>
  <c r="F209"/>
  <c r="R209" s="1"/>
  <c r="R208"/>
  <c r="G208"/>
  <c r="G204"/>
  <c r="G203"/>
  <c r="G202"/>
  <c r="G201"/>
  <c r="G200"/>
  <c r="G199"/>
  <c r="G198"/>
  <c r="G197"/>
  <c r="G196"/>
  <c r="G195"/>
  <c r="G194"/>
  <c r="G193"/>
  <c r="F192"/>
  <c r="F188" s="1"/>
  <c r="E192"/>
  <c r="D192"/>
  <c r="G191"/>
  <c r="G190"/>
  <c r="G189"/>
  <c r="E188"/>
  <c r="D188"/>
  <c r="G187"/>
  <c r="G186"/>
  <c r="G185"/>
  <c r="F184"/>
  <c r="D184"/>
  <c r="G183"/>
  <c r="G182"/>
  <c r="G181"/>
  <c r="G180"/>
  <c r="I179"/>
  <c r="F179"/>
  <c r="E179"/>
  <c r="D179"/>
  <c r="R178"/>
  <c r="G178"/>
  <c r="R177"/>
  <c r="K177"/>
  <c r="H177"/>
  <c r="G177"/>
  <c r="D177"/>
  <c r="G176"/>
  <c r="G175"/>
  <c r="G174"/>
  <c r="G173"/>
  <c r="G172"/>
  <c r="F172"/>
  <c r="G171"/>
  <c r="F171"/>
  <c r="R171" s="1"/>
  <c r="D171"/>
  <c r="G170"/>
  <c r="G169"/>
  <c r="F168"/>
  <c r="G168" s="1"/>
  <c r="D168"/>
  <c r="G167"/>
  <c r="G166"/>
  <c r="G165"/>
  <c r="F165"/>
  <c r="R165" s="1"/>
  <c r="D165"/>
  <c r="G164"/>
  <c r="G163"/>
  <c r="R162"/>
  <c r="K162"/>
  <c r="G162"/>
  <c r="D162"/>
  <c r="G161"/>
  <c r="H162"/>
  <c r="G160"/>
  <c r="F159"/>
  <c r="G159" s="1"/>
  <c r="D159"/>
  <c r="G158"/>
  <c r="G157"/>
  <c r="F156"/>
  <c r="D156"/>
  <c r="D139" s="1"/>
  <c r="G155"/>
  <c r="F154"/>
  <c r="E154"/>
  <c r="D154"/>
  <c r="G153"/>
  <c r="G152"/>
  <c r="F151"/>
  <c r="G151" s="1"/>
  <c r="D151"/>
  <c r="G150"/>
  <c r="G149"/>
  <c r="G148"/>
  <c r="G147"/>
  <c r="G146"/>
  <c r="K144"/>
  <c r="F144"/>
  <c r="G144" s="1"/>
  <c r="E144"/>
  <c r="D144"/>
  <c r="R143"/>
  <c r="G143"/>
  <c r="G142"/>
  <c r="H140"/>
  <c r="G141"/>
  <c r="F140"/>
  <c r="E140"/>
  <c r="D140"/>
  <c r="R137"/>
  <c r="G137"/>
  <c r="R136"/>
  <c r="K136"/>
  <c r="L136" s="1"/>
  <c r="G136"/>
  <c r="R135"/>
  <c r="K135"/>
  <c r="G135"/>
  <c r="R134"/>
  <c r="K134"/>
  <c r="L134" s="1"/>
  <c r="G134"/>
  <c r="R133"/>
  <c r="G133"/>
  <c r="R132"/>
  <c r="G132"/>
  <c r="R131"/>
  <c r="K131"/>
  <c r="L131" s="1"/>
  <c r="G131"/>
  <c r="R130"/>
  <c r="K130"/>
  <c r="L130" s="1"/>
  <c r="G130"/>
  <c r="R129"/>
  <c r="G129"/>
  <c r="G128"/>
  <c r="R127"/>
  <c r="G127"/>
  <c r="R126"/>
  <c r="K126"/>
  <c r="L126" s="1"/>
  <c r="G126"/>
  <c r="R125"/>
  <c r="G125"/>
  <c r="R124"/>
  <c r="K124"/>
  <c r="L124" s="1"/>
  <c r="G124"/>
  <c r="R123"/>
  <c r="K123"/>
  <c r="L123" s="1"/>
  <c r="G123"/>
  <c r="R122"/>
  <c r="K122"/>
  <c r="L122" s="1"/>
  <c r="G122"/>
  <c r="F121"/>
  <c r="E121"/>
  <c r="F120"/>
  <c r="D119"/>
  <c r="R118"/>
  <c r="K118"/>
  <c r="G118"/>
  <c r="R117"/>
  <c r="G117"/>
  <c r="R116"/>
  <c r="K116"/>
  <c r="G116"/>
  <c r="R115"/>
  <c r="G115"/>
  <c r="F115"/>
  <c r="D115"/>
  <c r="R114"/>
  <c r="G114"/>
  <c r="R113"/>
  <c r="G113"/>
  <c r="R112"/>
  <c r="G112"/>
  <c r="F111"/>
  <c r="R111" s="1"/>
  <c r="E110"/>
  <c r="D110"/>
  <c r="R109"/>
  <c r="R108"/>
  <c r="J108"/>
  <c r="K108" s="1"/>
  <c r="L108" s="1"/>
  <c r="G108"/>
  <c r="R107"/>
  <c r="G107"/>
  <c r="R106"/>
  <c r="G106"/>
  <c r="R105"/>
  <c r="I104"/>
  <c r="G105"/>
  <c r="F104"/>
  <c r="G104" s="1"/>
  <c r="E104"/>
  <c r="D104"/>
  <c r="R103"/>
  <c r="G103"/>
  <c r="R102"/>
  <c r="K102"/>
  <c r="G102"/>
  <c r="R101"/>
  <c r="K101"/>
  <c r="G101"/>
  <c r="R100"/>
  <c r="K100"/>
  <c r="G100"/>
  <c r="J99"/>
  <c r="F99"/>
  <c r="R99" s="1"/>
  <c r="D99"/>
  <c r="R98"/>
  <c r="G98"/>
  <c r="E97"/>
  <c r="E8" s="1"/>
  <c r="I95"/>
  <c r="G96"/>
  <c r="G95"/>
  <c r="F95"/>
  <c r="E95"/>
  <c r="D95"/>
  <c r="G94"/>
  <c r="F93"/>
  <c r="G93" s="1"/>
  <c r="E93"/>
  <c r="D93"/>
  <c r="G91"/>
  <c r="G90"/>
  <c r="G89"/>
  <c r="H87"/>
  <c r="F87"/>
  <c r="G87" s="1"/>
  <c r="E87"/>
  <c r="D87"/>
  <c r="K86"/>
  <c r="F86"/>
  <c r="R86" s="1"/>
  <c r="D86"/>
  <c r="R85"/>
  <c r="G85"/>
  <c r="R84"/>
  <c r="K84"/>
  <c r="H86"/>
  <c r="G84"/>
  <c r="K83"/>
  <c r="F83"/>
  <c r="G83" s="1"/>
  <c r="D83"/>
  <c r="R82"/>
  <c r="R81"/>
  <c r="H83"/>
  <c r="G81"/>
  <c r="K80"/>
  <c r="G80"/>
  <c r="F80"/>
  <c r="R80" s="1"/>
  <c r="D80"/>
  <c r="R79"/>
  <c r="G79"/>
  <c r="R78"/>
  <c r="K78"/>
  <c r="H80"/>
  <c r="G78"/>
  <c r="K77"/>
  <c r="H77"/>
  <c r="D77"/>
  <c r="G76"/>
  <c r="F77"/>
  <c r="E74"/>
  <c r="D74"/>
  <c r="I73"/>
  <c r="E73"/>
  <c r="D73"/>
  <c r="D72" s="1"/>
  <c r="R71"/>
  <c r="K71"/>
  <c r="G71"/>
  <c r="D71"/>
  <c r="R70"/>
  <c r="K70"/>
  <c r="H71"/>
  <c r="G70"/>
  <c r="R69"/>
  <c r="G69"/>
  <c r="R68"/>
  <c r="K68"/>
  <c r="G68"/>
  <c r="D68"/>
  <c r="R67"/>
  <c r="K67"/>
  <c r="G67"/>
  <c r="R66"/>
  <c r="G66"/>
  <c r="R65"/>
  <c r="K65"/>
  <c r="G65"/>
  <c r="D65"/>
  <c r="R64"/>
  <c r="G64"/>
  <c r="R63"/>
  <c r="H65"/>
  <c r="G63"/>
  <c r="R62"/>
  <c r="K62"/>
  <c r="G62"/>
  <c r="D62"/>
  <c r="R61"/>
  <c r="G61"/>
  <c r="R60"/>
  <c r="G60"/>
  <c r="R59"/>
  <c r="K59"/>
  <c r="G59"/>
  <c r="D59"/>
  <c r="R58"/>
  <c r="K58"/>
  <c r="H59"/>
  <c r="G58"/>
  <c r="R57"/>
  <c r="G57"/>
  <c r="R56"/>
  <c r="K56"/>
  <c r="G56"/>
  <c r="D56"/>
  <c r="R55"/>
  <c r="G55"/>
  <c r="R54"/>
  <c r="G54"/>
  <c r="R53"/>
  <c r="K53"/>
  <c r="G53"/>
  <c r="R52"/>
  <c r="K52"/>
  <c r="G52"/>
  <c r="D52"/>
  <c r="F51"/>
  <c r="G51" s="1"/>
  <c r="D51"/>
  <c r="D53" s="1"/>
  <c r="K50"/>
  <c r="D50"/>
  <c r="G49"/>
  <c r="R48"/>
  <c r="H50"/>
  <c r="F50"/>
  <c r="K47"/>
  <c r="H47"/>
  <c r="F47"/>
  <c r="R47" s="1"/>
  <c r="D47"/>
  <c r="G46"/>
  <c r="R45"/>
  <c r="I41"/>
  <c r="G45"/>
  <c r="R44"/>
  <c r="K44"/>
  <c r="G44"/>
  <c r="D44"/>
  <c r="R43"/>
  <c r="G43"/>
  <c r="R42"/>
  <c r="H44"/>
  <c r="G42"/>
  <c r="F41"/>
  <c r="G41" s="1"/>
  <c r="E41"/>
  <c r="D41"/>
  <c r="F40"/>
  <c r="R40" s="1"/>
  <c r="D40"/>
  <c r="R39"/>
  <c r="G39"/>
  <c r="R38"/>
  <c r="G38"/>
  <c r="G36"/>
  <c r="F35"/>
  <c r="G35" s="1"/>
  <c r="E35"/>
  <c r="D35"/>
  <c r="G34"/>
  <c r="R33"/>
  <c r="H30"/>
  <c r="G33"/>
  <c r="R32"/>
  <c r="K32"/>
  <c r="G32"/>
  <c r="G31"/>
  <c r="F30"/>
  <c r="G30" s="1"/>
  <c r="D30"/>
  <c r="R29"/>
  <c r="K29"/>
  <c r="G29"/>
  <c r="D29"/>
  <c r="R28"/>
  <c r="K28"/>
  <c r="G28"/>
  <c r="R27"/>
  <c r="G27"/>
  <c r="D26"/>
  <c r="R25"/>
  <c r="G25"/>
  <c r="R24"/>
  <c r="G24"/>
  <c r="K23"/>
  <c r="F23"/>
  <c r="R23" s="1"/>
  <c r="E23"/>
  <c r="D23"/>
  <c r="R22"/>
  <c r="G22"/>
  <c r="R21"/>
  <c r="K21"/>
  <c r="G21"/>
  <c r="K20"/>
  <c r="D20"/>
  <c r="G19"/>
  <c r="R18"/>
  <c r="G18"/>
  <c r="K17"/>
  <c r="F17"/>
  <c r="R17" s="1"/>
  <c r="D17"/>
  <c r="R16"/>
  <c r="G16"/>
  <c r="R15"/>
  <c r="H17"/>
  <c r="G15"/>
  <c r="F14"/>
  <c r="R14" s="1"/>
  <c r="D14"/>
  <c r="R13"/>
  <c r="G13"/>
  <c r="R12"/>
  <c r="H14"/>
  <c r="G12"/>
  <c r="F11"/>
  <c r="R11" s="1"/>
  <c r="D11"/>
  <c r="E10"/>
  <c r="D10"/>
  <c r="E9"/>
  <c r="F171" i="32"/>
  <c r="F168"/>
  <c r="D159"/>
  <c r="F159"/>
  <c r="F176"/>
  <c r="F30"/>
  <c r="F75"/>
  <c r="F76"/>
  <c r="G79"/>
  <c r="G78"/>
  <c r="R8" i="34" l="1"/>
  <c r="G8"/>
  <c r="D205" i="35"/>
  <c r="P8"/>
  <c r="E209"/>
  <c r="Q207"/>
  <c r="K9"/>
  <c r="L9" s="1"/>
  <c r="J8"/>
  <c r="K139"/>
  <c r="L139" s="1"/>
  <c r="J138"/>
  <c r="K138" s="1"/>
  <c r="L138" s="1"/>
  <c r="R205"/>
  <c r="G205"/>
  <c r="F206"/>
  <c r="F207" s="1"/>
  <c r="I213" i="34"/>
  <c r="J8"/>
  <c r="E207"/>
  <c r="Q207" s="1"/>
  <c r="D205"/>
  <c r="P205" s="1"/>
  <c r="G138"/>
  <c r="O137"/>
  <c r="F205"/>
  <c r="F206" s="1"/>
  <c r="R206" s="1"/>
  <c r="R144" i="33"/>
  <c r="R159"/>
  <c r="G192"/>
  <c r="J40"/>
  <c r="K40" s="1"/>
  <c r="G40"/>
  <c r="G111"/>
  <c r="J111"/>
  <c r="K105"/>
  <c r="L105" s="1"/>
  <c r="R51"/>
  <c r="J26"/>
  <c r="G17"/>
  <c r="G47"/>
  <c r="K125"/>
  <c r="L125" s="1"/>
  <c r="K129"/>
  <c r="L129" s="1"/>
  <c r="K133"/>
  <c r="K137"/>
  <c r="L137" s="1"/>
  <c r="I110"/>
  <c r="I97" s="1"/>
  <c r="K99"/>
  <c r="L99" s="1"/>
  <c r="K98"/>
  <c r="L98" s="1"/>
  <c r="I10"/>
  <c r="I9" s="1"/>
  <c r="H212"/>
  <c r="H211" s="1"/>
  <c r="H188"/>
  <c r="H218"/>
  <c r="I221" s="1"/>
  <c r="I225" s="1"/>
  <c r="H219"/>
  <c r="H74"/>
  <c r="H73"/>
  <c r="H72" s="1"/>
  <c r="H41"/>
  <c r="H11"/>
  <c r="H10" s="1"/>
  <c r="J115"/>
  <c r="K115" s="1"/>
  <c r="L115" s="1"/>
  <c r="J74"/>
  <c r="K74" s="1"/>
  <c r="K79"/>
  <c r="J51"/>
  <c r="K51" s="1"/>
  <c r="J41"/>
  <c r="K41" s="1"/>
  <c r="J14"/>
  <c r="K14" s="1"/>
  <c r="J212"/>
  <c r="F119"/>
  <c r="R120"/>
  <c r="F211"/>
  <c r="R211" s="1"/>
  <c r="K113"/>
  <c r="R104"/>
  <c r="J104"/>
  <c r="K104" s="1"/>
  <c r="L104" s="1"/>
  <c r="G86"/>
  <c r="F10"/>
  <c r="G10" s="1"/>
  <c r="G26"/>
  <c r="G23"/>
  <c r="G20"/>
  <c r="J11"/>
  <c r="K11" s="1"/>
  <c r="L11" s="1"/>
  <c r="G11"/>
  <c r="K12"/>
  <c r="G14"/>
  <c r="D138"/>
  <c r="G50"/>
  <c r="R50"/>
  <c r="K111"/>
  <c r="L111" s="1"/>
  <c r="J119"/>
  <c r="K119" s="1"/>
  <c r="L119" s="1"/>
  <c r="R77"/>
  <c r="G77"/>
  <c r="G188"/>
  <c r="F139"/>
  <c r="H225"/>
  <c r="H110"/>
  <c r="H97" s="1"/>
  <c r="I139"/>
  <c r="I138" s="1"/>
  <c r="H51"/>
  <c r="H52"/>
  <c r="D37"/>
  <c r="G48"/>
  <c r="F73"/>
  <c r="R83"/>
  <c r="G88"/>
  <c r="D97"/>
  <c r="G121"/>
  <c r="R121"/>
  <c r="H156"/>
  <c r="G179"/>
  <c r="K210"/>
  <c r="L210" s="1"/>
  <c r="G211"/>
  <c r="G212"/>
  <c r="R41"/>
  <c r="K109"/>
  <c r="L109" s="1"/>
  <c r="K121"/>
  <c r="L121" s="1"/>
  <c r="J209"/>
  <c r="F37"/>
  <c r="K76"/>
  <c r="R76"/>
  <c r="E139"/>
  <c r="R168"/>
  <c r="K38"/>
  <c r="L38" s="1"/>
  <c r="F74"/>
  <c r="G75"/>
  <c r="G99"/>
  <c r="G109"/>
  <c r="E120"/>
  <c r="G140"/>
  <c r="G145"/>
  <c r="G154"/>
  <c r="G156"/>
  <c r="G184"/>
  <c r="F125" i="32"/>
  <c r="S125" s="1"/>
  <c r="F48"/>
  <c r="S48" s="1"/>
  <c r="F109"/>
  <c r="S12"/>
  <c r="S13"/>
  <c r="S15"/>
  <c r="S16"/>
  <c r="S18"/>
  <c r="S20"/>
  <c r="S21"/>
  <c r="S22"/>
  <c r="S24"/>
  <c r="S25"/>
  <c r="S26"/>
  <c r="S27"/>
  <c r="S28"/>
  <c r="S29"/>
  <c r="S32"/>
  <c r="S33"/>
  <c r="S38"/>
  <c r="S39"/>
  <c r="S42"/>
  <c r="S43"/>
  <c r="S44"/>
  <c r="S45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6"/>
  <c r="S78"/>
  <c r="S79"/>
  <c r="S81"/>
  <c r="S82"/>
  <c r="S84"/>
  <c r="S85"/>
  <c r="S98"/>
  <c r="S99"/>
  <c r="S100"/>
  <c r="S101"/>
  <c r="S102"/>
  <c r="S103"/>
  <c r="S105"/>
  <c r="S106"/>
  <c r="S107"/>
  <c r="S108"/>
  <c r="S109"/>
  <c r="S112"/>
  <c r="S113"/>
  <c r="S114"/>
  <c r="S115"/>
  <c r="S116"/>
  <c r="S117"/>
  <c r="S118"/>
  <c r="S122"/>
  <c r="S123"/>
  <c r="S124"/>
  <c r="S126"/>
  <c r="S127"/>
  <c r="S129"/>
  <c r="S130"/>
  <c r="S131"/>
  <c r="S132"/>
  <c r="S133"/>
  <c r="S134"/>
  <c r="S135"/>
  <c r="S136"/>
  <c r="S137"/>
  <c r="S143"/>
  <c r="S144"/>
  <c r="S159"/>
  <c r="S162"/>
  <c r="S168"/>
  <c r="S171"/>
  <c r="S177"/>
  <c r="S178"/>
  <c r="S208"/>
  <c r="S210"/>
  <c r="S213"/>
  <c r="S214"/>
  <c r="S216"/>
  <c r="S217"/>
  <c r="S218"/>
  <c r="S219"/>
  <c r="S220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4"/>
  <c r="R215"/>
  <c r="R216"/>
  <c r="R217"/>
  <c r="R218"/>
  <c r="R219"/>
  <c r="R220"/>
  <c r="R8"/>
  <c r="R207" i="35" l="1"/>
  <c r="G207"/>
  <c r="J205"/>
  <c r="K8"/>
  <c r="L8" s="1"/>
  <c r="Q7"/>
  <c r="S8"/>
  <c r="O7"/>
  <c r="E213"/>
  <c r="Q209"/>
  <c r="G209"/>
  <c r="D207"/>
  <c r="P205"/>
  <c r="J206"/>
  <c r="K206" s="1"/>
  <c r="L206" s="1"/>
  <c r="R206"/>
  <c r="G206"/>
  <c r="R205" i="34"/>
  <c r="F207"/>
  <c r="R207" s="1"/>
  <c r="Q7"/>
  <c r="O7"/>
  <c r="S8"/>
  <c r="E209"/>
  <c r="Q209" s="1"/>
  <c r="G205"/>
  <c r="D207"/>
  <c r="P207" s="1"/>
  <c r="J205"/>
  <c r="I8" i="33"/>
  <c r="I205" s="1"/>
  <c r="I207" s="1"/>
  <c r="H139"/>
  <c r="H138" s="1"/>
  <c r="H53"/>
  <c r="J37"/>
  <c r="K37" s="1"/>
  <c r="L37" s="1"/>
  <c r="J211"/>
  <c r="R119"/>
  <c r="G119"/>
  <c r="F110"/>
  <c r="G74"/>
  <c r="R74"/>
  <c r="G37"/>
  <c r="R37"/>
  <c r="G73"/>
  <c r="G139"/>
  <c r="F138"/>
  <c r="O137" s="1"/>
  <c r="E138"/>
  <c r="D9"/>
  <c r="K120"/>
  <c r="L120" s="1"/>
  <c r="G120"/>
  <c r="N221"/>
  <c r="H37"/>
  <c r="H9" s="1"/>
  <c r="H8" s="1"/>
  <c r="N225"/>
  <c r="H195" i="31"/>
  <c r="H195" i="32" s="1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9"/>
  <c r="Q190"/>
  <c r="Q191"/>
  <c r="Q193"/>
  <c r="Q194"/>
  <c r="Q195"/>
  <c r="Q196"/>
  <c r="Q197"/>
  <c r="Q198"/>
  <c r="Q199"/>
  <c r="Q200"/>
  <c r="Q201"/>
  <c r="Q202"/>
  <c r="Q203"/>
  <c r="Q204"/>
  <c r="Q206"/>
  <c r="Q208"/>
  <c r="Q210"/>
  <c r="Q211"/>
  <c r="Q212"/>
  <c r="Q214"/>
  <c r="Q215"/>
  <c r="Q216"/>
  <c r="Q217"/>
  <c r="Q218"/>
  <c r="H103"/>
  <c r="Q9"/>
  <c r="Q10"/>
  <c r="Q11"/>
  <c r="Q12"/>
  <c r="Q13"/>
  <c r="Q14"/>
  <c r="Q15"/>
  <c r="Q8"/>
  <c r="J210"/>
  <c r="J208"/>
  <c r="J209" s="1"/>
  <c r="J178"/>
  <c r="K178" s="1"/>
  <c r="J143"/>
  <c r="K143" s="1"/>
  <c r="J137"/>
  <c r="J136"/>
  <c r="K136" s="1"/>
  <c r="L136" s="1"/>
  <c r="J135"/>
  <c r="J134"/>
  <c r="J133"/>
  <c r="J132"/>
  <c r="K132" s="1"/>
  <c r="J131"/>
  <c r="K131" s="1"/>
  <c r="L131" s="1"/>
  <c r="J130"/>
  <c r="J129"/>
  <c r="J127"/>
  <c r="J126"/>
  <c r="J125"/>
  <c r="J124"/>
  <c r="K124" s="1"/>
  <c r="L124" s="1"/>
  <c r="J123"/>
  <c r="K123" s="1"/>
  <c r="L123" s="1"/>
  <c r="J118"/>
  <c r="K118" s="1"/>
  <c r="J117"/>
  <c r="K117" s="1"/>
  <c r="J116"/>
  <c r="K116" s="1"/>
  <c r="J114"/>
  <c r="J113"/>
  <c r="K113" s="1"/>
  <c r="J112"/>
  <c r="J109"/>
  <c r="J108"/>
  <c r="J107"/>
  <c r="J106"/>
  <c r="J105"/>
  <c r="K106"/>
  <c r="L106" s="1"/>
  <c r="J103"/>
  <c r="J102"/>
  <c r="J101"/>
  <c r="K101" s="1"/>
  <c r="J100"/>
  <c r="K100" s="1"/>
  <c r="J98"/>
  <c r="J85"/>
  <c r="K85" s="1"/>
  <c r="J84"/>
  <c r="K84" s="1"/>
  <c r="J82"/>
  <c r="K82" s="1"/>
  <c r="J81"/>
  <c r="K81" s="1"/>
  <c r="J79"/>
  <c r="J78"/>
  <c r="K78" s="1"/>
  <c r="J76"/>
  <c r="K76" s="1"/>
  <c r="J70"/>
  <c r="K70" s="1"/>
  <c r="J69"/>
  <c r="J67"/>
  <c r="K67" s="1"/>
  <c r="J66"/>
  <c r="J64"/>
  <c r="J63"/>
  <c r="J61"/>
  <c r="K61" s="1"/>
  <c r="J60"/>
  <c r="K60" s="1"/>
  <c r="J58"/>
  <c r="K58" s="1"/>
  <c r="J57"/>
  <c r="J55"/>
  <c r="K55" s="1"/>
  <c r="J54"/>
  <c r="K54" s="1"/>
  <c r="J48"/>
  <c r="J45"/>
  <c r="J43"/>
  <c r="K43" s="1"/>
  <c r="J42"/>
  <c r="K42" s="1"/>
  <c r="J39"/>
  <c r="K39" s="1"/>
  <c r="J38"/>
  <c r="K33"/>
  <c r="J32"/>
  <c r="J28"/>
  <c r="K28" s="1"/>
  <c r="J27"/>
  <c r="J25"/>
  <c r="K25" s="1"/>
  <c r="J24"/>
  <c r="K24" s="1"/>
  <c r="J22"/>
  <c r="K22" s="1"/>
  <c r="J21"/>
  <c r="J18"/>
  <c r="J16"/>
  <c r="K16" s="1"/>
  <c r="J15"/>
  <c r="K15" s="1"/>
  <c r="J13"/>
  <c r="K13" s="1"/>
  <c r="J12"/>
  <c r="I210"/>
  <c r="I208"/>
  <c r="I206"/>
  <c r="I204"/>
  <c r="I203"/>
  <c r="I202"/>
  <c r="I201"/>
  <c r="I200"/>
  <c r="I199"/>
  <c r="I198"/>
  <c r="I197"/>
  <c r="I196"/>
  <c r="I195"/>
  <c r="I194"/>
  <c r="I192" s="1"/>
  <c r="I193"/>
  <c r="I191"/>
  <c r="I190"/>
  <c r="I189"/>
  <c r="I184"/>
  <c r="I183"/>
  <c r="I182"/>
  <c r="I181"/>
  <c r="I180"/>
  <c r="I172"/>
  <c r="I176"/>
  <c r="I151"/>
  <c r="I156"/>
  <c r="I155"/>
  <c r="I154" s="1"/>
  <c r="I150"/>
  <c r="I149"/>
  <c r="I148"/>
  <c r="I147"/>
  <c r="I146"/>
  <c r="I145"/>
  <c r="I142"/>
  <c r="I141"/>
  <c r="I137"/>
  <c r="I136"/>
  <c r="I135"/>
  <c r="I134"/>
  <c r="I133"/>
  <c r="I132"/>
  <c r="I131"/>
  <c r="I130"/>
  <c r="I129"/>
  <c r="I128"/>
  <c r="I127"/>
  <c r="I126"/>
  <c r="I125"/>
  <c r="I124"/>
  <c r="I123"/>
  <c r="I121"/>
  <c r="I120"/>
  <c r="I119"/>
  <c r="I115"/>
  <c r="I111"/>
  <c r="I109"/>
  <c r="I108"/>
  <c r="I107"/>
  <c r="I106"/>
  <c r="I105"/>
  <c r="I104" s="1"/>
  <c r="I103"/>
  <c r="I99"/>
  <c r="I98"/>
  <c r="I96"/>
  <c r="I95" s="1"/>
  <c r="I94"/>
  <c r="I92"/>
  <c r="I91"/>
  <c r="I90"/>
  <c r="I89"/>
  <c r="I88"/>
  <c r="I72"/>
  <c r="I45"/>
  <c r="I38"/>
  <c r="I37"/>
  <c r="I36"/>
  <c r="I30"/>
  <c r="I11"/>
  <c r="H210"/>
  <c r="H212" s="1"/>
  <c r="H211" s="1"/>
  <c r="H208"/>
  <c r="H206"/>
  <c r="H204"/>
  <c r="H203"/>
  <c r="H202"/>
  <c r="H201"/>
  <c r="H200"/>
  <c r="H199"/>
  <c r="H198"/>
  <c r="H197"/>
  <c r="H196"/>
  <c r="H194"/>
  <c r="H193"/>
  <c r="H191"/>
  <c r="H190"/>
  <c r="H189"/>
  <c r="H187"/>
  <c r="H186"/>
  <c r="H185"/>
  <c r="H183"/>
  <c r="H182"/>
  <c r="H179" s="1"/>
  <c r="H181"/>
  <c r="H180"/>
  <c r="H178"/>
  <c r="H177" s="1"/>
  <c r="H176"/>
  <c r="H172"/>
  <c r="H170"/>
  <c r="H169"/>
  <c r="H171" s="1"/>
  <c r="H167"/>
  <c r="H166"/>
  <c r="H164"/>
  <c r="H163"/>
  <c r="H165" s="1"/>
  <c r="H161"/>
  <c r="H162" s="1"/>
  <c r="H160"/>
  <c r="H158"/>
  <c r="H157"/>
  <c r="H159" s="1"/>
  <c r="H155"/>
  <c r="H154" s="1"/>
  <c r="H153"/>
  <c r="H152"/>
  <c r="H150"/>
  <c r="H149"/>
  <c r="H148"/>
  <c r="H147"/>
  <c r="H146"/>
  <c r="H145"/>
  <c r="H220" s="1"/>
  <c r="H143"/>
  <c r="H142"/>
  <c r="H141"/>
  <c r="H137"/>
  <c r="H136"/>
  <c r="H135"/>
  <c r="H134"/>
  <c r="H133"/>
  <c r="H132"/>
  <c r="H131"/>
  <c r="H130"/>
  <c r="H129"/>
  <c r="H128"/>
  <c r="H127"/>
  <c r="H126"/>
  <c r="H125"/>
  <c r="H124"/>
  <c r="H123"/>
  <c r="H121"/>
  <c r="H120"/>
  <c r="H119" s="1"/>
  <c r="H118"/>
  <c r="H117"/>
  <c r="H116"/>
  <c r="H111"/>
  <c r="H109"/>
  <c r="H107"/>
  <c r="H106"/>
  <c r="H104" s="1"/>
  <c r="H105"/>
  <c r="H102"/>
  <c r="H101"/>
  <c r="H100"/>
  <c r="H98"/>
  <c r="H96"/>
  <c r="H95" s="1"/>
  <c r="H94"/>
  <c r="H92"/>
  <c r="H91"/>
  <c r="H90"/>
  <c r="H89"/>
  <c r="H88"/>
  <c r="H87" s="1"/>
  <c r="H85"/>
  <c r="H84"/>
  <c r="H82"/>
  <c r="H81"/>
  <c r="H83" s="1"/>
  <c r="H79"/>
  <c r="H78"/>
  <c r="H76"/>
  <c r="H75"/>
  <c r="H77" s="1"/>
  <c r="H70"/>
  <c r="H69"/>
  <c r="H67"/>
  <c r="H66"/>
  <c r="H68" s="1"/>
  <c r="H64"/>
  <c r="H63"/>
  <c r="H61"/>
  <c r="H60"/>
  <c r="H58"/>
  <c r="H57"/>
  <c r="H55"/>
  <c r="H54"/>
  <c r="H49"/>
  <c r="H50" s="1"/>
  <c r="H48"/>
  <c r="H46"/>
  <c r="H45"/>
  <c r="H41" s="1"/>
  <c r="H43"/>
  <c r="H44" s="1"/>
  <c r="H42"/>
  <c r="H39"/>
  <c r="H38"/>
  <c r="H36"/>
  <c r="H35" s="1"/>
  <c r="H34"/>
  <c r="H33"/>
  <c r="H32"/>
  <c r="H31"/>
  <c r="H28"/>
  <c r="H29" s="1"/>
  <c r="H27"/>
  <c r="H25"/>
  <c r="H26" s="1"/>
  <c r="H24"/>
  <c r="H22"/>
  <c r="H21"/>
  <c r="H19"/>
  <c r="H18"/>
  <c r="H16"/>
  <c r="H15"/>
  <c r="H13"/>
  <c r="H12"/>
  <c r="D220"/>
  <c r="D219"/>
  <c r="K215"/>
  <c r="I215"/>
  <c r="H215"/>
  <c r="G215"/>
  <c r="F215"/>
  <c r="S215" s="1"/>
  <c r="E215"/>
  <c r="D215"/>
  <c r="D218" s="1"/>
  <c r="F212"/>
  <c r="E212"/>
  <c r="D212"/>
  <c r="D211"/>
  <c r="G210"/>
  <c r="F209"/>
  <c r="S209" s="1"/>
  <c r="G208"/>
  <c r="G204"/>
  <c r="G203"/>
  <c r="G202"/>
  <c r="G201"/>
  <c r="G200"/>
  <c r="G199"/>
  <c r="G198"/>
  <c r="G197"/>
  <c r="G196"/>
  <c r="G195"/>
  <c r="G194"/>
  <c r="G193"/>
  <c r="F192"/>
  <c r="E192"/>
  <c r="D192"/>
  <c r="D188" s="1"/>
  <c r="Q188" s="1"/>
  <c r="G191"/>
  <c r="G190"/>
  <c r="G189"/>
  <c r="E188"/>
  <c r="G187"/>
  <c r="G186"/>
  <c r="G185"/>
  <c r="F184"/>
  <c r="G184" s="1"/>
  <c r="D184"/>
  <c r="G183"/>
  <c r="G182"/>
  <c r="G181"/>
  <c r="G180"/>
  <c r="F179"/>
  <c r="G179" s="1"/>
  <c r="E179"/>
  <c r="D179"/>
  <c r="G178"/>
  <c r="K177"/>
  <c r="G177"/>
  <c r="D177"/>
  <c r="G176"/>
  <c r="G175"/>
  <c r="G174"/>
  <c r="G173"/>
  <c r="G172"/>
  <c r="F172"/>
  <c r="G171"/>
  <c r="D171"/>
  <c r="G170"/>
  <c r="G169"/>
  <c r="G168"/>
  <c r="D168"/>
  <c r="G167"/>
  <c r="G166"/>
  <c r="F165"/>
  <c r="S165" s="1"/>
  <c r="D165"/>
  <c r="G164"/>
  <c r="G163"/>
  <c r="K162"/>
  <c r="G162"/>
  <c r="D162"/>
  <c r="G161"/>
  <c r="G160"/>
  <c r="G159"/>
  <c r="G158"/>
  <c r="G157"/>
  <c r="F156"/>
  <c r="D156"/>
  <c r="E154"/>
  <c r="D154"/>
  <c r="G153"/>
  <c r="G152"/>
  <c r="H151"/>
  <c r="F151"/>
  <c r="D151"/>
  <c r="G150"/>
  <c r="G149"/>
  <c r="G148"/>
  <c r="G147"/>
  <c r="G146"/>
  <c r="G145"/>
  <c r="K144"/>
  <c r="F144"/>
  <c r="E144"/>
  <c r="G144" s="1"/>
  <c r="D144"/>
  <c r="H144"/>
  <c r="G143"/>
  <c r="G142"/>
  <c r="H140"/>
  <c r="G141"/>
  <c r="F140"/>
  <c r="G140" s="1"/>
  <c r="E140"/>
  <c r="E139" s="1"/>
  <c r="E138" s="1"/>
  <c r="D140"/>
  <c r="D139" s="1"/>
  <c r="D138" s="1"/>
  <c r="Q138" s="1"/>
  <c r="G137"/>
  <c r="G136"/>
  <c r="K135"/>
  <c r="G135"/>
  <c r="K134"/>
  <c r="L134" s="1"/>
  <c r="G134"/>
  <c r="G133"/>
  <c r="G132"/>
  <c r="G131"/>
  <c r="K130"/>
  <c r="L130" s="1"/>
  <c r="G130"/>
  <c r="G129"/>
  <c r="G128"/>
  <c r="K127"/>
  <c r="L127" s="1"/>
  <c r="G127"/>
  <c r="K126"/>
  <c r="L126" s="1"/>
  <c r="G126"/>
  <c r="G125"/>
  <c r="G124"/>
  <c r="G123"/>
  <c r="L122"/>
  <c r="K122"/>
  <c r="G122"/>
  <c r="F121"/>
  <c r="S121" s="1"/>
  <c r="E121"/>
  <c r="E120"/>
  <c r="D119"/>
  <c r="G118"/>
  <c r="G117"/>
  <c r="G116"/>
  <c r="G115"/>
  <c r="F115"/>
  <c r="D115"/>
  <c r="K114"/>
  <c r="G114"/>
  <c r="G113"/>
  <c r="K112"/>
  <c r="G112"/>
  <c r="G111"/>
  <c r="F111"/>
  <c r="S111" s="1"/>
  <c r="E110"/>
  <c r="D110"/>
  <c r="H108"/>
  <c r="G108"/>
  <c r="K107"/>
  <c r="L107" s="1"/>
  <c r="G107"/>
  <c r="G106"/>
  <c r="G105"/>
  <c r="F104"/>
  <c r="S104" s="1"/>
  <c r="E104"/>
  <c r="D104"/>
  <c r="D97" s="1"/>
  <c r="G103"/>
  <c r="K102"/>
  <c r="G102"/>
  <c r="G101"/>
  <c r="G100"/>
  <c r="G99"/>
  <c r="F99"/>
  <c r="D99"/>
  <c r="G98"/>
  <c r="E97"/>
  <c r="G96"/>
  <c r="G95"/>
  <c r="F95"/>
  <c r="E95"/>
  <c r="D95"/>
  <c r="H93"/>
  <c r="G94"/>
  <c r="G93"/>
  <c r="F93"/>
  <c r="E93"/>
  <c r="D93"/>
  <c r="G91"/>
  <c r="G90"/>
  <c r="G89"/>
  <c r="F87"/>
  <c r="E87"/>
  <c r="D87"/>
  <c r="K86"/>
  <c r="F86"/>
  <c r="D86"/>
  <c r="G85"/>
  <c r="G84"/>
  <c r="K83"/>
  <c r="F83"/>
  <c r="S83" s="1"/>
  <c r="D83"/>
  <c r="G81"/>
  <c r="K80"/>
  <c r="H80"/>
  <c r="F80"/>
  <c r="S80" s="1"/>
  <c r="D80"/>
  <c r="K79"/>
  <c r="K77"/>
  <c r="D77"/>
  <c r="G76"/>
  <c r="G75"/>
  <c r="F77"/>
  <c r="K74"/>
  <c r="E74"/>
  <c r="D74"/>
  <c r="I73"/>
  <c r="F73"/>
  <c r="E73"/>
  <c r="D73"/>
  <c r="D72"/>
  <c r="K71"/>
  <c r="G71"/>
  <c r="D71"/>
  <c r="G70"/>
  <c r="K69"/>
  <c r="G69"/>
  <c r="K68"/>
  <c r="G68"/>
  <c r="D68"/>
  <c r="G67"/>
  <c r="K66"/>
  <c r="G66"/>
  <c r="K65"/>
  <c r="G65"/>
  <c r="D65"/>
  <c r="K64"/>
  <c r="G64"/>
  <c r="K63"/>
  <c r="H65"/>
  <c r="G63"/>
  <c r="K62"/>
  <c r="G62"/>
  <c r="D62"/>
  <c r="G61"/>
  <c r="G60"/>
  <c r="K59"/>
  <c r="G59"/>
  <c r="D59"/>
  <c r="G58"/>
  <c r="K57"/>
  <c r="G57"/>
  <c r="K56"/>
  <c r="G56"/>
  <c r="D56"/>
  <c r="G55"/>
  <c r="G54"/>
  <c r="K53"/>
  <c r="G53"/>
  <c r="K52"/>
  <c r="G52"/>
  <c r="D52"/>
  <c r="D53" s="1"/>
  <c r="F51"/>
  <c r="S51" s="1"/>
  <c r="D51"/>
  <c r="K50"/>
  <c r="D50"/>
  <c r="G49"/>
  <c r="G48"/>
  <c r="K47"/>
  <c r="F47"/>
  <c r="D47"/>
  <c r="G46"/>
  <c r="I41"/>
  <c r="G45"/>
  <c r="K44"/>
  <c r="G44"/>
  <c r="D44"/>
  <c r="G43"/>
  <c r="G42"/>
  <c r="F41"/>
  <c r="E41"/>
  <c r="D41"/>
  <c r="F40"/>
  <c r="D40"/>
  <c r="G39"/>
  <c r="G38"/>
  <c r="D37"/>
  <c r="G36"/>
  <c r="F35"/>
  <c r="E35"/>
  <c r="E10" s="1"/>
  <c r="D35"/>
  <c r="G34"/>
  <c r="G33"/>
  <c r="K32"/>
  <c r="G32"/>
  <c r="G31"/>
  <c r="D30"/>
  <c r="K29"/>
  <c r="G29"/>
  <c r="D29"/>
  <c r="G28"/>
  <c r="K27"/>
  <c r="G27"/>
  <c r="G26"/>
  <c r="D26"/>
  <c r="G25"/>
  <c r="G24"/>
  <c r="K23"/>
  <c r="F23"/>
  <c r="S23" s="1"/>
  <c r="D23"/>
  <c r="G22"/>
  <c r="K21"/>
  <c r="H23"/>
  <c r="G21"/>
  <c r="K20"/>
  <c r="G20"/>
  <c r="D20"/>
  <c r="G19"/>
  <c r="K18"/>
  <c r="G18"/>
  <c r="K17"/>
  <c r="H17"/>
  <c r="F17"/>
  <c r="D17"/>
  <c r="G16"/>
  <c r="G15"/>
  <c r="G14"/>
  <c r="F14"/>
  <c r="S14" s="1"/>
  <c r="D14"/>
  <c r="G13"/>
  <c r="K12"/>
  <c r="G12"/>
  <c r="F11"/>
  <c r="S11" s="1"/>
  <c r="D11"/>
  <c r="D10" s="1"/>
  <c r="D9" s="1"/>
  <c r="J108" i="31"/>
  <c r="J109"/>
  <c r="D209" i="35" l="1"/>
  <c r="P207"/>
  <c r="D213"/>
  <c r="P213" s="1"/>
  <c r="K205"/>
  <c r="L205" s="1"/>
  <c r="J207"/>
  <c r="G213"/>
  <c r="Q213"/>
  <c r="J206" i="34"/>
  <c r="D213"/>
  <c r="P213" s="1"/>
  <c r="D209"/>
  <c r="G207"/>
  <c r="E213"/>
  <c r="Q213" s="1"/>
  <c r="G209"/>
  <c r="G206"/>
  <c r="Q208" i="33"/>
  <c r="I208"/>
  <c r="H205"/>
  <c r="H207" s="1"/>
  <c r="H213" s="1"/>
  <c r="G110"/>
  <c r="F97"/>
  <c r="I87" i="32"/>
  <c r="H20"/>
  <c r="K108"/>
  <c r="L108" s="1"/>
  <c r="H30"/>
  <c r="H59"/>
  <c r="H71"/>
  <c r="H86"/>
  <c r="H99"/>
  <c r="H115"/>
  <c r="H168"/>
  <c r="H184"/>
  <c r="I140"/>
  <c r="K98"/>
  <c r="L98" s="1"/>
  <c r="K103"/>
  <c r="L103" s="1"/>
  <c r="H219"/>
  <c r="H218"/>
  <c r="I179"/>
  <c r="H47"/>
  <c r="H56"/>
  <c r="H62"/>
  <c r="K38"/>
  <c r="L38" s="1"/>
  <c r="K45"/>
  <c r="K137"/>
  <c r="L137" s="1"/>
  <c r="G23"/>
  <c r="G51"/>
  <c r="I209" i="33"/>
  <c r="K209" s="1"/>
  <c r="L209" s="1"/>
  <c r="E205"/>
  <c r="G138"/>
  <c r="R72"/>
  <c r="G72"/>
  <c r="K72"/>
  <c r="L72" s="1"/>
  <c r="D8"/>
  <c r="F9"/>
  <c r="G165" i="32"/>
  <c r="F188"/>
  <c r="G188" s="1"/>
  <c r="G192"/>
  <c r="G151"/>
  <c r="G156"/>
  <c r="G77"/>
  <c r="S77"/>
  <c r="G80"/>
  <c r="G83"/>
  <c r="F72"/>
  <c r="G73"/>
  <c r="G86"/>
  <c r="S86"/>
  <c r="J212"/>
  <c r="G212"/>
  <c r="S212"/>
  <c r="F120"/>
  <c r="G121"/>
  <c r="J121"/>
  <c r="G40"/>
  <c r="S40"/>
  <c r="J40"/>
  <c r="K40" s="1"/>
  <c r="G104"/>
  <c r="G30"/>
  <c r="G87"/>
  <c r="G17"/>
  <c r="S17"/>
  <c r="G11"/>
  <c r="G47"/>
  <c r="S47"/>
  <c r="G41"/>
  <c r="S41"/>
  <c r="G35"/>
  <c r="F10"/>
  <c r="E211"/>
  <c r="R211" s="1"/>
  <c r="R212"/>
  <c r="Q139"/>
  <c r="Q192"/>
  <c r="H192"/>
  <c r="H188" s="1"/>
  <c r="K210"/>
  <c r="L210" s="1"/>
  <c r="K133"/>
  <c r="J115"/>
  <c r="K115" s="1"/>
  <c r="L115" s="1"/>
  <c r="J51"/>
  <c r="K51" s="1"/>
  <c r="I212"/>
  <c r="K208"/>
  <c r="L208" s="1"/>
  <c r="I188"/>
  <c r="I139"/>
  <c r="I138" s="1"/>
  <c r="K129"/>
  <c r="L129" s="1"/>
  <c r="K121"/>
  <c r="L121" s="1"/>
  <c r="I110"/>
  <c r="I97" s="1"/>
  <c r="K105"/>
  <c r="L105" s="1"/>
  <c r="K109"/>
  <c r="L109" s="1"/>
  <c r="I35"/>
  <c r="I10" s="1"/>
  <c r="I9" s="1"/>
  <c r="H110"/>
  <c r="H74"/>
  <c r="H73"/>
  <c r="H72" s="1"/>
  <c r="H52"/>
  <c r="H51"/>
  <c r="H37" s="1"/>
  <c r="H14"/>
  <c r="E9"/>
  <c r="E8" s="1"/>
  <c r="E205" s="1"/>
  <c r="E207" s="1"/>
  <c r="E209" s="1"/>
  <c r="E213" s="1"/>
  <c r="G209"/>
  <c r="D8"/>
  <c r="D205" s="1"/>
  <c r="K125"/>
  <c r="L125" s="1"/>
  <c r="F37"/>
  <c r="J99"/>
  <c r="K99" s="1"/>
  <c r="L99" s="1"/>
  <c r="H156"/>
  <c r="F211"/>
  <c r="J211"/>
  <c r="J14"/>
  <c r="K14" s="1"/>
  <c r="F50"/>
  <c r="F74"/>
  <c r="G88"/>
  <c r="I93"/>
  <c r="J104"/>
  <c r="K104" s="1"/>
  <c r="L104" s="1"/>
  <c r="G109"/>
  <c r="F154"/>
  <c r="G155"/>
  <c r="J41"/>
  <c r="J11"/>
  <c r="H40"/>
  <c r="K48"/>
  <c r="H11"/>
  <c r="H10" s="1"/>
  <c r="J111"/>
  <c r="J14" i="31"/>
  <c r="F14"/>
  <c r="J159" i="30"/>
  <c r="T159" s="1"/>
  <c r="L37"/>
  <c r="L38"/>
  <c r="L72"/>
  <c r="L98"/>
  <c r="L99"/>
  <c r="L103"/>
  <c r="L104"/>
  <c r="L105"/>
  <c r="L106"/>
  <c r="L107"/>
  <c r="L108"/>
  <c r="L109"/>
  <c r="L111"/>
  <c r="L115"/>
  <c r="L119"/>
  <c r="L120"/>
  <c r="L121"/>
  <c r="L122"/>
  <c r="L123"/>
  <c r="L124"/>
  <c r="L125"/>
  <c r="L126"/>
  <c r="L127"/>
  <c r="L129"/>
  <c r="L130"/>
  <c r="L131"/>
  <c r="L134"/>
  <c r="L136"/>
  <c r="L137"/>
  <c r="L208"/>
  <c r="L209"/>
  <c r="L210"/>
  <c r="L211"/>
  <c r="L212"/>
  <c r="L213"/>
  <c r="J86"/>
  <c r="T86" s="1"/>
  <c r="J83"/>
  <c r="J79"/>
  <c r="J80" s="1"/>
  <c r="J77"/>
  <c r="T77" s="1"/>
  <c r="J76"/>
  <c r="J74" s="1"/>
  <c r="J75"/>
  <c r="J56"/>
  <c r="F56"/>
  <c r="T56" s="1"/>
  <c r="J50"/>
  <c r="F50"/>
  <c r="J52"/>
  <c r="J47"/>
  <c r="J23"/>
  <c r="J20"/>
  <c r="T20" s="1"/>
  <c r="J17"/>
  <c r="T17" s="1"/>
  <c r="F17"/>
  <c r="J14"/>
  <c r="F14"/>
  <c r="T88"/>
  <c r="F87"/>
  <c r="T12"/>
  <c r="T13"/>
  <c r="T15"/>
  <c r="T16"/>
  <c r="T18"/>
  <c r="T19"/>
  <c r="T21"/>
  <c r="T22"/>
  <c r="T23"/>
  <c r="T24"/>
  <c r="T25"/>
  <c r="T26"/>
  <c r="T27"/>
  <c r="T28"/>
  <c r="T29"/>
  <c r="T31"/>
  <c r="T32"/>
  <c r="T33"/>
  <c r="T34"/>
  <c r="T36"/>
  <c r="T37"/>
  <c r="T38"/>
  <c r="T39"/>
  <c r="T40"/>
  <c r="T41"/>
  <c r="T42"/>
  <c r="T43"/>
  <c r="T44"/>
  <c r="T45"/>
  <c r="T46"/>
  <c r="T47"/>
  <c r="T48"/>
  <c r="T49"/>
  <c r="T51"/>
  <c r="T52"/>
  <c r="T53"/>
  <c r="T54"/>
  <c r="T55"/>
  <c r="T57"/>
  <c r="T58"/>
  <c r="T59"/>
  <c r="T60"/>
  <c r="T61"/>
  <c r="T62"/>
  <c r="T63"/>
  <c r="T64"/>
  <c r="T65"/>
  <c r="T66"/>
  <c r="T67"/>
  <c r="T68"/>
  <c r="T69"/>
  <c r="T70"/>
  <c r="T71"/>
  <c r="T72"/>
  <c r="T75"/>
  <c r="T76"/>
  <c r="T78"/>
  <c r="T79"/>
  <c r="T81"/>
  <c r="T82"/>
  <c r="T83"/>
  <c r="T84"/>
  <c r="T85"/>
  <c r="T89"/>
  <c r="T90"/>
  <c r="T91"/>
  <c r="T92"/>
  <c r="T94"/>
  <c r="T96"/>
  <c r="T98"/>
  <c r="T99"/>
  <c r="T100"/>
  <c r="T101"/>
  <c r="T102"/>
  <c r="T103"/>
  <c r="T104"/>
  <c r="T105"/>
  <c r="T106"/>
  <c r="T107"/>
  <c r="T108"/>
  <c r="T109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41"/>
  <c r="T142"/>
  <c r="T143"/>
  <c r="T144"/>
  <c r="T145"/>
  <c r="T146"/>
  <c r="T147"/>
  <c r="T148"/>
  <c r="T149"/>
  <c r="T150"/>
  <c r="T152"/>
  <c r="T153"/>
  <c r="T155"/>
  <c r="T157"/>
  <c r="T158"/>
  <c r="T160"/>
  <c r="T161"/>
  <c r="T162"/>
  <c r="T163"/>
  <c r="T164"/>
  <c r="T165"/>
  <c r="T166"/>
  <c r="T167"/>
  <c r="T168"/>
  <c r="T169"/>
  <c r="T170"/>
  <c r="T171"/>
  <c r="T173"/>
  <c r="T174"/>
  <c r="T175"/>
  <c r="T176"/>
  <c r="T177"/>
  <c r="T178"/>
  <c r="T180"/>
  <c r="T181"/>
  <c r="T182"/>
  <c r="T183"/>
  <c r="T185"/>
  <c r="T186"/>
  <c r="T187"/>
  <c r="T189"/>
  <c r="T190"/>
  <c r="T191"/>
  <c r="T193"/>
  <c r="T194"/>
  <c r="T195"/>
  <c r="T196"/>
  <c r="T197"/>
  <c r="T198"/>
  <c r="T199"/>
  <c r="T200"/>
  <c r="T201"/>
  <c r="T202"/>
  <c r="T203"/>
  <c r="T204"/>
  <c r="T208"/>
  <c r="T209"/>
  <c r="T210"/>
  <c r="T211"/>
  <c r="T212"/>
  <c r="T213"/>
  <c r="T214"/>
  <c r="F72" i="31"/>
  <c r="F31"/>
  <c r="F125"/>
  <c r="F50"/>
  <c r="F48"/>
  <c r="F23"/>
  <c r="E23"/>
  <c r="F17"/>
  <c r="F47"/>
  <c r="F109"/>
  <c r="F155"/>
  <c r="F165"/>
  <c r="F176"/>
  <c r="F86"/>
  <c r="F83"/>
  <c r="F80"/>
  <c r="F76"/>
  <c r="F74" s="1"/>
  <c r="E74"/>
  <c r="F75"/>
  <c r="F77" s="1"/>
  <c r="F144"/>
  <c r="E144"/>
  <c r="P209" i="34" l="1"/>
  <c r="H209"/>
  <c r="K207" i="35"/>
  <c r="L207" s="1"/>
  <c r="J213"/>
  <c r="P209"/>
  <c r="H209"/>
  <c r="J207" i="34"/>
  <c r="J213" s="1"/>
  <c r="G213"/>
  <c r="I212" i="33"/>
  <c r="K208"/>
  <c r="L208" s="1"/>
  <c r="I211" i="32"/>
  <c r="Q211" i="33" s="1"/>
  <c r="Q212"/>
  <c r="I213"/>
  <c r="K213" s="1"/>
  <c r="L213" s="1"/>
  <c r="G97"/>
  <c r="H97" i="32"/>
  <c r="D205" i="33"/>
  <c r="F8"/>
  <c r="G9"/>
  <c r="E207"/>
  <c r="G154" i="32"/>
  <c r="S72"/>
  <c r="J72"/>
  <c r="K72" s="1"/>
  <c r="L72" s="1"/>
  <c r="G72"/>
  <c r="G74"/>
  <c r="S74"/>
  <c r="G211"/>
  <c r="S211"/>
  <c r="S120"/>
  <c r="F119"/>
  <c r="G120"/>
  <c r="J120"/>
  <c r="G50"/>
  <c r="S50"/>
  <c r="G37"/>
  <c r="S37"/>
  <c r="G10"/>
  <c r="G213"/>
  <c r="R213"/>
  <c r="D207"/>
  <c r="Q207" s="1"/>
  <c r="Q205"/>
  <c r="K212"/>
  <c r="L212" s="1"/>
  <c r="K211"/>
  <c r="L211" s="1"/>
  <c r="I8"/>
  <c r="I205" s="1"/>
  <c r="I207" s="1"/>
  <c r="I213" s="1"/>
  <c r="H139"/>
  <c r="H138" s="1"/>
  <c r="N221"/>
  <c r="H53"/>
  <c r="H9"/>
  <c r="H8" s="1"/>
  <c r="K111"/>
  <c r="L111" s="1"/>
  <c r="K41"/>
  <c r="J37"/>
  <c r="K37" s="1"/>
  <c r="L37" s="1"/>
  <c r="F139"/>
  <c r="P139" s="1"/>
  <c r="F9"/>
  <c r="N225"/>
  <c r="K11"/>
  <c r="L11" s="1"/>
  <c r="T74" i="30"/>
  <c r="T80"/>
  <c r="T50"/>
  <c r="T14"/>
  <c r="F159"/>
  <c r="F75"/>
  <c r="F74"/>
  <c r="E74"/>
  <c r="F80"/>
  <c r="F79"/>
  <c r="G82"/>
  <c r="F83"/>
  <c r="F86"/>
  <c r="F76"/>
  <c r="E144"/>
  <c r="F144"/>
  <c r="J210" i="31"/>
  <c r="J208"/>
  <c r="J204"/>
  <c r="J203"/>
  <c r="J202"/>
  <c r="J201"/>
  <c r="J200"/>
  <c r="J199"/>
  <c r="J198"/>
  <c r="J197"/>
  <c r="J196"/>
  <c r="J195"/>
  <c r="J194"/>
  <c r="J193"/>
  <c r="J191"/>
  <c r="J190"/>
  <c r="J189"/>
  <c r="J187"/>
  <c r="J186"/>
  <c r="J185"/>
  <c r="J183"/>
  <c r="J182"/>
  <c r="J181"/>
  <c r="J180"/>
  <c r="J178"/>
  <c r="J176"/>
  <c r="J175"/>
  <c r="J174"/>
  <c r="J173"/>
  <c r="J170"/>
  <c r="J169"/>
  <c r="J167"/>
  <c r="J166"/>
  <c r="J164"/>
  <c r="J163"/>
  <c r="J161"/>
  <c r="J160"/>
  <c r="J158"/>
  <c r="J157"/>
  <c r="J155"/>
  <c r="J153"/>
  <c r="J152"/>
  <c r="J150"/>
  <c r="J149"/>
  <c r="J148"/>
  <c r="J147"/>
  <c r="J146"/>
  <c r="J145"/>
  <c r="J143"/>
  <c r="J142"/>
  <c r="J141"/>
  <c r="I210"/>
  <c r="I208"/>
  <c r="I206"/>
  <c r="J137"/>
  <c r="J136"/>
  <c r="J135"/>
  <c r="J134"/>
  <c r="J133"/>
  <c r="J132"/>
  <c r="J131"/>
  <c r="J130"/>
  <c r="J129"/>
  <c r="J128"/>
  <c r="J127"/>
  <c r="J126"/>
  <c r="J124"/>
  <c r="J123"/>
  <c r="J118"/>
  <c r="J117"/>
  <c r="J116"/>
  <c r="J114"/>
  <c r="J113"/>
  <c r="J112"/>
  <c r="J107"/>
  <c r="J106"/>
  <c r="J105"/>
  <c r="J103"/>
  <c r="J102"/>
  <c r="J101"/>
  <c r="J100"/>
  <c r="J98"/>
  <c r="J96"/>
  <c r="J94"/>
  <c r="J92"/>
  <c r="J91"/>
  <c r="J90"/>
  <c r="J89"/>
  <c r="J85"/>
  <c r="J84"/>
  <c r="J82"/>
  <c r="J81"/>
  <c r="J79"/>
  <c r="J78"/>
  <c r="J76"/>
  <c r="J75"/>
  <c r="J72"/>
  <c r="J70"/>
  <c r="J69"/>
  <c r="J67"/>
  <c r="J66"/>
  <c r="J64"/>
  <c r="J63"/>
  <c r="J61"/>
  <c r="J60"/>
  <c r="J58"/>
  <c r="J57"/>
  <c r="J55"/>
  <c r="J54"/>
  <c r="J49"/>
  <c r="J46"/>
  <c r="J45"/>
  <c r="J43"/>
  <c r="J42"/>
  <c r="J39"/>
  <c r="J38"/>
  <c r="J36"/>
  <c r="J34"/>
  <c r="J33"/>
  <c r="J32"/>
  <c r="J31"/>
  <c r="J28"/>
  <c r="J27"/>
  <c r="J25"/>
  <c r="J24"/>
  <c r="J22"/>
  <c r="J21"/>
  <c r="J19"/>
  <c r="J18"/>
  <c r="J16"/>
  <c r="J15"/>
  <c r="J13"/>
  <c r="J12"/>
  <c r="I200"/>
  <c r="I199"/>
  <c r="I198"/>
  <c r="I197"/>
  <c r="I196"/>
  <c r="I195"/>
  <c r="I194"/>
  <c r="I193"/>
  <c r="I191"/>
  <c r="I190"/>
  <c r="I184"/>
  <c r="I183"/>
  <c r="I182"/>
  <c r="I181"/>
  <c r="I180"/>
  <c r="I176"/>
  <c r="I172"/>
  <c r="I156"/>
  <c r="I155"/>
  <c r="I151"/>
  <c r="I150"/>
  <c r="I149"/>
  <c r="I148"/>
  <c r="I147"/>
  <c r="I146"/>
  <c r="I145"/>
  <c r="I142"/>
  <c r="I141"/>
  <c r="I137"/>
  <c r="I136"/>
  <c r="I135"/>
  <c r="I134"/>
  <c r="I133"/>
  <c r="I132"/>
  <c r="I131"/>
  <c r="I130"/>
  <c r="I129"/>
  <c r="I128"/>
  <c r="I127"/>
  <c r="I126"/>
  <c r="I125"/>
  <c r="I124"/>
  <c r="I123"/>
  <c r="I119"/>
  <c r="I115"/>
  <c r="I111"/>
  <c r="I109"/>
  <c r="I108"/>
  <c r="I107"/>
  <c r="I106"/>
  <c r="I105"/>
  <c r="I103"/>
  <c r="I99"/>
  <c r="I98"/>
  <c r="I96"/>
  <c r="I94"/>
  <c r="I92"/>
  <c r="I91"/>
  <c r="I90"/>
  <c r="I89"/>
  <c r="I88"/>
  <c r="I72"/>
  <c r="I45"/>
  <c r="I38"/>
  <c r="I36"/>
  <c r="I30"/>
  <c r="I11"/>
  <c r="K213" i="35" l="1"/>
  <c r="L213" s="1"/>
  <c r="J209"/>
  <c r="K209" s="1"/>
  <c r="L209" s="1"/>
  <c r="J209" i="34"/>
  <c r="R128" i="33"/>
  <c r="S128" i="32"/>
  <c r="J128"/>
  <c r="R197" i="33"/>
  <c r="S197" i="32"/>
  <c r="J197"/>
  <c r="R201" i="33"/>
  <c r="S201" i="32"/>
  <c r="J201"/>
  <c r="R196" i="33"/>
  <c r="S196" i="32"/>
  <c r="J196"/>
  <c r="R204" i="33"/>
  <c r="S204" i="32"/>
  <c r="J204"/>
  <c r="R199" i="33"/>
  <c r="S199" i="32"/>
  <c r="J199"/>
  <c r="R203" i="33"/>
  <c r="S203" i="32"/>
  <c r="J203"/>
  <c r="R198" i="33"/>
  <c r="S198" i="32"/>
  <c r="J198"/>
  <c r="R202" i="33"/>
  <c r="S202" i="32"/>
  <c r="J202"/>
  <c r="R189" i="33"/>
  <c r="S189" i="32"/>
  <c r="J189"/>
  <c r="R187" i="33"/>
  <c r="S187" i="32"/>
  <c r="J187"/>
  <c r="R186" i="33"/>
  <c r="S186" i="32"/>
  <c r="J186"/>
  <c r="R185" i="33"/>
  <c r="S185" i="32"/>
  <c r="J185"/>
  <c r="R182" i="33"/>
  <c r="S182" i="32"/>
  <c r="J182"/>
  <c r="R181" i="33"/>
  <c r="S181" i="32"/>
  <c r="J181"/>
  <c r="R180" i="33"/>
  <c r="S180" i="32"/>
  <c r="J180"/>
  <c r="R176" i="33"/>
  <c r="S176" i="32"/>
  <c r="J176"/>
  <c r="R175" i="33"/>
  <c r="S175" i="32"/>
  <c r="J175"/>
  <c r="R174" i="33"/>
  <c r="S174" i="32"/>
  <c r="J174"/>
  <c r="R173" i="33"/>
  <c r="S173" i="32"/>
  <c r="J173"/>
  <c r="R169" i="33"/>
  <c r="S169" i="32"/>
  <c r="J169"/>
  <c r="R170" i="33"/>
  <c r="S170" i="32"/>
  <c r="J170"/>
  <c r="R167" i="33"/>
  <c r="S167" i="32"/>
  <c r="J167"/>
  <c r="R166" i="33"/>
  <c r="S166" i="32"/>
  <c r="J166"/>
  <c r="R163" i="33"/>
  <c r="J163" i="32"/>
  <c r="S163"/>
  <c r="R164" i="33"/>
  <c r="S164" i="32"/>
  <c r="J164"/>
  <c r="R161" i="33"/>
  <c r="S161" i="32"/>
  <c r="J161"/>
  <c r="R160" i="33"/>
  <c r="S160" i="32"/>
  <c r="J160"/>
  <c r="R157" i="33"/>
  <c r="S157" i="32"/>
  <c r="J157"/>
  <c r="R158" i="33"/>
  <c r="S158" i="32"/>
  <c r="J158"/>
  <c r="R152" i="33"/>
  <c r="S152" i="32"/>
  <c r="J152"/>
  <c r="R153" i="33"/>
  <c r="S153" i="32"/>
  <c r="J153"/>
  <c r="R141" i="33"/>
  <c r="S141" i="32"/>
  <c r="J141"/>
  <c r="R75" i="33"/>
  <c r="S75" i="32"/>
  <c r="J75"/>
  <c r="R142" i="33"/>
  <c r="S142" i="32"/>
  <c r="J142"/>
  <c r="R149" i="33"/>
  <c r="S149" i="32"/>
  <c r="J149"/>
  <c r="J149" i="33" s="1"/>
  <c r="R146"/>
  <c r="S146" i="32"/>
  <c r="J146"/>
  <c r="R36" i="33"/>
  <c r="S36" i="32"/>
  <c r="J36"/>
  <c r="R92" i="33"/>
  <c r="S92" i="32"/>
  <c r="J92"/>
  <c r="I211" i="33"/>
  <c r="K211" s="1"/>
  <c r="L211" s="1"/>
  <c r="K212"/>
  <c r="L212" s="1"/>
  <c r="K213" i="32"/>
  <c r="L213" s="1"/>
  <c r="R148" i="33"/>
  <c r="S148" i="32"/>
  <c r="J148"/>
  <c r="J148" i="33" s="1"/>
  <c r="K148" s="1"/>
  <c r="L148" s="1"/>
  <c r="R183"/>
  <c r="S183" i="32"/>
  <c r="J183"/>
  <c r="J183" i="33" s="1"/>
  <c r="K183" s="1"/>
  <c r="L183" s="1"/>
  <c r="K190"/>
  <c r="L190" s="1"/>
  <c r="R190"/>
  <c r="S190" i="32"/>
  <c r="J190"/>
  <c r="J190" i="33" s="1"/>
  <c r="R191"/>
  <c r="S191" i="32"/>
  <c r="J191"/>
  <c r="J191" i="33" s="1"/>
  <c r="K191" s="1"/>
  <c r="L191" s="1"/>
  <c r="R145"/>
  <c r="J145" i="32"/>
  <c r="J145" i="33" s="1"/>
  <c r="J220" s="1"/>
  <c r="S145" i="32"/>
  <c r="R147" i="33"/>
  <c r="S147" i="32"/>
  <c r="J147"/>
  <c r="J147" i="33" s="1"/>
  <c r="K147" s="1"/>
  <c r="L147" s="1"/>
  <c r="R193"/>
  <c r="S193" i="32"/>
  <c r="J193"/>
  <c r="J193" i="33" s="1"/>
  <c r="K193" s="1"/>
  <c r="L193" s="1"/>
  <c r="R195"/>
  <c r="S195" i="32"/>
  <c r="J195"/>
  <c r="R194" i="33"/>
  <c r="S194" i="32"/>
  <c r="J194"/>
  <c r="J194" i="33" s="1"/>
  <c r="R150"/>
  <c r="S150" i="32"/>
  <c r="J150"/>
  <c r="J150" i="33" s="1"/>
  <c r="K150" s="1"/>
  <c r="L150" s="1"/>
  <c r="R200"/>
  <c r="S200" i="32"/>
  <c r="J200"/>
  <c r="J200" i="33" s="1"/>
  <c r="R90"/>
  <c r="S90" i="32"/>
  <c r="J90"/>
  <c r="J90" i="33" s="1"/>
  <c r="K90" s="1"/>
  <c r="L90" s="1"/>
  <c r="R89"/>
  <c r="S89" i="32"/>
  <c r="J89"/>
  <c r="J89" i="33" s="1"/>
  <c r="K89" s="1"/>
  <c r="L89" s="1"/>
  <c r="R91"/>
  <c r="S91" i="32"/>
  <c r="J91"/>
  <c r="J91" i="33" s="1"/>
  <c r="R155"/>
  <c r="S155" i="32"/>
  <c r="J155"/>
  <c r="R96" i="33"/>
  <c r="S96" i="32"/>
  <c r="R34" i="33"/>
  <c r="K34"/>
  <c r="S34" i="32"/>
  <c r="J34"/>
  <c r="K34" s="1"/>
  <c r="R31" i="33"/>
  <c r="S31" i="32"/>
  <c r="J31"/>
  <c r="R94" i="33"/>
  <c r="S94" i="32"/>
  <c r="J94"/>
  <c r="J94" i="33" s="1"/>
  <c r="R49"/>
  <c r="K49"/>
  <c r="S49" i="32"/>
  <c r="J49"/>
  <c r="K49" s="1"/>
  <c r="K46" i="33"/>
  <c r="R46"/>
  <c r="S46" i="32"/>
  <c r="J46"/>
  <c r="K46" s="1"/>
  <c r="K19" i="33"/>
  <c r="R19"/>
  <c r="S19" i="32"/>
  <c r="J19"/>
  <c r="K19" s="1"/>
  <c r="E209" i="33"/>
  <c r="F205"/>
  <c r="D207"/>
  <c r="J119" i="32"/>
  <c r="K120"/>
  <c r="L120" s="1"/>
  <c r="S119"/>
  <c r="G119"/>
  <c r="F110"/>
  <c r="D213"/>
  <c r="Q213" s="1"/>
  <c r="D209"/>
  <c r="Q209" s="1"/>
  <c r="I209"/>
  <c r="K209" s="1"/>
  <c r="L209" s="1"/>
  <c r="H205"/>
  <c r="H207" s="1"/>
  <c r="H213" s="1"/>
  <c r="G139"/>
  <c r="F138"/>
  <c r="G9"/>
  <c r="F77" i="30"/>
  <c r="I104" i="31"/>
  <c r="H139" i="30"/>
  <c r="I139"/>
  <c r="D139"/>
  <c r="H210" i="31"/>
  <c r="H208"/>
  <c r="H206"/>
  <c r="H204"/>
  <c r="H203"/>
  <c r="H202"/>
  <c r="H201"/>
  <c r="H200"/>
  <c r="H199"/>
  <c r="H198"/>
  <c r="H197"/>
  <c r="H196"/>
  <c r="H194"/>
  <c r="H193"/>
  <c r="H191"/>
  <c r="H190"/>
  <c r="H189"/>
  <c r="H187"/>
  <c r="H186"/>
  <c r="H185"/>
  <c r="H183"/>
  <c r="H182"/>
  <c r="H181"/>
  <c r="H180"/>
  <c r="H178"/>
  <c r="H176"/>
  <c r="H172"/>
  <c r="H170"/>
  <c r="H169"/>
  <c r="H167"/>
  <c r="H166"/>
  <c r="H164"/>
  <c r="H163"/>
  <c r="H161"/>
  <c r="H160"/>
  <c r="H158"/>
  <c r="H157"/>
  <c r="H155"/>
  <c r="H153"/>
  <c r="H152"/>
  <c r="H150"/>
  <c r="H149"/>
  <c r="H148"/>
  <c r="H147"/>
  <c r="H146"/>
  <c r="H145"/>
  <c r="H143"/>
  <c r="H142"/>
  <c r="H141"/>
  <c r="H137"/>
  <c r="H136"/>
  <c r="H135"/>
  <c r="H134"/>
  <c r="H133"/>
  <c r="H132"/>
  <c r="H131"/>
  <c r="H130"/>
  <c r="H129"/>
  <c r="H128"/>
  <c r="H127"/>
  <c r="H126"/>
  <c r="H125"/>
  <c r="H124"/>
  <c r="H123"/>
  <c r="H121"/>
  <c r="H120"/>
  <c r="H118"/>
  <c r="H117"/>
  <c r="H116"/>
  <c r="H111"/>
  <c r="H109"/>
  <c r="H108"/>
  <c r="H107"/>
  <c r="H106"/>
  <c r="H105"/>
  <c r="H103"/>
  <c r="H102"/>
  <c r="H101"/>
  <c r="H100"/>
  <c r="H98"/>
  <c r="H96"/>
  <c r="H94"/>
  <c r="H92"/>
  <c r="H91"/>
  <c r="H90"/>
  <c r="H89"/>
  <c r="H88"/>
  <c r="H85"/>
  <c r="H84"/>
  <c r="H82"/>
  <c r="H81"/>
  <c r="H79"/>
  <c r="H78"/>
  <c r="H76"/>
  <c r="H75"/>
  <c r="H70"/>
  <c r="H69"/>
  <c r="H67"/>
  <c r="H66"/>
  <c r="H64"/>
  <c r="H63"/>
  <c r="H61"/>
  <c r="H60"/>
  <c r="H58"/>
  <c r="H57"/>
  <c r="H55"/>
  <c r="H54"/>
  <c r="H49"/>
  <c r="H48"/>
  <c r="H46"/>
  <c r="H45"/>
  <c r="H43"/>
  <c r="H42"/>
  <c r="H39"/>
  <c r="H38"/>
  <c r="H36"/>
  <c r="H34"/>
  <c r="H33"/>
  <c r="H32"/>
  <c r="H31"/>
  <c r="H28"/>
  <c r="H27"/>
  <c r="H25"/>
  <c r="H24"/>
  <c r="H22"/>
  <c r="H21"/>
  <c r="H19"/>
  <c r="H18"/>
  <c r="H16"/>
  <c r="H15"/>
  <c r="H13"/>
  <c r="H12"/>
  <c r="F121"/>
  <c r="K128" i="32" l="1"/>
  <c r="L128" s="1"/>
  <c r="J128" i="33"/>
  <c r="K195" i="32"/>
  <c r="L195" s="1"/>
  <c r="J195" i="33"/>
  <c r="K195" s="1"/>
  <c r="L195" s="1"/>
  <c r="K198" i="32"/>
  <c r="L198" s="1"/>
  <c r="J198" i="33"/>
  <c r="K198" s="1"/>
  <c r="L198" s="1"/>
  <c r="J196"/>
  <c r="K196" s="1"/>
  <c r="L196" s="1"/>
  <c r="K196" i="32"/>
  <c r="L196" s="1"/>
  <c r="J203" i="33"/>
  <c r="K203" s="1"/>
  <c r="L203" s="1"/>
  <c r="K203" i="32"/>
  <c r="L203" s="1"/>
  <c r="J201" i="33"/>
  <c r="K201" s="1"/>
  <c r="L201" s="1"/>
  <c r="K201" i="32"/>
  <c r="L201" s="1"/>
  <c r="J199" i="33"/>
  <c r="K199" s="1"/>
  <c r="K199" i="32"/>
  <c r="K197"/>
  <c r="L197" s="1"/>
  <c r="J197" i="33"/>
  <c r="K197" s="1"/>
  <c r="L197" s="1"/>
  <c r="K202" i="32"/>
  <c r="L202" s="1"/>
  <c r="J202" i="33"/>
  <c r="K202" s="1"/>
  <c r="L202" s="1"/>
  <c r="J204"/>
  <c r="K204" s="1"/>
  <c r="K204" i="32"/>
  <c r="K189"/>
  <c r="J189" i="33"/>
  <c r="K189" s="1"/>
  <c r="K187" i="32"/>
  <c r="J187" i="33"/>
  <c r="K187" s="1"/>
  <c r="J185"/>
  <c r="J184" i="32"/>
  <c r="K184" s="1"/>
  <c r="L184" s="1"/>
  <c r="K185"/>
  <c r="J186" i="33"/>
  <c r="K186" s="1"/>
  <c r="K186" i="32"/>
  <c r="J180" i="33"/>
  <c r="K180" i="32"/>
  <c r="L180" s="1"/>
  <c r="J179"/>
  <c r="K179" s="1"/>
  <c r="L179" s="1"/>
  <c r="J181" i="33"/>
  <c r="K181" s="1"/>
  <c r="L181" s="1"/>
  <c r="K181" i="32"/>
  <c r="L181" s="1"/>
  <c r="J182" i="33"/>
  <c r="K182" s="1"/>
  <c r="L182" s="1"/>
  <c r="K182" i="32"/>
  <c r="L182" s="1"/>
  <c r="J174" i="33"/>
  <c r="K174" s="1"/>
  <c r="K174" i="32"/>
  <c r="J175" i="33"/>
  <c r="K175" s="1"/>
  <c r="K175" i="32"/>
  <c r="J176" i="33"/>
  <c r="K176" s="1"/>
  <c r="L176" s="1"/>
  <c r="K176" i="32"/>
  <c r="L176" s="1"/>
  <c r="J172"/>
  <c r="K172" s="1"/>
  <c r="L172" s="1"/>
  <c r="J173" i="33"/>
  <c r="K173" i="32"/>
  <c r="O169"/>
  <c r="J169" i="33"/>
  <c r="K169" i="32"/>
  <c r="J171"/>
  <c r="K171" s="1"/>
  <c r="K170"/>
  <c r="J170" i="33"/>
  <c r="K170" s="1"/>
  <c r="J168" i="32"/>
  <c r="K168" s="1"/>
  <c r="J166" i="33"/>
  <c r="K166" i="32"/>
  <c r="K167"/>
  <c r="J167" i="33"/>
  <c r="K167" s="1"/>
  <c r="J164"/>
  <c r="K164" s="1"/>
  <c r="K164" i="32"/>
  <c r="O163"/>
  <c r="J163" i="33"/>
  <c r="K163" i="32"/>
  <c r="J165"/>
  <c r="K165" s="1"/>
  <c r="K160"/>
  <c r="J160" i="33"/>
  <c r="K160" s="1"/>
  <c r="K161" i="32"/>
  <c r="J161" i="33"/>
  <c r="K161" s="1"/>
  <c r="K158" i="32"/>
  <c r="J158" i="33"/>
  <c r="K158" s="1"/>
  <c r="J157"/>
  <c r="K157" i="32"/>
  <c r="J156"/>
  <c r="K156" s="1"/>
  <c r="L156" s="1"/>
  <c r="J159"/>
  <c r="K159" s="1"/>
  <c r="K153"/>
  <c r="J153" i="33"/>
  <c r="K153" s="1"/>
  <c r="J152"/>
  <c r="K152" i="32"/>
  <c r="J151"/>
  <c r="K151" s="1"/>
  <c r="L151" s="1"/>
  <c r="J141" i="33"/>
  <c r="K141" i="32"/>
  <c r="L141" s="1"/>
  <c r="J140"/>
  <c r="K140" s="1"/>
  <c r="L140" s="1"/>
  <c r="J142" i="33"/>
  <c r="K142" s="1"/>
  <c r="L142" s="1"/>
  <c r="K142" i="32"/>
  <c r="L142" s="1"/>
  <c r="J75" i="33"/>
  <c r="J73" i="32"/>
  <c r="K73" s="1"/>
  <c r="K75"/>
  <c r="J146" i="33"/>
  <c r="K146" s="1"/>
  <c r="L146" s="1"/>
  <c r="K146" i="32"/>
  <c r="L146" s="1"/>
  <c r="K145" i="33"/>
  <c r="L145" s="1"/>
  <c r="J35" i="32"/>
  <c r="K35" s="1"/>
  <c r="L35" s="1"/>
  <c r="J36" i="33"/>
  <c r="O36" i="32"/>
  <c r="K36"/>
  <c r="L36" s="1"/>
  <c r="P92"/>
  <c r="J92" i="33"/>
  <c r="O148" i="32"/>
  <c r="K148"/>
  <c r="L148" s="1"/>
  <c r="O183"/>
  <c r="K183"/>
  <c r="L183" s="1"/>
  <c r="O190"/>
  <c r="K190"/>
  <c r="L190" s="1"/>
  <c r="O191"/>
  <c r="K191"/>
  <c r="L191" s="1"/>
  <c r="J220"/>
  <c r="P145"/>
  <c r="K145"/>
  <c r="L145" s="1"/>
  <c r="K147"/>
  <c r="L147" s="1"/>
  <c r="O193"/>
  <c r="K193"/>
  <c r="L193" s="1"/>
  <c r="K194" i="33"/>
  <c r="L194" s="1"/>
  <c r="K194" i="32"/>
  <c r="L194" s="1"/>
  <c r="J192"/>
  <c r="K192" s="1"/>
  <c r="L192" s="1"/>
  <c r="O150"/>
  <c r="K150"/>
  <c r="L150" s="1"/>
  <c r="K200" i="33"/>
  <c r="L200" s="1"/>
  <c r="O200" i="32"/>
  <c r="K200"/>
  <c r="L200" s="1"/>
  <c r="O90"/>
  <c r="K90"/>
  <c r="L90" s="1"/>
  <c r="K89"/>
  <c r="L89" s="1"/>
  <c r="O89"/>
  <c r="K91" i="33"/>
  <c r="L91" s="1"/>
  <c r="O91" i="32"/>
  <c r="K91"/>
  <c r="L91" s="1"/>
  <c r="K155"/>
  <c r="L155" s="1"/>
  <c r="J154"/>
  <c r="K155" i="33"/>
  <c r="L155" s="1"/>
  <c r="J154"/>
  <c r="K96"/>
  <c r="L96" s="1"/>
  <c r="J95"/>
  <c r="K95" s="1"/>
  <c r="L95" s="1"/>
  <c r="K96" i="32"/>
  <c r="L96" s="1"/>
  <c r="J95"/>
  <c r="K95" s="1"/>
  <c r="L95" s="1"/>
  <c r="O31"/>
  <c r="K31"/>
  <c r="J30"/>
  <c r="K31" i="33"/>
  <c r="J30"/>
  <c r="J93"/>
  <c r="K94"/>
  <c r="L94" s="1"/>
  <c r="J93" i="32"/>
  <c r="K93" s="1"/>
  <c r="L93" s="1"/>
  <c r="O94"/>
  <c r="K94"/>
  <c r="L94" s="1"/>
  <c r="E213" i="33"/>
  <c r="Q213" s="1"/>
  <c r="G209"/>
  <c r="D213"/>
  <c r="D209"/>
  <c r="G205"/>
  <c r="F206"/>
  <c r="G110" i="32"/>
  <c r="F97"/>
  <c r="K119"/>
  <c r="L119" s="1"/>
  <c r="J110"/>
  <c r="G138"/>
  <c r="F120" i="31"/>
  <c r="J120" s="1"/>
  <c r="J121"/>
  <c r="G149"/>
  <c r="J98" i="30"/>
  <c r="J87"/>
  <c r="J99" i="31"/>
  <c r="F99"/>
  <c r="K128" i="33" l="1"/>
  <c r="L128" s="1"/>
  <c r="J110"/>
  <c r="J188" i="32"/>
  <c r="K188" s="1"/>
  <c r="L188" s="1"/>
  <c r="J192" i="33"/>
  <c r="K192" s="1"/>
  <c r="L192" s="1"/>
  <c r="K185"/>
  <c r="J184"/>
  <c r="K184" s="1"/>
  <c r="L184" s="1"/>
  <c r="J179"/>
  <c r="K179" s="1"/>
  <c r="L179" s="1"/>
  <c r="K180"/>
  <c r="L180" s="1"/>
  <c r="K173"/>
  <c r="J172"/>
  <c r="K172" s="1"/>
  <c r="L172" s="1"/>
  <c r="K169"/>
  <c r="J171"/>
  <c r="K171" s="1"/>
  <c r="K166"/>
  <c r="J168"/>
  <c r="K168" s="1"/>
  <c r="K163"/>
  <c r="J165"/>
  <c r="K165" s="1"/>
  <c r="K157"/>
  <c r="J159"/>
  <c r="K159" s="1"/>
  <c r="J156"/>
  <c r="K156" s="1"/>
  <c r="L156" s="1"/>
  <c r="K152"/>
  <c r="J151"/>
  <c r="K151" s="1"/>
  <c r="L151" s="1"/>
  <c r="K141"/>
  <c r="L141" s="1"/>
  <c r="J140"/>
  <c r="K140" s="1"/>
  <c r="L140" s="1"/>
  <c r="K75"/>
  <c r="J73"/>
  <c r="K73" s="1"/>
  <c r="K36"/>
  <c r="L36" s="1"/>
  <c r="J35"/>
  <c r="K35" s="1"/>
  <c r="L35" s="1"/>
  <c r="F207"/>
  <c r="G207" s="1"/>
  <c r="K154"/>
  <c r="L154" s="1"/>
  <c r="K154" i="32"/>
  <c r="L154" s="1"/>
  <c r="K30" i="33"/>
  <c r="L30" s="1"/>
  <c r="J10"/>
  <c r="K30" i="32"/>
  <c r="L30" s="1"/>
  <c r="J10"/>
  <c r="K93" i="33"/>
  <c r="L93" s="1"/>
  <c r="G213"/>
  <c r="G206"/>
  <c r="K110" i="32"/>
  <c r="L110" s="1"/>
  <c r="J97"/>
  <c r="G97"/>
  <c r="F8"/>
  <c r="T87" i="30"/>
  <c r="F87" i="31"/>
  <c r="J88"/>
  <c r="I224"/>
  <c r="H220"/>
  <c r="H221" s="1"/>
  <c r="H225" s="1"/>
  <c r="D220"/>
  <c r="H219"/>
  <c r="D219"/>
  <c r="K215"/>
  <c r="J215"/>
  <c r="I215"/>
  <c r="H215"/>
  <c r="H218" s="1"/>
  <c r="I221" s="1"/>
  <c r="G215"/>
  <c r="F215"/>
  <c r="E215"/>
  <c r="D215"/>
  <c r="D218" s="1"/>
  <c r="J212"/>
  <c r="J211" s="1"/>
  <c r="I212"/>
  <c r="I211" s="1"/>
  <c r="H212"/>
  <c r="H211" s="1"/>
  <c r="F212"/>
  <c r="F211" s="1"/>
  <c r="E212"/>
  <c r="E211" s="1"/>
  <c r="D212"/>
  <c r="D211" s="1"/>
  <c r="K210"/>
  <c r="L210" s="1"/>
  <c r="G210"/>
  <c r="J209"/>
  <c r="F209"/>
  <c r="K208"/>
  <c r="L208" s="1"/>
  <c r="G208"/>
  <c r="K204"/>
  <c r="G204"/>
  <c r="K203"/>
  <c r="L203" s="1"/>
  <c r="G203"/>
  <c r="K202"/>
  <c r="L202" s="1"/>
  <c r="G202"/>
  <c r="K201"/>
  <c r="L201" s="1"/>
  <c r="G201"/>
  <c r="K200"/>
  <c r="L200" s="1"/>
  <c r="G200"/>
  <c r="K199"/>
  <c r="G199"/>
  <c r="K198"/>
  <c r="L198" s="1"/>
  <c r="G198"/>
  <c r="K197"/>
  <c r="L197" s="1"/>
  <c r="G197"/>
  <c r="K196"/>
  <c r="L196" s="1"/>
  <c r="G196"/>
  <c r="K195"/>
  <c r="L195" s="1"/>
  <c r="G195"/>
  <c r="K194"/>
  <c r="L194" s="1"/>
  <c r="G194"/>
  <c r="K193"/>
  <c r="L193" s="1"/>
  <c r="G193"/>
  <c r="J192"/>
  <c r="I192"/>
  <c r="I188" s="1"/>
  <c r="H192"/>
  <c r="F192"/>
  <c r="F188" s="1"/>
  <c r="E192"/>
  <c r="E188" s="1"/>
  <c r="D192"/>
  <c r="D188" s="1"/>
  <c r="K191"/>
  <c r="L191" s="1"/>
  <c r="G191"/>
  <c r="K190"/>
  <c r="L190" s="1"/>
  <c r="G190"/>
  <c r="K189"/>
  <c r="G189"/>
  <c r="H188"/>
  <c r="K187"/>
  <c r="G187"/>
  <c r="K186"/>
  <c r="G186"/>
  <c r="K185"/>
  <c r="G185"/>
  <c r="J184"/>
  <c r="H184"/>
  <c r="F184"/>
  <c r="G184" s="1"/>
  <c r="D184"/>
  <c r="K183"/>
  <c r="L183" s="1"/>
  <c r="G183"/>
  <c r="K182"/>
  <c r="L182" s="1"/>
  <c r="G182"/>
  <c r="K181"/>
  <c r="L181" s="1"/>
  <c r="G181"/>
  <c r="K180"/>
  <c r="L180" s="1"/>
  <c r="G180"/>
  <c r="J179"/>
  <c r="I179"/>
  <c r="H179"/>
  <c r="F179"/>
  <c r="G179" s="1"/>
  <c r="E179"/>
  <c r="D179"/>
  <c r="K178"/>
  <c r="G178"/>
  <c r="K177"/>
  <c r="H177"/>
  <c r="G177"/>
  <c r="D177"/>
  <c r="K176"/>
  <c r="L176" s="1"/>
  <c r="G176"/>
  <c r="K175"/>
  <c r="G175"/>
  <c r="K174"/>
  <c r="G174"/>
  <c r="K173"/>
  <c r="G173"/>
  <c r="J172"/>
  <c r="F172"/>
  <c r="G172" s="1"/>
  <c r="K171"/>
  <c r="H171"/>
  <c r="G171"/>
  <c r="D171"/>
  <c r="K170"/>
  <c r="G170"/>
  <c r="K169"/>
  <c r="G169"/>
  <c r="K168"/>
  <c r="H168"/>
  <c r="G168"/>
  <c r="D168"/>
  <c r="K167"/>
  <c r="G167"/>
  <c r="K166"/>
  <c r="G166"/>
  <c r="K165"/>
  <c r="H165"/>
  <c r="G165"/>
  <c r="D165"/>
  <c r="K164"/>
  <c r="G164"/>
  <c r="K163"/>
  <c r="G163"/>
  <c r="K162"/>
  <c r="H162"/>
  <c r="G162"/>
  <c r="D162"/>
  <c r="K161"/>
  <c r="G161"/>
  <c r="K160"/>
  <c r="G160"/>
  <c r="K159"/>
  <c r="G159"/>
  <c r="K158"/>
  <c r="G158"/>
  <c r="K157"/>
  <c r="G157"/>
  <c r="J156"/>
  <c r="H156"/>
  <c r="F156"/>
  <c r="G156" s="1"/>
  <c r="D156"/>
  <c r="J154"/>
  <c r="G155"/>
  <c r="I154"/>
  <c r="H154"/>
  <c r="F154"/>
  <c r="G154" s="1"/>
  <c r="E154"/>
  <c r="D154"/>
  <c r="K153"/>
  <c r="G153"/>
  <c r="K152"/>
  <c r="G152"/>
  <c r="J151"/>
  <c r="H151"/>
  <c r="F151"/>
  <c r="G151" s="1"/>
  <c r="D151"/>
  <c r="K150"/>
  <c r="L150" s="1"/>
  <c r="G150"/>
  <c r="K148"/>
  <c r="L148" s="1"/>
  <c r="G148"/>
  <c r="K147"/>
  <c r="L147" s="1"/>
  <c r="G147"/>
  <c r="K146"/>
  <c r="L146" s="1"/>
  <c r="G146"/>
  <c r="K145"/>
  <c r="L145" s="1"/>
  <c r="G145"/>
  <c r="K144"/>
  <c r="H144"/>
  <c r="G144"/>
  <c r="D144"/>
  <c r="K143"/>
  <c r="G143"/>
  <c r="K142"/>
  <c r="L142" s="1"/>
  <c r="G142"/>
  <c r="K141"/>
  <c r="L141" s="1"/>
  <c r="G141"/>
  <c r="J140"/>
  <c r="I140"/>
  <c r="H140"/>
  <c r="F140"/>
  <c r="E140"/>
  <c r="D140"/>
  <c r="K137"/>
  <c r="L137" s="1"/>
  <c r="G137"/>
  <c r="K136"/>
  <c r="L136" s="1"/>
  <c r="G136"/>
  <c r="K135"/>
  <c r="G135"/>
  <c r="K134"/>
  <c r="L134" s="1"/>
  <c r="G134"/>
  <c r="K133"/>
  <c r="G133"/>
  <c r="K132"/>
  <c r="G132"/>
  <c r="K131"/>
  <c r="L131" s="1"/>
  <c r="G131"/>
  <c r="K130"/>
  <c r="L130" s="1"/>
  <c r="G130"/>
  <c r="L129"/>
  <c r="K129"/>
  <c r="G129"/>
  <c r="K128"/>
  <c r="L128" s="1"/>
  <c r="G128"/>
  <c r="K127"/>
  <c r="L127" s="1"/>
  <c r="G127"/>
  <c r="K126"/>
  <c r="L126" s="1"/>
  <c r="G126"/>
  <c r="K124"/>
  <c r="L124" s="1"/>
  <c r="G124"/>
  <c r="K123"/>
  <c r="L123" s="1"/>
  <c r="G123"/>
  <c r="K122"/>
  <c r="L122" s="1"/>
  <c r="G122"/>
  <c r="E121"/>
  <c r="J119"/>
  <c r="K119" s="1"/>
  <c r="L119" s="1"/>
  <c r="H119"/>
  <c r="F119"/>
  <c r="G119" s="1"/>
  <c r="D119"/>
  <c r="K118"/>
  <c r="G118"/>
  <c r="K117"/>
  <c r="G117"/>
  <c r="K116"/>
  <c r="G116"/>
  <c r="J115"/>
  <c r="K115" s="1"/>
  <c r="L115" s="1"/>
  <c r="H115"/>
  <c r="F115"/>
  <c r="G115" s="1"/>
  <c r="D115"/>
  <c r="K114"/>
  <c r="G114"/>
  <c r="K113"/>
  <c r="G113"/>
  <c r="K112"/>
  <c r="G112"/>
  <c r="J111"/>
  <c r="K111" s="1"/>
  <c r="L111" s="1"/>
  <c r="F111"/>
  <c r="G111" s="1"/>
  <c r="I110"/>
  <c r="E110"/>
  <c r="K109"/>
  <c r="L109" s="1"/>
  <c r="G109"/>
  <c r="K108"/>
  <c r="L108" s="1"/>
  <c r="G108"/>
  <c r="K107"/>
  <c r="L107" s="1"/>
  <c r="G107"/>
  <c r="K106"/>
  <c r="L106" s="1"/>
  <c r="G106"/>
  <c r="K105"/>
  <c r="L105" s="1"/>
  <c r="G105"/>
  <c r="J104"/>
  <c r="H104"/>
  <c r="F104"/>
  <c r="E104"/>
  <c r="D104"/>
  <c r="K103"/>
  <c r="L103" s="1"/>
  <c r="G103"/>
  <c r="K102"/>
  <c r="G102"/>
  <c r="K101"/>
  <c r="G101"/>
  <c r="K100"/>
  <c r="G100"/>
  <c r="K99"/>
  <c r="L99" s="1"/>
  <c r="H99"/>
  <c r="G99"/>
  <c r="D99"/>
  <c r="K98"/>
  <c r="L98" s="1"/>
  <c r="G98"/>
  <c r="K96"/>
  <c r="L96" s="1"/>
  <c r="G96"/>
  <c r="J95"/>
  <c r="I95"/>
  <c r="H95"/>
  <c r="F95"/>
  <c r="E95"/>
  <c r="D95"/>
  <c r="K94"/>
  <c r="L94" s="1"/>
  <c r="G94"/>
  <c r="J93"/>
  <c r="I93"/>
  <c r="H93"/>
  <c r="F93"/>
  <c r="E93"/>
  <c r="D93"/>
  <c r="K91"/>
  <c r="L91" s="1"/>
  <c r="G91"/>
  <c r="K90"/>
  <c r="L90" s="1"/>
  <c r="G90"/>
  <c r="K89"/>
  <c r="L89" s="1"/>
  <c r="G89"/>
  <c r="G88"/>
  <c r="I87"/>
  <c r="H87"/>
  <c r="E87"/>
  <c r="D87"/>
  <c r="K86"/>
  <c r="H86"/>
  <c r="G86"/>
  <c r="D86"/>
  <c r="K85"/>
  <c r="G85"/>
  <c r="K84"/>
  <c r="G84"/>
  <c r="K83"/>
  <c r="H83"/>
  <c r="G83"/>
  <c r="D83"/>
  <c r="K82"/>
  <c r="G82"/>
  <c r="K81"/>
  <c r="G81"/>
  <c r="K80"/>
  <c r="H80"/>
  <c r="G80"/>
  <c r="D80"/>
  <c r="K79"/>
  <c r="G79"/>
  <c r="K78"/>
  <c r="G78"/>
  <c r="K77"/>
  <c r="H77"/>
  <c r="G77"/>
  <c r="D77"/>
  <c r="K76"/>
  <c r="G76"/>
  <c r="K75"/>
  <c r="G75"/>
  <c r="K74"/>
  <c r="H74"/>
  <c r="G74"/>
  <c r="D74"/>
  <c r="J73"/>
  <c r="I73"/>
  <c r="H73"/>
  <c r="H72" s="1"/>
  <c r="F73"/>
  <c r="E73"/>
  <c r="D73"/>
  <c r="D72" s="1"/>
  <c r="K72"/>
  <c r="L72" s="1"/>
  <c r="G72"/>
  <c r="K71"/>
  <c r="H71"/>
  <c r="G71"/>
  <c r="D71"/>
  <c r="K70"/>
  <c r="G70"/>
  <c r="K69"/>
  <c r="G69"/>
  <c r="K68"/>
  <c r="H68"/>
  <c r="G68"/>
  <c r="D68"/>
  <c r="K67"/>
  <c r="G67"/>
  <c r="K66"/>
  <c r="G66"/>
  <c r="K65"/>
  <c r="H65"/>
  <c r="G65"/>
  <c r="D65"/>
  <c r="K64"/>
  <c r="G64"/>
  <c r="K63"/>
  <c r="G63"/>
  <c r="K62"/>
  <c r="H62"/>
  <c r="G62"/>
  <c r="D62"/>
  <c r="K61"/>
  <c r="G61"/>
  <c r="K60"/>
  <c r="G60"/>
  <c r="K59"/>
  <c r="H59"/>
  <c r="G59"/>
  <c r="D59"/>
  <c r="K58"/>
  <c r="G58"/>
  <c r="K57"/>
  <c r="G57"/>
  <c r="K56"/>
  <c r="H56"/>
  <c r="G56"/>
  <c r="D56"/>
  <c r="K55"/>
  <c r="G55"/>
  <c r="K54"/>
  <c r="G54"/>
  <c r="K53"/>
  <c r="G53"/>
  <c r="K52"/>
  <c r="H52"/>
  <c r="G52"/>
  <c r="D52"/>
  <c r="J51"/>
  <c r="K51" s="1"/>
  <c r="H51"/>
  <c r="F51"/>
  <c r="G51" s="1"/>
  <c r="D51"/>
  <c r="K50"/>
  <c r="H50"/>
  <c r="G50"/>
  <c r="D50"/>
  <c r="K49"/>
  <c r="G49"/>
  <c r="G48"/>
  <c r="J48"/>
  <c r="K48" s="1"/>
  <c r="K47"/>
  <c r="H47"/>
  <c r="G47"/>
  <c r="D47"/>
  <c r="K46"/>
  <c r="G46"/>
  <c r="K45"/>
  <c r="G45"/>
  <c r="K44"/>
  <c r="H44"/>
  <c r="G44"/>
  <c r="D44"/>
  <c r="K43"/>
  <c r="G43"/>
  <c r="K42"/>
  <c r="G42"/>
  <c r="J41"/>
  <c r="I41"/>
  <c r="H41"/>
  <c r="F41"/>
  <c r="E41"/>
  <c r="D41"/>
  <c r="J40"/>
  <c r="K40" s="1"/>
  <c r="H40"/>
  <c r="F40"/>
  <c r="G40" s="1"/>
  <c r="D40"/>
  <c r="K39"/>
  <c r="G39"/>
  <c r="K38"/>
  <c r="L38" s="1"/>
  <c r="G38"/>
  <c r="K36"/>
  <c r="L36" s="1"/>
  <c r="G36"/>
  <c r="J35"/>
  <c r="I35"/>
  <c r="I10" s="1"/>
  <c r="H35"/>
  <c r="F35"/>
  <c r="E35"/>
  <c r="E10" s="1"/>
  <c r="D35"/>
  <c r="K34"/>
  <c r="G34"/>
  <c r="K33"/>
  <c r="G33"/>
  <c r="K32"/>
  <c r="G32"/>
  <c r="K31"/>
  <c r="G31"/>
  <c r="J30"/>
  <c r="H30"/>
  <c r="F30"/>
  <c r="G30" s="1"/>
  <c r="D30"/>
  <c r="K29"/>
  <c r="H29"/>
  <c r="G29"/>
  <c r="D29"/>
  <c r="K28"/>
  <c r="G28"/>
  <c r="K27"/>
  <c r="G27"/>
  <c r="H26"/>
  <c r="G26"/>
  <c r="D26"/>
  <c r="K25"/>
  <c r="G25"/>
  <c r="K24"/>
  <c r="G24"/>
  <c r="K23"/>
  <c r="H23"/>
  <c r="G23"/>
  <c r="D23"/>
  <c r="K22"/>
  <c r="G22"/>
  <c r="K21"/>
  <c r="G21"/>
  <c r="K20"/>
  <c r="H20"/>
  <c r="G20"/>
  <c r="D20"/>
  <c r="K19"/>
  <c r="G19"/>
  <c r="K18"/>
  <c r="G18"/>
  <c r="K17"/>
  <c r="H17"/>
  <c r="G17"/>
  <c r="D17"/>
  <c r="K16"/>
  <c r="G16"/>
  <c r="K15"/>
  <c r="G15"/>
  <c r="K14"/>
  <c r="H14"/>
  <c r="G14"/>
  <c r="D14"/>
  <c r="K13"/>
  <c r="G13"/>
  <c r="K12"/>
  <c r="G12"/>
  <c r="J11"/>
  <c r="K11" s="1"/>
  <c r="L11" s="1"/>
  <c r="H11"/>
  <c r="F11"/>
  <c r="G11" s="1"/>
  <c r="D11"/>
  <c r="H220" i="30"/>
  <c r="H219"/>
  <c r="H218"/>
  <c r="K215"/>
  <c r="J215"/>
  <c r="I215"/>
  <c r="H215"/>
  <c r="K212"/>
  <c r="J212"/>
  <c r="I212"/>
  <c r="H212"/>
  <c r="K211"/>
  <c r="J211"/>
  <c r="I211"/>
  <c r="H211"/>
  <c r="K210"/>
  <c r="J209"/>
  <c r="K208"/>
  <c r="K204"/>
  <c r="K203"/>
  <c r="L203" s="1"/>
  <c r="K202"/>
  <c r="L202" s="1"/>
  <c r="K201"/>
  <c r="L201" s="1"/>
  <c r="K200"/>
  <c r="L200" s="1"/>
  <c r="K199"/>
  <c r="K198"/>
  <c r="L198" s="1"/>
  <c r="K197"/>
  <c r="L197" s="1"/>
  <c r="K196"/>
  <c r="L196" s="1"/>
  <c r="K195"/>
  <c r="L195" s="1"/>
  <c r="K194"/>
  <c r="L194" s="1"/>
  <c r="K193"/>
  <c r="L193" s="1"/>
  <c r="J192"/>
  <c r="K192" s="1"/>
  <c r="L192" s="1"/>
  <c r="I192"/>
  <c r="H192"/>
  <c r="H188" s="1"/>
  <c r="K191"/>
  <c r="L191" s="1"/>
  <c r="K190"/>
  <c r="L190" s="1"/>
  <c r="K189"/>
  <c r="I188"/>
  <c r="K187"/>
  <c r="K186"/>
  <c r="K185"/>
  <c r="J184"/>
  <c r="H184"/>
  <c r="K183"/>
  <c r="L183" s="1"/>
  <c r="K182"/>
  <c r="L182" s="1"/>
  <c r="K181"/>
  <c r="L181" s="1"/>
  <c r="K180"/>
  <c r="L180" s="1"/>
  <c r="J179"/>
  <c r="T179" s="1"/>
  <c r="I179"/>
  <c r="H179"/>
  <c r="K178"/>
  <c r="K177"/>
  <c r="H177"/>
  <c r="K176"/>
  <c r="L176" s="1"/>
  <c r="K175"/>
  <c r="K174"/>
  <c r="K173"/>
  <c r="K172"/>
  <c r="L172" s="1"/>
  <c r="J172"/>
  <c r="T172" s="1"/>
  <c r="K171"/>
  <c r="H171"/>
  <c r="K170"/>
  <c r="K169"/>
  <c r="K168"/>
  <c r="H168"/>
  <c r="K167"/>
  <c r="K166"/>
  <c r="K165"/>
  <c r="H165"/>
  <c r="K164"/>
  <c r="K163"/>
  <c r="K162"/>
  <c r="H162"/>
  <c r="K161"/>
  <c r="K160"/>
  <c r="K159"/>
  <c r="K158"/>
  <c r="K157"/>
  <c r="J156"/>
  <c r="H156"/>
  <c r="H138" s="1"/>
  <c r="K155"/>
  <c r="L155" s="1"/>
  <c r="J154"/>
  <c r="I154"/>
  <c r="H154"/>
  <c r="K153"/>
  <c r="K152"/>
  <c r="J151"/>
  <c r="K151" s="1"/>
  <c r="L151" s="1"/>
  <c r="H151"/>
  <c r="K150"/>
  <c r="L150" s="1"/>
  <c r="K148"/>
  <c r="L148" s="1"/>
  <c r="K147"/>
  <c r="L147" s="1"/>
  <c r="K146"/>
  <c r="L146" s="1"/>
  <c r="K145"/>
  <c r="L145" s="1"/>
  <c r="K144"/>
  <c r="H144"/>
  <c r="K143"/>
  <c r="K142"/>
  <c r="L142" s="1"/>
  <c r="K141"/>
  <c r="L141" s="1"/>
  <c r="J140"/>
  <c r="I140"/>
  <c r="I138" s="1"/>
  <c r="H140"/>
  <c r="K137"/>
  <c r="K136"/>
  <c r="K135"/>
  <c r="K134"/>
  <c r="K133"/>
  <c r="K132"/>
  <c r="K131"/>
  <c r="K130"/>
  <c r="K129"/>
  <c r="K128"/>
  <c r="L128" s="1"/>
  <c r="K127"/>
  <c r="K126"/>
  <c r="J125"/>
  <c r="K125" s="1"/>
  <c r="K124"/>
  <c r="K123"/>
  <c r="K122"/>
  <c r="I121"/>
  <c r="K121" s="1"/>
  <c r="J119"/>
  <c r="K119" s="1"/>
  <c r="H119"/>
  <c r="K118"/>
  <c r="K117"/>
  <c r="K116"/>
  <c r="K115"/>
  <c r="J115"/>
  <c r="H115"/>
  <c r="K114"/>
  <c r="K113"/>
  <c r="K112"/>
  <c r="J111"/>
  <c r="K111" s="1"/>
  <c r="I110"/>
  <c r="H110"/>
  <c r="K109"/>
  <c r="J109"/>
  <c r="K108"/>
  <c r="K107"/>
  <c r="K106"/>
  <c r="K105"/>
  <c r="J104"/>
  <c r="K104" s="1"/>
  <c r="I104"/>
  <c r="H104"/>
  <c r="K103"/>
  <c r="K102"/>
  <c r="K101"/>
  <c r="K100"/>
  <c r="K99"/>
  <c r="H99"/>
  <c r="H97" s="1"/>
  <c r="K98"/>
  <c r="I97"/>
  <c r="K96"/>
  <c r="L96" s="1"/>
  <c r="J95"/>
  <c r="K95" s="1"/>
  <c r="L95" s="1"/>
  <c r="I95"/>
  <c r="H95"/>
  <c r="K94"/>
  <c r="L94" s="1"/>
  <c r="K93"/>
  <c r="L93" s="1"/>
  <c r="J93"/>
  <c r="I93"/>
  <c r="H93"/>
  <c r="K91"/>
  <c r="L91" s="1"/>
  <c r="K90"/>
  <c r="L90" s="1"/>
  <c r="K89"/>
  <c r="L89" s="1"/>
  <c r="K88"/>
  <c r="L88" s="1"/>
  <c r="K87"/>
  <c r="L87" s="1"/>
  <c r="I87"/>
  <c r="H87"/>
  <c r="K86"/>
  <c r="H86"/>
  <c r="K85"/>
  <c r="K84"/>
  <c r="K83"/>
  <c r="H83"/>
  <c r="K82"/>
  <c r="K81"/>
  <c r="K80"/>
  <c r="H80"/>
  <c r="K79"/>
  <c r="K78"/>
  <c r="K77"/>
  <c r="H77"/>
  <c r="K76"/>
  <c r="K75"/>
  <c r="K74"/>
  <c r="H74"/>
  <c r="J73"/>
  <c r="I73"/>
  <c r="H73"/>
  <c r="H72" s="1"/>
  <c r="K72"/>
  <c r="K71"/>
  <c r="H71"/>
  <c r="K70"/>
  <c r="K69"/>
  <c r="K68"/>
  <c r="H68"/>
  <c r="K67"/>
  <c r="K66"/>
  <c r="K65"/>
  <c r="H65"/>
  <c r="K64"/>
  <c r="K63"/>
  <c r="K62"/>
  <c r="H62"/>
  <c r="K61"/>
  <c r="K60"/>
  <c r="K59"/>
  <c r="H59"/>
  <c r="K58"/>
  <c r="K57"/>
  <c r="K56"/>
  <c r="H56"/>
  <c r="K55"/>
  <c r="K54"/>
  <c r="K53"/>
  <c r="H53"/>
  <c r="K52"/>
  <c r="H52"/>
  <c r="K51"/>
  <c r="J51"/>
  <c r="H51"/>
  <c r="K50"/>
  <c r="H50"/>
  <c r="K49"/>
  <c r="J48"/>
  <c r="K48" s="1"/>
  <c r="K47"/>
  <c r="H47"/>
  <c r="K46"/>
  <c r="K45"/>
  <c r="K44"/>
  <c r="H44"/>
  <c r="K43"/>
  <c r="K42"/>
  <c r="K41"/>
  <c r="J41"/>
  <c r="J37" s="1"/>
  <c r="K37" s="1"/>
  <c r="I41"/>
  <c r="H41"/>
  <c r="K40"/>
  <c r="J40"/>
  <c r="H40"/>
  <c r="K39"/>
  <c r="K38"/>
  <c r="I37"/>
  <c r="H37"/>
  <c r="K36"/>
  <c r="L36" s="1"/>
  <c r="J35"/>
  <c r="K35" s="1"/>
  <c r="L35" s="1"/>
  <c r="I35"/>
  <c r="H35"/>
  <c r="K34"/>
  <c r="K33"/>
  <c r="K32"/>
  <c r="K31"/>
  <c r="J30"/>
  <c r="K30" s="1"/>
  <c r="L30" s="1"/>
  <c r="H30"/>
  <c r="K29"/>
  <c r="H29"/>
  <c r="K28"/>
  <c r="K27"/>
  <c r="H26"/>
  <c r="K25"/>
  <c r="K24"/>
  <c r="K23"/>
  <c r="H23"/>
  <c r="K22"/>
  <c r="K21"/>
  <c r="K20"/>
  <c r="H20"/>
  <c r="K19"/>
  <c r="K18"/>
  <c r="K17"/>
  <c r="H17"/>
  <c r="K16"/>
  <c r="K15"/>
  <c r="K14"/>
  <c r="H14"/>
  <c r="K13"/>
  <c r="K12"/>
  <c r="J11"/>
  <c r="H11"/>
  <c r="H10" s="1"/>
  <c r="H9" s="1"/>
  <c r="H8" s="1"/>
  <c r="H205" s="1"/>
  <c r="H207" s="1"/>
  <c r="I10"/>
  <c r="I9" s="1"/>
  <c r="I8" s="1"/>
  <c r="F212"/>
  <c r="F211" s="1"/>
  <c r="G211" s="1"/>
  <c r="F192"/>
  <c r="F156"/>
  <c r="G155"/>
  <c r="F172"/>
  <c r="F17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4"/>
  <c r="G75"/>
  <c r="G76"/>
  <c r="G77"/>
  <c r="G78"/>
  <c r="G79"/>
  <c r="G80"/>
  <c r="G81"/>
  <c r="G83"/>
  <c r="G84"/>
  <c r="G85"/>
  <c r="G86"/>
  <c r="G87"/>
  <c r="G88"/>
  <c r="G89"/>
  <c r="G90"/>
  <c r="G91"/>
  <c r="G94"/>
  <c r="G95"/>
  <c r="G96"/>
  <c r="G98"/>
  <c r="G99"/>
  <c r="G100"/>
  <c r="G101"/>
  <c r="G102"/>
  <c r="G103"/>
  <c r="G104"/>
  <c r="G105"/>
  <c r="G106"/>
  <c r="G107"/>
  <c r="G108"/>
  <c r="G109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41"/>
  <c r="G142"/>
  <c r="G143"/>
  <c r="G144"/>
  <c r="G145"/>
  <c r="G146"/>
  <c r="G147"/>
  <c r="G148"/>
  <c r="G150"/>
  <c r="G152"/>
  <c r="G153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9"/>
  <c r="G190"/>
  <c r="G191"/>
  <c r="G193"/>
  <c r="G194"/>
  <c r="G195"/>
  <c r="G196"/>
  <c r="G197"/>
  <c r="G198"/>
  <c r="G199"/>
  <c r="G200"/>
  <c r="G201"/>
  <c r="G202"/>
  <c r="G203"/>
  <c r="G204"/>
  <c r="G208"/>
  <c r="G210"/>
  <c r="G212"/>
  <c r="D87"/>
  <c r="F110"/>
  <c r="E110"/>
  <c r="F115"/>
  <c r="E104"/>
  <c r="F104"/>
  <c r="E35"/>
  <c r="F35"/>
  <c r="T35" s="1"/>
  <c r="F11"/>
  <c r="F184"/>
  <c r="F179"/>
  <c r="G156"/>
  <c r="F151"/>
  <c r="F140"/>
  <c r="G140" s="1"/>
  <c r="E73"/>
  <c r="F73"/>
  <c r="G73" s="1"/>
  <c r="F119"/>
  <c r="F51"/>
  <c r="F40"/>
  <c r="E41"/>
  <c r="F41"/>
  <c r="F37"/>
  <c r="F111"/>
  <c r="F30"/>
  <c r="F125"/>
  <c r="F95"/>
  <c r="T95" s="1"/>
  <c r="F93"/>
  <c r="T93" s="1"/>
  <c r="F48"/>
  <c r="F109"/>
  <c r="E212"/>
  <c r="E211" s="1"/>
  <c r="D211"/>
  <c r="S209"/>
  <c r="S208"/>
  <c r="S207"/>
  <c r="S206"/>
  <c r="S205"/>
  <c r="E140"/>
  <c r="S138"/>
  <c r="E154"/>
  <c r="E139" s="1"/>
  <c r="E188"/>
  <c r="S196"/>
  <c r="S195"/>
  <c r="S194"/>
  <c r="S193"/>
  <c r="E192"/>
  <c r="E179"/>
  <c r="S184"/>
  <c r="S182"/>
  <c r="S180"/>
  <c r="S181"/>
  <c r="S183"/>
  <c r="S190"/>
  <c r="S156"/>
  <c r="S172"/>
  <c r="S150"/>
  <c r="S176"/>
  <c r="S151"/>
  <c r="S147"/>
  <c r="S148"/>
  <c r="S146"/>
  <c r="S145"/>
  <c r="S142"/>
  <c r="S140"/>
  <c r="S30"/>
  <c r="S87"/>
  <c r="E10"/>
  <c r="E87"/>
  <c r="S8"/>
  <c r="S137"/>
  <c r="S136"/>
  <c r="S99"/>
  <c r="S127"/>
  <c r="S109"/>
  <c r="S111"/>
  <c r="S131"/>
  <c r="S126"/>
  <c r="S134"/>
  <c r="S125"/>
  <c r="S124"/>
  <c r="S123"/>
  <c r="E120"/>
  <c r="E121"/>
  <c r="S119"/>
  <c r="S103"/>
  <c r="S115"/>
  <c r="S105"/>
  <c r="S107"/>
  <c r="S106"/>
  <c r="P106"/>
  <c r="S98"/>
  <c r="S96"/>
  <c r="E95"/>
  <c r="E93"/>
  <c r="S94"/>
  <c r="S89"/>
  <c r="S90"/>
  <c r="S91"/>
  <c r="S88"/>
  <c r="S35"/>
  <c r="S38"/>
  <c r="E37"/>
  <c r="F209"/>
  <c r="E215"/>
  <c r="F215"/>
  <c r="G215"/>
  <c r="D26"/>
  <c r="D220"/>
  <c r="D219"/>
  <c r="D218"/>
  <c r="D177"/>
  <c r="D73"/>
  <c r="D72" s="1"/>
  <c r="D68"/>
  <c r="D11"/>
  <c r="D215"/>
  <c r="D212"/>
  <c r="D192"/>
  <c r="D188" s="1"/>
  <c r="D184"/>
  <c r="D179"/>
  <c r="D171"/>
  <c r="D168"/>
  <c r="D165"/>
  <c r="D162"/>
  <c r="D156"/>
  <c r="D154"/>
  <c r="D151"/>
  <c r="D144"/>
  <c r="D140"/>
  <c r="D119"/>
  <c r="D115"/>
  <c r="D110" s="1"/>
  <c r="D104"/>
  <c r="D99"/>
  <c r="D95"/>
  <c r="D93"/>
  <c r="D86"/>
  <c r="D83"/>
  <c r="D80"/>
  <c r="D77"/>
  <c r="D74"/>
  <c r="D71"/>
  <c r="D65"/>
  <c r="D62"/>
  <c r="D59"/>
  <c r="D56"/>
  <c r="D52"/>
  <c r="D51"/>
  <c r="D50"/>
  <c r="D47"/>
  <c r="D44"/>
  <c r="D41"/>
  <c r="D37" s="1"/>
  <c r="D40"/>
  <c r="D35"/>
  <c r="D30"/>
  <c r="D29"/>
  <c r="D23"/>
  <c r="D20"/>
  <c r="D17"/>
  <c r="D14"/>
  <c r="J97" i="33" l="1"/>
  <c r="K97" s="1"/>
  <c r="L97" s="1"/>
  <c r="K110"/>
  <c r="L110" s="1"/>
  <c r="G110" i="30"/>
  <c r="G93" i="31"/>
  <c r="J139" i="32"/>
  <c r="K139" s="1"/>
  <c r="L139" s="1"/>
  <c r="J188" i="33"/>
  <c r="K188" s="1"/>
  <c r="L188" s="1"/>
  <c r="K184" i="30"/>
  <c r="L184" s="1"/>
  <c r="T184"/>
  <c r="K184" i="31"/>
  <c r="L184" s="1"/>
  <c r="S184" i="32"/>
  <c r="R184" i="33"/>
  <c r="R179"/>
  <c r="S179" i="32"/>
  <c r="K179" i="30"/>
  <c r="L179" s="1"/>
  <c r="K172" i="31"/>
  <c r="L172" s="1"/>
  <c r="R172" i="33"/>
  <c r="S172" i="32"/>
  <c r="K156" i="30"/>
  <c r="L156" s="1"/>
  <c r="T156"/>
  <c r="K156" i="31"/>
  <c r="L156" s="1"/>
  <c r="R156" i="33"/>
  <c r="S156" i="32"/>
  <c r="K151" i="31"/>
  <c r="L151" s="1"/>
  <c r="R151" i="33"/>
  <c r="S151" i="32"/>
  <c r="R140" i="33"/>
  <c r="S140" i="32"/>
  <c r="K140" i="30"/>
  <c r="L140" s="1"/>
  <c r="T140"/>
  <c r="R73" i="33"/>
  <c r="S73" i="32"/>
  <c r="G151" i="30"/>
  <c r="T151"/>
  <c r="K35" i="31"/>
  <c r="L35" s="1"/>
  <c r="R35" i="33"/>
  <c r="S35" i="32"/>
  <c r="J87" i="31"/>
  <c r="R87" i="33" s="1"/>
  <c r="R88"/>
  <c r="S88" i="32"/>
  <c r="J139" i="33"/>
  <c r="K139" s="1"/>
  <c r="L139" s="1"/>
  <c r="J188" i="31"/>
  <c r="K188" s="1"/>
  <c r="L188" s="1"/>
  <c r="R192" i="33"/>
  <c r="S192" i="32"/>
  <c r="J188" i="30"/>
  <c r="K188" s="1"/>
  <c r="L188" s="1"/>
  <c r="G192"/>
  <c r="T192"/>
  <c r="K154"/>
  <c r="L154" s="1"/>
  <c r="K154" i="31"/>
  <c r="L154" s="1"/>
  <c r="R154" i="33"/>
  <c r="S154" i="32"/>
  <c r="R95" i="33"/>
  <c r="S95" i="32"/>
  <c r="T30" i="30"/>
  <c r="K30" i="31"/>
  <c r="L30" s="1"/>
  <c r="R30" i="33"/>
  <c r="S30" i="32"/>
  <c r="K10" i="33"/>
  <c r="L10" s="1"/>
  <c r="J9"/>
  <c r="J9" i="32"/>
  <c r="K9" s="1"/>
  <c r="L9" s="1"/>
  <c r="K10"/>
  <c r="L10" s="1"/>
  <c r="G30" i="30"/>
  <c r="R93" i="33"/>
  <c r="S93" i="32"/>
  <c r="G93" i="30"/>
  <c r="R7" i="32"/>
  <c r="G8"/>
  <c r="F205"/>
  <c r="K97"/>
  <c r="L97" s="1"/>
  <c r="H139" i="31"/>
  <c r="H138" s="1"/>
  <c r="I37"/>
  <c r="I9" s="1"/>
  <c r="K73" i="30"/>
  <c r="T73"/>
  <c r="K11"/>
  <c r="L11" s="1"/>
  <c r="T11"/>
  <c r="E9" i="31"/>
  <c r="F139"/>
  <c r="K179"/>
  <c r="L179" s="1"/>
  <c r="E120"/>
  <c r="G120" s="1"/>
  <c r="I121"/>
  <c r="I120" s="1"/>
  <c r="K120" s="1"/>
  <c r="L120" s="1"/>
  <c r="G125"/>
  <c r="J125"/>
  <c r="K125" s="1"/>
  <c r="L125" s="1"/>
  <c r="E138"/>
  <c r="E139"/>
  <c r="K140"/>
  <c r="L140" s="1"/>
  <c r="D37"/>
  <c r="G192"/>
  <c r="G41"/>
  <c r="G87"/>
  <c r="G95"/>
  <c r="G121"/>
  <c r="D139"/>
  <c r="D138" s="1"/>
  <c r="K192"/>
  <c r="L192" s="1"/>
  <c r="I139"/>
  <c r="I138" s="1"/>
  <c r="K95"/>
  <c r="L95" s="1"/>
  <c r="G188"/>
  <c r="G73"/>
  <c r="G104"/>
  <c r="G35"/>
  <c r="E97"/>
  <c r="D110"/>
  <c r="D97" s="1"/>
  <c r="G140"/>
  <c r="D10"/>
  <c r="D9" s="1"/>
  <c r="D8" s="1"/>
  <c r="K41"/>
  <c r="K73"/>
  <c r="K104"/>
  <c r="L104" s="1"/>
  <c r="K155"/>
  <c r="L155" s="1"/>
  <c r="G211"/>
  <c r="K212"/>
  <c r="L212" s="1"/>
  <c r="H37"/>
  <c r="K93"/>
  <c r="L93" s="1"/>
  <c r="F10"/>
  <c r="G10" s="1"/>
  <c r="I97"/>
  <c r="K121"/>
  <c r="L121" s="1"/>
  <c r="K211"/>
  <c r="L211" s="1"/>
  <c r="H110"/>
  <c r="H97" s="1"/>
  <c r="H53"/>
  <c r="H10"/>
  <c r="H9" s="1"/>
  <c r="F110"/>
  <c r="G110" s="1"/>
  <c r="G212"/>
  <c r="K88"/>
  <c r="L88" s="1"/>
  <c r="N221"/>
  <c r="I225"/>
  <c r="N225" s="1"/>
  <c r="J10"/>
  <c r="J37"/>
  <c r="K37" s="1"/>
  <c r="L37" s="1"/>
  <c r="D53"/>
  <c r="F37"/>
  <c r="G37" s="1"/>
  <c r="H213" i="30"/>
  <c r="H209"/>
  <c r="I205"/>
  <c r="I207" s="1"/>
  <c r="I209" s="1"/>
  <c r="J110"/>
  <c r="K110" s="1"/>
  <c r="L110" s="1"/>
  <c r="I120"/>
  <c r="K120" s="1"/>
  <c r="J10"/>
  <c r="J97"/>
  <c r="K97" s="1"/>
  <c r="L97" s="1"/>
  <c r="F188"/>
  <c r="F154"/>
  <c r="F10"/>
  <c r="E97"/>
  <c r="F97"/>
  <c r="E138"/>
  <c r="D138"/>
  <c r="D97"/>
  <c r="D53"/>
  <c r="D10"/>
  <c r="D9" s="1"/>
  <c r="E9"/>
  <c r="E8" s="1"/>
  <c r="T110" l="1"/>
  <c r="G97"/>
  <c r="T97"/>
  <c r="J138" i="32"/>
  <c r="K138" s="1"/>
  <c r="L138" s="1"/>
  <c r="K87" i="31"/>
  <c r="L87" s="1"/>
  <c r="S87" i="32"/>
  <c r="O88"/>
  <c r="J88" i="33"/>
  <c r="O87"/>
  <c r="P87" i="32"/>
  <c r="O87" s="1"/>
  <c r="K88"/>
  <c r="L88" s="1"/>
  <c r="J219"/>
  <c r="J218"/>
  <c r="J87"/>
  <c r="J138" i="33"/>
  <c r="K138" s="1"/>
  <c r="L138" s="1"/>
  <c r="R188"/>
  <c r="J139" i="31"/>
  <c r="J138" s="1"/>
  <c r="S188" i="32"/>
  <c r="J139" i="30"/>
  <c r="K139" s="1"/>
  <c r="L139" s="1"/>
  <c r="G154"/>
  <c r="T154"/>
  <c r="K9" i="33"/>
  <c r="L9" s="1"/>
  <c r="R10"/>
  <c r="S10" i="32"/>
  <c r="F9" i="30"/>
  <c r="G9" s="1"/>
  <c r="G10"/>
  <c r="F206" i="32"/>
  <c r="G205"/>
  <c r="E8" i="31"/>
  <c r="F139" i="30"/>
  <c r="F138" s="1"/>
  <c r="T188"/>
  <c r="T10"/>
  <c r="G139" i="31"/>
  <c r="J110"/>
  <c r="I8"/>
  <c r="I205" s="1"/>
  <c r="I207" s="1"/>
  <c r="I209" s="1"/>
  <c r="F97"/>
  <c r="G97" s="1"/>
  <c r="D205"/>
  <c r="D207" s="1"/>
  <c r="D213" s="1"/>
  <c r="H8"/>
  <c r="H205" s="1"/>
  <c r="H207" s="1"/>
  <c r="E205"/>
  <c r="K10"/>
  <c r="L10" s="1"/>
  <c r="J9"/>
  <c r="F138"/>
  <c r="G138" s="1"/>
  <c r="F9"/>
  <c r="J9" i="30"/>
  <c r="K10"/>
  <c r="L10" s="1"/>
  <c r="K209"/>
  <c r="I213"/>
  <c r="K213" s="1"/>
  <c r="G188"/>
  <c r="E205"/>
  <c r="E207" s="1"/>
  <c r="E209" s="1"/>
  <c r="D8"/>
  <c r="D205" s="1"/>
  <c r="D207" s="1"/>
  <c r="I224"/>
  <c r="K110" i="31" l="1"/>
  <c r="L110" s="1"/>
  <c r="R110" i="33"/>
  <c r="S110" i="32"/>
  <c r="J97" i="31"/>
  <c r="O138" i="32"/>
  <c r="K139" i="31"/>
  <c r="L139" s="1"/>
  <c r="S139" i="32"/>
  <c r="R139" i="33"/>
  <c r="F8" i="30"/>
  <c r="F205" s="1"/>
  <c r="F206" s="1"/>
  <c r="G206" s="1"/>
  <c r="K87" i="32"/>
  <c r="L87" s="1"/>
  <c r="J8"/>
  <c r="O88" i="33"/>
  <c r="J218"/>
  <c r="J219"/>
  <c r="K88"/>
  <c r="L88" s="1"/>
  <c r="J87"/>
  <c r="J138" i="30"/>
  <c r="K138" s="1"/>
  <c r="L138" s="1"/>
  <c r="K138" i="31"/>
  <c r="L138" s="1"/>
  <c r="R138" i="33"/>
  <c r="S138" i="32"/>
  <c r="R9" i="33"/>
  <c r="S9" i="32"/>
  <c r="G206"/>
  <c r="F207"/>
  <c r="E207" i="31"/>
  <c r="G138" i="30"/>
  <c r="G139"/>
  <c r="T139"/>
  <c r="T9"/>
  <c r="K209" i="31"/>
  <c r="L209" s="1"/>
  <c r="I213"/>
  <c r="K213" s="1"/>
  <c r="L213" s="1"/>
  <c r="D209"/>
  <c r="H209" s="1"/>
  <c r="H209" i="32" s="1"/>
  <c r="H213" i="31"/>
  <c r="G9"/>
  <c r="F8"/>
  <c r="K9"/>
  <c r="L9" s="1"/>
  <c r="J8"/>
  <c r="J8" i="30"/>
  <c r="K9"/>
  <c r="L9" s="1"/>
  <c r="E213"/>
  <c r="G213" s="1"/>
  <c r="G209"/>
  <c r="D209"/>
  <c r="D213"/>
  <c r="K97" i="31" l="1"/>
  <c r="L97" s="1"/>
  <c r="R97" i="33"/>
  <c r="S97" i="32"/>
  <c r="T138" i="30"/>
  <c r="G8"/>
  <c r="O7"/>
  <c r="J205" i="32"/>
  <c r="K205" s="1"/>
  <c r="L205" s="1"/>
  <c r="K8"/>
  <c r="L8" s="1"/>
  <c r="K87" i="33"/>
  <c r="L87" s="1"/>
  <c r="J8"/>
  <c r="O7" s="1"/>
  <c r="R8"/>
  <c r="S8" i="32"/>
  <c r="T8" s="1"/>
  <c r="G207"/>
  <c r="E209" i="31"/>
  <c r="K8" i="30"/>
  <c r="L8" s="1"/>
  <c r="T8"/>
  <c r="G8" i="31"/>
  <c r="F205"/>
  <c r="J205"/>
  <c r="K8"/>
  <c r="L8" s="1"/>
  <c r="J205" i="30"/>
  <c r="F207"/>
  <c r="G207" s="1"/>
  <c r="G205"/>
  <c r="O225"/>
  <c r="H221"/>
  <c r="N226"/>
  <c r="I221"/>
  <c r="I225" s="1"/>
  <c r="S8" i="33" l="1"/>
  <c r="Q7"/>
  <c r="K8"/>
  <c r="L8" s="1"/>
  <c r="J205"/>
  <c r="K205" s="1"/>
  <c r="L205" s="1"/>
  <c r="R205"/>
  <c r="S205" i="32"/>
  <c r="G209" i="31"/>
  <c r="E213"/>
  <c r="T205" i="30"/>
  <c r="G205" i="31"/>
  <c r="F206"/>
  <c r="K205"/>
  <c r="L205" s="1"/>
  <c r="J206" i="30"/>
  <c r="J207" s="1"/>
  <c r="K205"/>
  <c r="L205" s="1"/>
  <c r="N221"/>
  <c r="H225"/>
  <c r="N225" s="1"/>
  <c r="G213" i="31" l="1"/>
  <c r="K207" i="30"/>
  <c r="L207" s="1"/>
  <c r="T207"/>
  <c r="K206"/>
  <c r="L206" s="1"/>
  <c r="T206"/>
  <c r="G206" i="31"/>
  <c r="J206"/>
  <c r="F207"/>
  <c r="G207" s="1"/>
  <c r="K206" l="1"/>
  <c r="L206" s="1"/>
  <c r="R206" i="33"/>
  <c r="J206" i="32"/>
  <c r="J206" i="33" s="1"/>
  <c r="S206" i="32"/>
  <c r="J207" i="31"/>
  <c r="K207" l="1"/>
  <c r="L207" s="1"/>
  <c r="R207" i="33"/>
  <c r="S207" i="32"/>
  <c r="J207" i="33"/>
  <c r="K207" s="1"/>
  <c r="L207" s="1"/>
  <c r="K206"/>
  <c r="L206" s="1"/>
  <c r="J207" i="32"/>
  <c r="K207" s="1"/>
  <c r="L207" s="1"/>
  <c r="K206"/>
  <c r="L206" s="1"/>
</calcChain>
</file>

<file path=xl/sharedStrings.xml><?xml version="1.0" encoding="utf-8"?>
<sst xmlns="http://schemas.openxmlformats.org/spreadsheetml/2006/main" count="3542" uniqueCount="330">
  <si>
    <t>№ п/п</t>
  </si>
  <si>
    <t>Наименование</t>
  </si>
  <si>
    <t>I.</t>
  </si>
  <si>
    <t>Затраты на производство и представление услуг-всего</t>
  </si>
  <si>
    <t>тыс.тенге</t>
  </si>
  <si>
    <t>1.</t>
  </si>
  <si>
    <t>Материальные затраты-всего</t>
  </si>
  <si>
    <t>1.1.</t>
  </si>
  <si>
    <t>Сырьё и материалы, всего</t>
  </si>
  <si>
    <t>1.1.1.</t>
  </si>
  <si>
    <t>химические реагенты</t>
  </si>
  <si>
    <t>1.1.1.1.</t>
  </si>
  <si>
    <t>хлор жидкий</t>
  </si>
  <si>
    <t>объем</t>
  </si>
  <si>
    <t>кг.</t>
  </si>
  <si>
    <t>цена</t>
  </si>
  <si>
    <t>тенге</t>
  </si>
  <si>
    <t>1.1.1.2.</t>
  </si>
  <si>
    <t>коагулянт Бопак Е</t>
  </si>
  <si>
    <t>1.1.1.3.</t>
  </si>
  <si>
    <t>гипохлорит кальция</t>
  </si>
  <si>
    <t>1.1.1.4.</t>
  </si>
  <si>
    <t xml:space="preserve">гипохлорит натрия </t>
  </si>
  <si>
    <t>1.1.1.5.</t>
  </si>
  <si>
    <t>ингибитор отложения минеральных солей</t>
  </si>
  <si>
    <t>полиакриламид</t>
  </si>
  <si>
    <t>1.1.2</t>
  </si>
  <si>
    <t>прочие материалы, всего</t>
  </si>
  <si>
    <t>1.1.2.1</t>
  </si>
  <si>
    <t>материалы на ремонтно-эксплуатационные нужды</t>
  </si>
  <si>
    <t>1.1.2.2</t>
  </si>
  <si>
    <t>материалы на ремонтно-эксплуатационные нужды электрооборудования</t>
  </si>
  <si>
    <t>1.1.2.3</t>
  </si>
  <si>
    <t>реактивы</t>
  </si>
  <si>
    <t>1.1.2.4</t>
  </si>
  <si>
    <t>лабораторная  посуда и материалы</t>
  </si>
  <si>
    <t>1.1.3</t>
  </si>
  <si>
    <t>запасные части</t>
  </si>
  <si>
    <t>1.1.3.1.</t>
  </si>
  <si>
    <t>на механизмы и автотранспорт</t>
  </si>
  <si>
    <t>1.2</t>
  </si>
  <si>
    <t>топливо, всего</t>
  </si>
  <si>
    <t>1.2.1</t>
  </si>
  <si>
    <t>уголь</t>
  </si>
  <si>
    <t>тонн</t>
  </si>
  <si>
    <t>1.2.2</t>
  </si>
  <si>
    <t>бензин</t>
  </si>
  <si>
    <t xml:space="preserve">АИ -80  </t>
  </si>
  <si>
    <t xml:space="preserve"> объем</t>
  </si>
  <si>
    <t>л</t>
  </si>
  <si>
    <t>АИ- 92</t>
  </si>
  <si>
    <t xml:space="preserve">   объем</t>
  </si>
  <si>
    <t>1.2.3</t>
  </si>
  <si>
    <t>дизтопливо</t>
  </si>
  <si>
    <t>1.2.4</t>
  </si>
  <si>
    <t>масла и смазки</t>
  </si>
  <si>
    <t>автол М-8</t>
  </si>
  <si>
    <t>масло гидравлическое</t>
  </si>
  <si>
    <t>масло дизельное</t>
  </si>
  <si>
    <t>специальные масла</t>
  </si>
  <si>
    <t>пластичные смазки (литол)</t>
  </si>
  <si>
    <t>кг</t>
  </si>
  <si>
    <t>1.3</t>
  </si>
  <si>
    <t>электроэнергия</t>
  </si>
  <si>
    <t>общая сумма</t>
  </si>
  <si>
    <t xml:space="preserve"> общий объем</t>
  </si>
  <si>
    <t>кВт/ч</t>
  </si>
  <si>
    <t>Ф-л ТОО "Кокшетау Энерго Центр" Горэлектросети</t>
  </si>
  <si>
    <t>кол-во</t>
  </si>
  <si>
    <t>Ф-л ТОО "Кокшетау Энерго Центр" ВостокЭнерго - г. Шучинск</t>
  </si>
  <si>
    <t>Ф-л ТОО "Кокшетау Энерго Центр" ВостокЭнерго - 12 подъем</t>
  </si>
  <si>
    <t>Ф-л ТОО "Солтустік Энерго Орталық" Айыртай Энерго</t>
  </si>
  <si>
    <t>2.</t>
  </si>
  <si>
    <t>Затраты на оплату труда, всего</t>
  </si>
  <si>
    <t>2.1.</t>
  </si>
  <si>
    <t>зарплата</t>
  </si>
  <si>
    <t>2.2.</t>
  </si>
  <si>
    <t>социальный налог</t>
  </si>
  <si>
    <t>3.</t>
  </si>
  <si>
    <t>Амортизация</t>
  </si>
  <si>
    <t>3.1.</t>
  </si>
  <si>
    <t>амортизация основных фондов</t>
  </si>
  <si>
    <t>4.</t>
  </si>
  <si>
    <t>Ремонт - всего</t>
  </si>
  <si>
    <t>4.1.</t>
  </si>
  <si>
    <t>капитальный ремонт, не приводящий к увеличению стоимости основных средств</t>
  </si>
  <si>
    <t>5.</t>
  </si>
  <si>
    <t>Прочие затраты, всего</t>
  </si>
  <si>
    <t>5.1.</t>
  </si>
  <si>
    <t>вахтовые</t>
  </si>
  <si>
    <t>5.2.</t>
  </si>
  <si>
    <t>5.2.1.</t>
  </si>
  <si>
    <t>поверка и ремонт приборов учета воды</t>
  </si>
  <si>
    <t>5.2.2.</t>
  </si>
  <si>
    <t>поверка лабораторных  приборов и СИ</t>
  </si>
  <si>
    <t>5.2.3.</t>
  </si>
  <si>
    <t>аттестация лаборатории (раз в 3 года - 2016 г., 2019 г.)</t>
  </si>
  <si>
    <t>5.3.</t>
  </si>
  <si>
    <t>дератизационные услуги</t>
  </si>
  <si>
    <t>охрана труда и техника безопасности, в т.ч.</t>
  </si>
  <si>
    <t>прохождение медосмотра</t>
  </si>
  <si>
    <t xml:space="preserve">затраты на спецодежду </t>
  </si>
  <si>
    <t>обучение и атестация по безопасности и охране труда</t>
  </si>
  <si>
    <t>5.3.4.</t>
  </si>
  <si>
    <t>перезарядка огнетушителей (раз в 5 лет - 2019 г.)</t>
  </si>
  <si>
    <t>5.4</t>
  </si>
  <si>
    <t>услуги связи</t>
  </si>
  <si>
    <t>другие затраты</t>
  </si>
  <si>
    <t>командировочные расходы</t>
  </si>
  <si>
    <t>услуги экспертизы</t>
  </si>
  <si>
    <t>испытание защитных средств</t>
  </si>
  <si>
    <t>услуги по регулированию стока р. Есиль</t>
  </si>
  <si>
    <t>сумма</t>
  </si>
  <si>
    <t>тыс. тенге</t>
  </si>
  <si>
    <t>тыс.м3</t>
  </si>
  <si>
    <t>затраты на демеркуризацию</t>
  </si>
  <si>
    <t>затраты на оплату услуг по обслуживанию лифтов</t>
  </si>
  <si>
    <t>затраты на оплату отвода и очистку сточных вод</t>
  </si>
  <si>
    <t>техническое обслуживание систем видеонаблюдения и охранно-пожарной сигнализации</t>
  </si>
  <si>
    <t>исследования воды</t>
  </si>
  <si>
    <t>затраты на проезд крупногабаритной и тяжелой техники</t>
  </si>
  <si>
    <t>5.8.11</t>
  </si>
  <si>
    <t>расходы по экологии</t>
  </si>
  <si>
    <t>сбор за оформление и постановку на учет автотранспорта</t>
  </si>
  <si>
    <t>разработка программы ПЭК, проекта ПДВ и ПДС для получения разрешения на эмиссии в окружающую среду</t>
  </si>
  <si>
    <t>техосмотр</t>
  </si>
  <si>
    <t>II</t>
  </si>
  <si>
    <t>Расходы периода, всего</t>
  </si>
  <si>
    <t>Общие и административные расходы</t>
  </si>
  <si>
    <t>6.1.</t>
  </si>
  <si>
    <t>сырьё и материалы, всего</t>
  </si>
  <si>
    <t>6.1.1.</t>
  </si>
  <si>
    <t>содержание служебного автотранспорта</t>
  </si>
  <si>
    <t>6.1.2.</t>
  </si>
  <si>
    <t>6.2.</t>
  </si>
  <si>
    <t>зарплата административного  и обслуживающего персонала</t>
  </si>
  <si>
    <t>6.3.</t>
  </si>
  <si>
    <t>6.4.</t>
  </si>
  <si>
    <t>услуги банков</t>
  </si>
  <si>
    <t>6.5.</t>
  </si>
  <si>
    <t>амортизация</t>
  </si>
  <si>
    <t>6.5.1.</t>
  </si>
  <si>
    <t>6.5.2.</t>
  </si>
  <si>
    <t>амортизация НМА</t>
  </si>
  <si>
    <t>6.6.</t>
  </si>
  <si>
    <t>расходы на содержание и обслуживание технических средств управления, узлов связи, вычислительной техники и т.д.</t>
  </si>
  <si>
    <t>6.6.1.</t>
  </si>
  <si>
    <t>вычислительная техника</t>
  </si>
  <si>
    <t>6.7.</t>
  </si>
  <si>
    <t>коммунальные услуги</t>
  </si>
  <si>
    <t>6.7.1.</t>
  </si>
  <si>
    <t>отопление</t>
  </si>
  <si>
    <t>Гкал</t>
  </si>
  <si>
    <t>6.7.2.</t>
  </si>
  <si>
    <t>вывоз мусора</t>
  </si>
  <si>
    <t>м3</t>
  </si>
  <si>
    <t>6.7.3.</t>
  </si>
  <si>
    <t xml:space="preserve">вода питьевая </t>
  </si>
  <si>
    <t>6.7.4.</t>
  </si>
  <si>
    <t>откачка септика</t>
  </si>
  <si>
    <t>6.8.</t>
  </si>
  <si>
    <t>6.9.</t>
  </si>
  <si>
    <t>услуга связи</t>
  </si>
  <si>
    <t>6.10.</t>
  </si>
  <si>
    <t>6.11.</t>
  </si>
  <si>
    <t>охрана труда и техника безопасности</t>
  </si>
  <si>
    <t>6.11.1.</t>
  </si>
  <si>
    <t>6.11.2.</t>
  </si>
  <si>
    <t>6.12.</t>
  </si>
  <si>
    <t xml:space="preserve">налоги </t>
  </si>
  <si>
    <t>налог на транспортные средства</t>
  </si>
  <si>
    <t>налог на имущество</t>
  </si>
  <si>
    <t xml:space="preserve">земельный налог </t>
  </si>
  <si>
    <t>6.13.</t>
  </si>
  <si>
    <t>плата за пользование водными ресурсами из поверхностных источников</t>
  </si>
  <si>
    <t>6.14.</t>
  </si>
  <si>
    <t>плата в фонд охраны природы</t>
  </si>
  <si>
    <t>от стационарных источников</t>
  </si>
  <si>
    <t>от передвижных</t>
  </si>
  <si>
    <t>сброс загрязняющих веществ</t>
  </si>
  <si>
    <t>другие расходы</t>
  </si>
  <si>
    <t>услуги аудита</t>
  </si>
  <si>
    <t>канцелярские</t>
  </si>
  <si>
    <t>затраты на оплату обязательного страхования</t>
  </si>
  <si>
    <t>обязательное страхование гражданско- правовой ответственности владельцев транспортных средств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</si>
  <si>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</si>
  <si>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обязательное экологическое страхование</t>
  </si>
  <si>
    <t>объявление</t>
  </si>
  <si>
    <t>регистрация нежилого объекта</t>
  </si>
  <si>
    <t>почтовые услуги</t>
  </si>
  <si>
    <t>III</t>
  </si>
  <si>
    <t>Всего затрат</t>
  </si>
  <si>
    <t>IV</t>
  </si>
  <si>
    <t>Прибыль</t>
  </si>
  <si>
    <t>V</t>
  </si>
  <si>
    <t xml:space="preserve">Всего доходов </t>
  </si>
  <si>
    <t>VI</t>
  </si>
  <si>
    <t>Объем оказываемых услуг</t>
  </si>
  <si>
    <t>VII</t>
  </si>
  <si>
    <t>Забор воды</t>
  </si>
  <si>
    <t>VIII</t>
  </si>
  <si>
    <t>Нормативные потери</t>
  </si>
  <si>
    <t>%</t>
  </si>
  <si>
    <t>IX</t>
  </si>
  <si>
    <t>Тариф без НДС</t>
  </si>
  <si>
    <t>тенге/м3</t>
  </si>
  <si>
    <t>Справочно: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</si>
  <si>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</si>
  <si>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</si>
  <si>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</si>
  <si>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</si>
  <si>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</si>
  <si>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</si>
  <si>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</si>
  <si>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плата, всего</t>
  </si>
  <si>
    <t>8.1</t>
  </si>
  <si>
    <t>8.2</t>
  </si>
  <si>
    <t>Ед. изм.</t>
  </si>
  <si>
    <t>поверка мостового крана (раз в 3 года -2017 г., 2020 г.)</t>
  </si>
  <si>
    <t>отклонение +,-</t>
  </si>
  <si>
    <t>масло трансмиссионное</t>
  </si>
  <si>
    <t>суточные в пределах РК</t>
  </si>
  <si>
    <t>расходы на наем жилого помещения</t>
  </si>
  <si>
    <t>расходы на проезд</t>
  </si>
  <si>
    <t>отведение сточных вод</t>
  </si>
  <si>
    <t>госпошлина</t>
  </si>
  <si>
    <t>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</t>
  </si>
  <si>
    <t>с начала года</t>
  </si>
  <si>
    <t>пеня за теплоснабжение</t>
  </si>
  <si>
    <t>фактические затраты</t>
  </si>
  <si>
    <t>услуги по утилизации</t>
  </si>
  <si>
    <t>пеня и штраф по налогу на землю</t>
  </si>
  <si>
    <t>аттестация рабочих мест</t>
  </si>
  <si>
    <t>Главный  бухгалтер</t>
  </si>
  <si>
    <t>Г. Жуманова</t>
  </si>
  <si>
    <t>исп.  Т.Чеснова</t>
  </si>
  <si>
    <t>отклонение,%</t>
  </si>
  <si>
    <t>затраты на приобретение печатной продукции (бланки)</t>
  </si>
  <si>
    <t>обязательное страхование ГПО работодателя за причинение вреда жизни и здоровью работника при исполнении им трудовых (служебных) обязан.</t>
  </si>
  <si>
    <t>Причины отклонений</t>
  </si>
  <si>
    <t>испытание, поверка, измерение сопротивления</t>
  </si>
  <si>
    <t>аттестация электротехнического персонала</t>
  </si>
  <si>
    <t>затраты на аттестацию, поверку приборов учета воды, средств измерений</t>
  </si>
  <si>
    <t>5.4.1.</t>
  </si>
  <si>
    <t>5.4.2.</t>
  </si>
  <si>
    <t>5.4.3.</t>
  </si>
  <si>
    <t>5.5</t>
  </si>
  <si>
    <t>5.6</t>
  </si>
  <si>
    <t>5.6.1</t>
  </si>
  <si>
    <t>5.6.2</t>
  </si>
  <si>
    <t>5.6.2.1.</t>
  </si>
  <si>
    <t>5.6.2.2.</t>
  </si>
  <si>
    <t>5.6.2.3.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</si>
  <si>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</si>
  <si>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</si>
  <si>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</si>
  <si>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</si>
  <si>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</si>
  <si>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</si>
  <si>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</si>
  <si>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</si>
  <si>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</si>
  <si>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</si>
  <si>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услуга по ремонту э/двигателя и услуги по ремонту техники</t>
  </si>
  <si>
    <t>5.6.13</t>
  </si>
  <si>
    <t>5.6.14</t>
  </si>
  <si>
    <t>5.6.15</t>
  </si>
  <si>
    <t>6.11.3.</t>
  </si>
  <si>
    <t>6.13.1.</t>
  </si>
  <si>
    <t>6.13.2.</t>
  </si>
  <si>
    <t>6.13.3.</t>
  </si>
  <si>
    <t>6.14.1</t>
  </si>
  <si>
    <t>6.14.2</t>
  </si>
  <si>
    <t>6.14.3</t>
  </si>
  <si>
    <t>6.14.4</t>
  </si>
  <si>
    <t>6.14.4.1</t>
  </si>
  <si>
    <t>6.14.4.2</t>
  </si>
  <si>
    <t>6.14.4.3</t>
  </si>
  <si>
    <t>6.14.4.4</t>
  </si>
  <si>
    <t>6.14.5</t>
  </si>
  <si>
    <t>6.14.6</t>
  </si>
  <si>
    <t>6.14.7</t>
  </si>
  <si>
    <t>6.14.8</t>
  </si>
  <si>
    <t>6.14.9</t>
  </si>
  <si>
    <t>6.14.10</t>
  </si>
  <si>
    <t>не был предусмотрен в списании электродвигатель, стоимостью 115,0 тыс. тенге</t>
  </si>
  <si>
    <t>уменьшение использования а/м, работающих на АИ-80</t>
  </si>
  <si>
    <t>списание спецодежды, не предусмотренной в корректировке</t>
  </si>
  <si>
    <t>не был предусмотрен ремонт насоса ГУРа на 6,2 тыс.тенге</t>
  </si>
  <si>
    <t>предусматривалось большее кол-во писем</t>
  </si>
  <si>
    <t>не предусмотрено в ТС</t>
  </si>
  <si>
    <t>проведение техобслуж. экскаваторов в 4 кв.</t>
  </si>
  <si>
    <t>проведение техобслуж. трала в 4 кв.</t>
  </si>
  <si>
    <t>бухгалтерией АФ не были пере-даны в КГВ начисления за 3 кв.</t>
  </si>
  <si>
    <t>предусм. двойная промывка резервуара 5,0тыс. м3, факт. была проведена одна.</t>
  </si>
  <si>
    <t>И.о.  директора</t>
  </si>
  <si>
    <t>Б. Базарбаев</t>
  </si>
  <si>
    <t xml:space="preserve">уменьшение подачи воды в связи с не выделением субсидий </t>
  </si>
  <si>
    <t xml:space="preserve">уменьшение численности </t>
  </si>
  <si>
    <t>по закупу сумма составила меньше</t>
  </si>
  <si>
    <t>по данным бухгалтерского учета</t>
  </si>
  <si>
    <t>уменьшение количества платежей</t>
  </si>
  <si>
    <t>по фактическому потреблению</t>
  </si>
  <si>
    <t xml:space="preserve">уменьшение забора воды в связи с не выделением субсидий </t>
  </si>
  <si>
    <t>за месяц</t>
  </si>
  <si>
    <t xml:space="preserve">план по  ТС </t>
  </si>
  <si>
    <t>план по ПР</t>
  </si>
  <si>
    <t>социальные отчисления</t>
  </si>
  <si>
    <t>2.3.</t>
  </si>
  <si>
    <t>2.4.</t>
  </si>
  <si>
    <t>медстрахование</t>
  </si>
  <si>
    <t>услуга по ремонту,наладке и обслуживанию сигнализации "Дозвон"</t>
  </si>
  <si>
    <t>услуга по ремонту,наладке и обслуживанию частотных преобразователей</t>
  </si>
  <si>
    <t>Исполнение тарифной сметы на оказание услуги по подаче воды по Кокшетаускому групповому водопроводу за  январь  2018 года</t>
  </si>
  <si>
    <t>Исполнение тарифной сметы на оказание услуги по подаче воды по Кокшетаускому групповому водопроводу за  февраль  2018 года</t>
  </si>
  <si>
    <t>соц.пособие</t>
  </si>
  <si>
    <t>социальные пособия</t>
  </si>
  <si>
    <t>Исполнение тарифной сметы на оказание услуги по подаче воды по Кокшетаускому групповому водопроводу за март  2018 года</t>
  </si>
  <si>
    <t>Исполнение тарифной сметы на оказание услуги по подаче воды по Кокшетаускому групповому водопроводу за апрель  2018 года</t>
  </si>
  <si>
    <t>отклонение +,- от ПР</t>
  </si>
  <si>
    <t>отклонение,% от ПР</t>
  </si>
  <si>
    <t>обучение и аттестация по безопасности и охране труда</t>
  </si>
  <si>
    <t>Директор</t>
  </si>
  <si>
    <t>Е. Бадашев</t>
  </si>
  <si>
    <t>А.Алшинбаева</t>
  </si>
  <si>
    <t>Исполнение тарифной сметы на оказание услуги по подаче воды по Кокшетаускому групповому водопроводу за май  2018 года</t>
  </si>
  <si>
    <t>Исполнение тарифной сметы на оказание услуги по подаче воды по Кокшетаускому групповому водопроводу за 5 мес  2018 года</t>
  </si>
  <si>
    <t>исп. А.Шарипова</t>
  </si>
  <si>
    <t>Начальник отдела тарифообразования, планирования и экономического анализа</t>
  </si>
  <si>
    <t>А. Абельдинов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</si>
</sst>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00"/>
    <numFmt numFmtId="167" formatCode="0.00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left" wrapText="1"/>
    </xf>
    <xf numFmtId="2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wrapText="1"/>
    </xf>
    <xf numFmtId="16" fontId="9" fillId="2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0" fontId="9" fillId="2" borderId="0" xfId="1" applyFont="1" applyFill="1" applyAlignment="1"/>
    <xf numFmtId="0" fontId="9" fillId="2" borderId="1" xfId="4" applyFont="1" applyFill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2" fontId="0" fillId="0" borderId="0" xfId="0" applyNumberFormat="1"/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4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wrapText="1"/>
    </xf>
    <xf numFmtId="0" fontId="0" fillId="0" borderId="0" xfId="0" applyFont="1"/>
    <xf numFmtId="1" fontId="9" fillId="2" borderId="1" xfId="1" applyNumberFormat="1" applyFont="1" applyFill="1" applyBorder="1" applyAlignment="1">
      <alignment horizontal="center" wrapText="1"/>
    </xf>
    <xf numFmtId="164" fontId="9" fillId="4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0" fillId="4" borderId="0" xfId="0" applyFill="1"/>
    <xf numFmtId="0" fontId="9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0" fillId="2" borderId="0" xfId="0" applyFont="1" applyFill="1"/>
    <xf numFmtId="0" fontId="14" fillId="0" borderId="0" xfId="0" applyFont="1"/>
    <xf numFmtId="0" fontId="9" fillId="5" borderId="1" xfId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167" fontId="9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2" borderId="0" xfId="1" applyFont="1" applyFill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16" fillId="2" borderId="0" xfId="0" applyFont="1" applyFill="1"/>
    <xf numFmtId="0" fontId="4" fillId="2" borderId="0" xfId="0" applyFont="1" applyFill="1"/>
    <xf numFmtId="164" fontId="15" fillId="2" borderId="0" xfId="0" applyNumberFormat="1" applyFont="1" applyFill="1"/>
    <xf numFmtId="0" fontId="16" fillId="2" borderId="0" xfId="0" applyFont="1" applyFill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wrapText="1"/>
    </xf>
    <xf numFmtId="164" fontId="11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9" defaultPivotStyle="PivotStyleLight16"/>
  <colors>
    <mruColors>
      <color rgb="FFFFFF99"/>
      <color rgb="FFFFABFF"/>
      <color rgb="FFFF5050"/>
      <color rgb="FFFF8B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7762875" y="8801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7762875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4234638" y="100012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4234638" y="100012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4543425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5591175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4512192" y="100012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60417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5591175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60417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5591175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5130431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5130431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319937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124676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499398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5130431" y="100012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0077450" y="88201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443688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0077450" y="8820150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721242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0077450" y="8820150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0528005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450555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0528005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4837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9590126" y="868037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450555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0077450" y="8820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587006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0077450" y="8820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1443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1443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1443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5921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5921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5921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404273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404273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419951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5921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5921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5921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5921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5921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40427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40427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3104851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5921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5921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5731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5731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5731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08096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5731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5731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5731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5731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5731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308096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5731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5731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25444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25444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25444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205226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25444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25444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25444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25444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25444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205226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25444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25444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2396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2396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1349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13497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13497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264281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13497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13497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1349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13497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13497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264281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13497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13497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2" name="TextBox 1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" name="TextBox 2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4" name="TextBox 3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5" name="TextBox 4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128778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7" name="TextBox 6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8" name="TextBox 7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1" name="TextBox 10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2" name="TextBox 11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3" name="TextBox 12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4" name="TextBox 13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15" name="TextBox 14"/>
        <xdr:cNvSpPr txBox="1"/>
      </xdr:nvSpPr>
      <xdr:spPr>
        <a:xfrm flipH="1">
          <a:off x="128778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6" name="TextBox 15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7" name="TextBox 16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8" name="TextBox 17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19" name="TextBox 18"/>
        <xdr:cNvSpPr txBox="1"/>
      </xdr:nvSpPr>
      <xdr:spPr>
        <a:xfrm>
          <a:off x="128778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0" name="TextBox 19"/>
        <xdr:cNvSpPr txBox="1"/>
      </xdr:nvSpPr>
      <xdr:spPr>
        <a:xfrm>
          <a:off x="13773150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5008" cy="255462"/>
    <xdr:sp macro="" textlink="">
      <xdr:nvSpPr>
        <xdr:cNvPr id="21" name="TextBox 20"/>
        <xdr:cNvSpPr txBox="1"/>
      </xdr:nvSpPr>
      <xdr:spPr>
        <a:xfrm>
          <a:off x="13773150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2" name="TextBox 2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3" name="TextBox 2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24" name="TextBox 23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5" name="TextBox 2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6" name="TextBox 2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7" name="TextBox 2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28" name="TextBox 27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29" name="TextBox 2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0" name="TextBox 2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1" name="TextBox 3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2" name="TextBox 3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3" name="TextBox 3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4" name="TextBox 3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5" name="TextBox 3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6" name="TextBox 3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7" name="TextBox 3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8" name="TextBox 3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39" name="TextBox 3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0" name="TextBox 3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1" name="TextBox 4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2" name="TextBox 4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3" name="TextBox 4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4" name="TextBox 4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5" name="TextBox 4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6" name="TextBox 4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7" name="TextBox 4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8" name="TextBox 4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49" name="TextBox 4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0" name="TextBox 4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1" name="TextBox 5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2" name="TextBox 5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3" name="TextBox 5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4" name="TextBox 5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5" name="TextBox 5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6" name="TextBox 5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7" name="TextBox 5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8" name="TextBox 5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59" name="TextBox 5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0" name="TextBox 5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1" name="TextBox 6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2" name="TextBox 6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3" name="TextBox 6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4" name="TextBox 6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5" name="TextBox 6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6" name="TextBox 6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7" name="TextBox 6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8" name="TextBox 6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69" name="TextBox 6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0" name="TextBox 6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1" name="TextBox 70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2" name="TextBox 71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3" name="TextBox 72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4" name="TextBox 73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5" name="TextBox 74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6" name="TextBox 75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7" name="TextBox 76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8" name="TextBox 77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79" name="TextBox 78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76038" cy="255462"/>
    <xdr:sp macro="" textlink="">
      <xdr:nvSpPr>
        <xdr:cNvPr id="80" name="TextBox 79"/>
        <xdr:cNvSpPr txBox="1"/>
      </xdr:nvSpPr>
      <xdr:spPr>
        <a:xfrm>
          <a:off x="13773150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2" name="TextBox 91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595386</xdr:rowOff>
    </xdr:from>
    <xdr:ext cx="264560" cy="1248882"/>
    <xdr:sp macro="" textlink="">
      <xdr:nvSpPr>
        <xdr:cNvPr id="93" name="TextBox 92"/>
        <xdr:cNvSpPr txBox="1"/>
      </xdr:nvSpPr>
      <xdr:spPr>
        <a:xfrm rot="4668514">
          <a:off x="13280989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377315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66454" cy="264560"/>
    <xdr:sp macro="" textlink="">
      <xdr:nvSpPr>
        <xdr:cNvPr id="96" name="TextBox 95"/>
        <xdr:cNvSpPr txBox="1"/>
      </xdr:nvSpPr>
      <xdr:spPr>
        <a:xfrm flipH="1">
          <a:off x="1377315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7" name="TextBox 96"/>
        <xdr:cNvSpPr txBox="1"/>
      </xdr:nvSpPr>
      <xdr:spPr>
        <a:xfrm>
          <a:off x="13773150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5008" cy="255462"/>
    <xdr:sp macro="" textlink="">
      <xdr:nvSpPr>
        <xdr:cNvPr id="98" name="TextBox 97"/>
        <xdr:cNvSpPr txBox="1"/>
      </xdr:nvSpPr>
      <xdr:spPr>
        <a:xfrm>
          <a:off x="13773150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99" name="TextBox 9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0" name="TextBox 9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01" name="TextBox 100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2" name="TextBox 10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3" name="TextBox 10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4" name="TextBox 10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6" name="TextBox 10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7" name="TextBox 10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8" name="TextBox 10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09" name="TextBox 10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0" name="TextBox 10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1" name="TextBox 11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2" name="TextBox 11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3" name="TextBox 11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4" name="TextBox 11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5" name="TextBox 11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6" name="TextBox 11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7" name="TextBox 11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8" name="TextBox 11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19" name="TextBox 11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0" name="TextBox 11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1" name="TextBox 12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2" name="TextBox 12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3" name="TextBox 12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4" name="TextBox 12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5" name="TextBox 12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6" name="TextBox 12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7" name="TextBox 12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8" name="TextBox 12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29" name="TextBox 12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0" name="TextBox 12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1" name="TextBox 13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2" name="TextBox 13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3" name="TextBox 13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4" name="TextBox 13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5" name="TextBox 13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6" name="TextBox 13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7" name="TextBox 13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8" name="TextBox 13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39" name="TextBox 13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0" name="TextBox 13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1" name="TextBox 14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2" name="TextBox 14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3" name="TextBox 14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4" name="TextBox 14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5" name="TextBox 14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6" name="TextBox 14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7" name="TextBox 14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8" name="TextBox 147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49" name="TextBox 148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0" name="TextBox 149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1" name="TextBox 150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2" name="TextBox 151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3" name="TextBox 152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4" name="TextBox 153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5" name="TextBox 154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6" name="TextBox 155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76038" cy="255462"/>
    <xdr:sp macro="" textlink="">
      <xdr:nvSpPr>
        <xdr:cNvPr id="157" name="TextBox 156"/>
        <xdr:cNvSpPr txBox="1"/>
      </xdr:nvSpPr>
      <xdr:spPr>
        <a:xfrm>
          <a:off x="13773150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6" name="TextBox 165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69" name="TextBox 168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29</xdr:row>
      <xdr:rowOff>6240</xdr:rowOff>
    </xdr:from>
    <xdr:ext cx="264560" cy="1248882"/>
    <xdr:sp macro="" textlink="">
      <xdr:nvSpPr>
        <xdr:cNvPr id="170" name="TextBox 169"/>
        <xdr:cNvSpPr txBox="1"/>
      </xdr:nvSpPr>
      <xdr:spPr>
        <a:xfrm rot="4668514">
          <a:off x="13280989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377315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6454" cy="264560"/>
    <xdr:sp macro="" textlink="">
      <xdr:nvSpPr>
        <xdr:cNvPr id="173" name="TextBox 172"/>
        <xdr:cNvSpPr txBox="1"/>
      </xdr:nvSpPr>
      <xdr:spPr>
        <a:xfrm flipH="1">
          <a:off x="13773150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9"/>
  <sheetViews>
    <sheetView workbookViewId="0">
      <pane xSplit="10" ySplit="15" topLeftCell="K95" activePane="bottomRight" state="frozen"/>
      <selection pane="topRight" activeCell="J1" sqref="J1"/>
      <selection pane="bottomLeft" activeCell="A16" sqref="A16"/>
      <selection pane="bottomRight" activeCell="J101" sqref="J101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customWidth="1"/>
    <col min="7" max="7" width="12.5703125" customWidth="1"/>
    <col min="8" max="8" width="15" customWidth="1"/>
    <col min="9" max="9" width="14.7109375" customWidth="1"/>
    <col min="10" max="10" width="13.7109375" customWidth="1"/>
    <col min="11" max="11" width="12.85546875" customWidth="1"/>
    <col min="12" max="12" width="10.7109375" customWidth="1"/>
    <col min="13" max="13" width="14.85546875" hidden="1" customWidth="1"/>
    <col min="14" max="14" width="15.5703125" hidden="1" customWidth="1"/>
    <col min="15" max="15" width="20.85546875" customWidth="1"/>
    <col min="16" max="16" width="12.140625" customWidth="1"/>
    <col min="17" max="17" width="6.140625" hidden="1" customWidth="1"/>
    <col min="18" max="18" width="14.5703125" hidden="1" customWidth="1"/>
    <col min="19" max="19" width="11.5703125" customWidth="1"/>
    <col min="20" max="20" width="17" customWidth="1"/>
  </cols>
  <sheetData>
    <row r="1" spans="1:20" ht="54" customHeight="1">
      <c r="A1" s="131" t="s">
        <v>226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0" ht="42.75" customHeight="1">
      <c r="A2" s="132" t="s">
        <v>313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20" ht="1.5" customHeight="1">
      <c r="A3" s="133"/>
      <c r="B3" s="133"/>
      <c r="C3" s="133"/>
      <c r="D3" s="34"/>
      <c r="E3" s="34"/>
      <c r="F3" s="34"/>
      <c r="G3" s="34"/>
      <c r="H3" s="29"/>
      <c r="I3" s="29"/>
      <c r="J3" s="29"/>
      <c r="K3" s="29"/>
      <c r="L3" s="29"/>
      <c r="M3" s="29"/>
      <c r="N3" s="29"/>
    </row>
    <row r="4" spans="1:20" ht="18.75">
      <c r="A4" s="134" t="s">
        <v>0</v>
      </c>
      <c r="B4" s="137" t="s">
        <v>1</v>
      </c>
      <c r="C4" s="134" t="s">
        <v>217</v>
      </c>
      <c r="D4" s="140" t="s">
        <v>304</v>
      </c>
      <c r="E4" s="141"/>
      <c r="F4" s="141"/>
      <c r="G4" s="142"/>
      <c r="H4" s="140" t="s">
        <v>227</v>
      </c>
      <c r="I4" s="141"/>
      <c r="J4" s="141"/>
      <c r="K4" s="141"/>
      <c r="L4" s="142"/>
      <c r="M4" s="143" t="s">
        <v>239</v>
      </c>
      <c r="N4" s="144"/>
    </row>
    <row r="5" spans="1:20" ht="15" customHeight="1">
      <c r="A5" s="135"/>
      <c r="B5" s="138"/>
      <c r="C5" s="135"/>
      <c r="D5" s="127" t="s">
        <v>305</v>
      </c>
      <c r="E5" s="127" t="s">
        <v>306</v>
      </c>
      <c r="F5" s="127" t="s">
        <v>229</v>
      </c>
      <c r="G5" s="127" t="s">
        <v>219</v>
      </c>
      <c r="H5" s="127" t="s">
        <v>305</v>
      </c>
      <c r="I5" s="127" t="s">
        <v>306</v>
      </c>
      <c r="J5" s="127" t="s">
        <v>229</v>
      </c>
      <c r="K5" s="127" t="s">
        <v>219</v>
      </c>
      <c r="L5" s="127" t="s">
        <v>236</v>
      </c>
      <c r="M5" s="145"/>
      <c r="N5" s="146"/>
    </row>
    <row r="6" spans="1:20" ht="41.25" customHeight="1">
      <c r="A6" s="136"/>
      <c r="B6" s="139"/>
      <c r="C6" s="136"/>
      <c r="D6" s="128"/>
      <c r="E6" s="128"/>
      <c r="F6" s="128"/>
      <c r="G6" s="128"/>
      <c r="H6" s="128"/>
      <c r="I6" s="128"/>
      <c r="J6" s="128"/>
      <c r="K6" s="128"/>
      <c r="L6" s="128"/>
      <c r="M6" s="147"/>
      <c r="N6" s="148"/>
    </row>
    <row r="7" spans="1:20" ht="15.75" customHeight="1">
      <c r="A7" s="5">
        <v>1</v>
      </c>
      <c r="B7" s="5">
        <v>2</v>
      </c>
      <c r="C7" s="5">
        <v>3</v>
      </c>
      <c r="D7" s="35"/>
      <c r="E7" s="35"/>
      <c r="F7" s="35"/>
      <c r="G7" s="35"/>
      <c r="H7" s="5">
        <v>4</v>
      </c>
      <c r="I7" s="5">
        <v>5</v>
      </c>
      <c r="J7" s="5">
        <v>6</v>
      </c>
      <c r="K7" s="35"/>
      <c r="L7" s="5">
        <v>7</v>
      </c>
      <c r="M7" s="129">
        <v>8</v>
      </c>
      <c r="N7" s="130"/>
      <c r="O7" s="30">
        <f>O8-F8</f>
        <v>-35.89100000000326</v>
      </c>
    </row>
    <row r="8" spans="1:20" ht="39" customHeight="1">
      <c r="A8" s="31" t="s">
        <v>2</v>
      </c>
      <c r="B8" s="6" t="s">
        <v>3</v>
      </c>
      <c r="C8" s="31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66152.906000000003</v>
      </c>
      <c r="G8" s="7">
        <f>F8-E8</f>
        <v>-1944.676999999996</v>
      </c>
      <c r="H8" s="7">
        <f>H9+H87+H93+H95+H97</f>
        <v>73170.115000000005</v>
      </c>
      <c r="I8" s="21">
        <f>I9+I87+I93+I95+I97</f>
        <v>68097.582999999999</v>
      </c>
      <c r="J8" s="7">
        <f>J9+J87+J93+J95+J97</f>
        <v>66152.906000000003</v>
      </c>
      <c r="K8" s="7">
        <f>J8-I8</f>
        <v>-1944.676999999996</v>
      </c>
      <c r="L8" s="21">
        <f>K8/I8*100</f>
        <v>-2.8557210319784714</v>
      </c>
      <c r="M8" s="110"/>
      <c r="N8" s="111"/>
      <c r="O8">
        <v>66117.014999999999</v>
      </c>
      <c r="P8">
        <v>817171</v>
      </c>
      <c r="S8">
        <f>P8/12</f>
        <v>68097.583333333328</v>
      </c>
      <c r="T8" s="30">
        <f>J8-F8</f>
        <v>0</v>
      </c>
    </row>
    <row r="9" spans="1:20" ht="17.25" customHeight="1">
      <c r="A9" s="31" t="s">
        <v>5</v>
      </c>
      <c r="B9" s="6" t="s">
        <v>6</v>
      </c>
      <c r="C9" s="31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35332.527000000002</v>
      </c>
      <c r="G9" s="7">
        <f>F9-E9</f>
        <v>3197.4429999999993</v>
      </c>
      <c r="H9" s="7">
        <f>H10+H37+H72</f>
        <v>35732.106</v>
      </c>
      <c r="I9" s="21">
        <f>I10+I37+I72</f>
        <v>32135.084000000003</v>
      </c>
      <c r="J9" s="7">
        <f>J10+J37+J72</f>
        <v>35332.527000000002</v>
      </c>
      <c r="K9" s="7">
        <f>J9-I9</f>
        <v>3197.4429999999993</v>
      </c>
      <c r="L9" s="21">
        <f>K9/I9*100</f>
        <v>9.9500066656119497</v>
      </c>
      <c r="M9" s="110"/>
      <c r="N9" s="111"/>
      <c r="T9" s="30">
        <f t="shared" ref="T9:T72" si="0">J9-F9</f>
        <v>0</v>
      </c>
    </row>
    <row r="10" spans="1:20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4165.6280000000006</v>
      </c>
      <c r="G10" s="10">
        <f>F10-E10</f>
        <v>-1729.7059999999992</v>
      </c>
      <c r="H10" s="10">
        <f>H11+H30+H35</f>
        <v>7601.0440000000008</v>
      </c>
      <c r="I10" s="10">
        <f>I11+I30+I35</f>
        <v>5895.3339999999998</v>
      </c>
      <c r="J10" s="10">
        <f>J11+J30+J35</f>
        <v>4165.6280000000006</v>
      </c>
      <c r="K10" s="10">
        <f>J10-I10</f>
        <v>-1729.7059999999992</v>
      </c>
      <c r="L10" s="16">
        <f>K10/I10*100</f>
        <v>-29.340254513145471</v>
      </c>
      <c r="M10" s="110"/>
      <c r="N10" s="111"/>
      <c r="T10" s="30">
        <f t="shared" si="0"/>
        <v>0</v>
      </c>
    </row>
    <row r="11" spans="1:20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3023.9790000000003</v>
      </c>
      <c r="G11" s="10">
        <f t="shared" ref="G11:G74" si="1">F11-E11</f>
        <v>-1946.1039999999994</v>
      </c>
      <c r="H11" s="10">
        <f>H12+H15+H18+H21+H24+H27</f>
        <v>5032.2450000000008</v>
      </c>
      <c r="I11" s="8">
        <v>4970.0829999999996</v>
      </c>
      <c r="J11" s="10">
        <f>J12+J15+J18+J21+J24+J27</f>
        <v>3023.9790000000003</v>
      </c>
      <c r="K11" s="10">
        <f t="shared" ref="K11:K74" si="2">J11-I11</f>
        <v>-1946.1039999999994</v>
      </c>
      <c r="L11" s="16">
        <f t="shared" ref="L11:L72" si="3">K11/I11*100</f>
        <v>-39.15636821356906</v>
      </c>
      <c r="M11" s="110"/>
      <c r="N11" s="111"/>
      <c r="T11" s="30">
        <f t="shared" si="0"/>
        <v>0</v>
      </c>
    </row>
    <row r="12" spans="1:20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5">
        <v>517.89300000000003</v>
      </c>
      <c r="G12" s="10">
        <f t="shared" si="1"/>
        <v>517.89300000000003</v>
      </c>
      <c r="H12" s="10">
        <v>852.13199999999995</v>
      </c>
      <c r="I12" s="8"/>
      <c r="J12" s="8">
        <v>517.89300000000003</v>
      </c>
      <c r="K12" s="10">
        <f t="shared" si="2"/>
        <v>517.89300000000003</v>
      </c>
      <c r="L12" s="16"/>
      <c r="M12" s="112" t="s">
        <v>297</v>
      </c>
      <c r="N12" s="113"/>
      <c r="T12" s="30">
        <f t="shared" si="0"/>
        <v>0</v>
      </c>
    </row>
    <row r="13" spans="1:20" ht="17.25" customHeight="1">
      <c r="A13" s="8"/>
      <c r="B13" s="12" t="s">
        <v>13</v>
      </c>
      <c r="C13" s="13" t="s">
        <v>14</v>
      </c>
      <c r="D13" s="14">
        <v>3667</v>
      </c>
      <c r="E13" s="13"/>
      <c r="F13" s="13">
        <v>1706</v>
      </c>
      <c r="G13" s="10">
        <f t="shared" si="1"/>
        <v>1706</v>
      </c>
      <c r="H13" s="14">
        <v>3667</v>
      </c>
      <c r="I13" s="13"/>
      <c r="J13" s="13">
        <v>1706</v>
      </c>
      <c r="K13" s="10">
        <f t="shared" si="2"/>
        <v>1706</v>
      </c>
      <c r="L13" s="16"/>
      <c r="M13" s="110"/>
      <c r="N13" s="111"/>
      <c r="T13" s="30">
        <f t="shared" si="0"/>
        <v>0</v>
      </c>
    </row>
    <row r="14" spans="1:20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3"/>
      <c r="F14" s="16">
        <f>F12/F13*1000</f>
        <v>303.57151230949592</v>
      </c>
      <c r="G14" s="10">
        <f t="shared" si="1"/>
        <v>303.57151230949592</v>
      </c>
      <c r="H14" s="16">
        <f>H12/H13*1000</f>
        <v>232.37851104445048</v>
      </c>
      <c r="I14" s="13"/>
      <c r="J14" s="16">
        <f>J12/J13*1000</f>
        <v>303.57151230949592</v>
      </c>
      <c r="K14" s="10">
        <f t="shared" si="2"/>
        <v>303.57151230949592</v>
      </c>
      <c r="L14" s="16"/>
      <c r="M14" s="110"/>
      <c r="N14" s="111"/>
      <c r="T14" s="30">
        <f t="shared" si="0"/>
        <v>0</v>
      </c>
    </row>
    <row r="15" spans="1:20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5">
        <v>1535.886</v>
      </c>
      <c r="G15" s="10">
        <f t="shared" si="1"/>
        <v>1535.886</v>
      </c>
      <c r="H15" s="10">
        <v>2808.576</v>
      </c>
      <c r="I15" s="8"/>
      <c r="J15" s="8">
        <v>1535.886</v>
      </c>
      <c r="K15" s="10">
        <f t="shared" si="2"/>
        <v>1535.886</v>
      </c>
      <c r="L15" s="16"/>
      <c r="M15" s="110"/>
      <c r="N15" s="111"/>
      <c r="T15" s="30">
        <f t="shared" si="0"/>
        <v>0</v>
      </c>
    </row>
    <row r="16" spans="1:20" ht="17.25" customHeight="1">
      <c r="A16" s="8"/>
      <c r="B16" s="12" t="s">
        <v>13</v>
      </c>
      <c r="C16" s="13" t="s">
        <v>14</v>
      </c>
      <c r="D16" s="14">
        <v>15000</v>
      </c>
      <c r="E16" s="13"/>
      <c r="F16" s="13">
        <v>12151</v>
      </c>
      <c r="G16" s="10">
        <f t="shared" si="1"/>
        <v>12151</v>
      </c>
      <c r="H16" s="14">
        <v>15000</v>
      </c>
      <c r="I16" s="13"/>
      <c r="J16" s="13">
        <v>12151</v>
      </c>
      <c r="K16" s="10">
        <f t="shared" si="2"/>
        <v>12151</v>
      </c>
      <c r="L16" s="16"/>
      <c r="M16" s="110"/>
      <c r="N16" s="111"/>
      <c r="T16" s="30">
        <f t="shared" si="0"/>
        <v>0</v>
      </c>
    </row>
    <row r="17" spans="1:20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4">F15/F16*1000</f>
        <v>126.39996708089868</v>
      </c>
      <c r="G17" s="10">
        <f t="shared" si="1"/>
        <v>126.39996708089868</v>
      </c>
      <c r="H17" s="16">
        <f>H15/H16*1000</f>
        <v>187.23840000000001</v>
      </c>
      <c r="I17" s="16"/>
      <c r="J17" s="16">
        <f t="shared" ref="J17" si="5">J15/J16*1000</f>
        <v>126.39996708089868</v>
      </c>
      <c r="K17" s="10">
        <f t="shared" si="2"/>
        <v>126.39996708089868</v>
      </c>
      <c r="L17" s="16"/>
      <c r="M17" s="110"/>
      <c r="N17" s="111"/>
      <c r="T17" s="30">
        <f t="shared" si="0"/>
        <v>0</v>
      </c>
    </row>
    <row r="18" spans="1:20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88</v>
      </c>
      <c r="G18" s="10">
        <f t="shared" si="1"/>
        <v>88</v>
      </c>
      <c r="H18" s="10">
        <v>241.64599999999999</v>
      </c>
      <c r="I18" s="8"/>
      <c r="J18" s="10">
        <v>88</v>
      </c>
      <c r="K18" s="10">
        <f t="shared" si="2"/>
        <v>88</v>
      </c>
      <c r="L18" s="16"/>
      <c r="M18" s="110"/>
      <c r="N18" s="111"/>
      <c r="T18" s="30">
        <f t="shared" si="0"/>
        <v>0</v>
      </c>
    </row>
    <row r="19" spans="1:20" ht="17.25" customHeight="1">
      <c r="A19" s="8"/>
      <c r="B19" s="12" t="s">
        <v>13</v>
      </c>
      <c r="C19" s="13" t="s">
        <v>14</v>
      </c>
      <c r="D19" s="14">
        <v>1025</v>
      </c>
      <c r="E19" s="13"/>
      <c r="F19" s="13">
        <v>200</v>
      </c>
      <c r="G19" s="10">
        <f t="shared" si="1"/>
        <v>200</v>
      </c>
      <c r="H19" s="14">
        <v>1025</v>
      </c>
      <c r="I19" s="13"/>
      <c r="J19" s="13">
        <v>200</v>
      </c>
      <c r="K19" s="10">
        <f t="shared" si="2"/>
        <v>200</v>
      </c>
      <c r="L19" s="16"/>
      <c r="M19" s="110"/>
      <c r="N19" s="111"/>
      <c r="T19" s="30">
        <f t="shared" si="0"/>
        <v>0</v>
      </c>
    </row>
    <row r="20" spans="1:20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3"/>
      <c r="F20" s="13"/>
      <c r="G20" s="10">
        <f t="shared" si="1"/>
        <v>0</v>
      </c>
      <c r="H20" s="16">
        <f>H18/H19*1000</f>
        <v>235.75219512195119</v>
      </c>
      <c r="I20" s="16"/>
      <c r="J20" s="16">
        <f t="shared" ref="J20" si="6">J18/J19*1000</f>
        <v>440</v>
      </c>
      <c r="K20" s="10">
        <f t="shared" si="2"/>
        <v>440</v>
      </c>
      <c r="L20" s="16"/>
      <c r="M20" s="110"/>
      <c r="N20" s="111"/>
      <c r="T20" s="30">
        <f t="shared" si="0"/>
        <v>440</v>
      </c>
    </row>
    <row r="21" spans="1:20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882.2</v>
      </c>
      <c r="G21" s="10">
        <f t="shared" si="1"/>
        <v>882.2</v>
      </c>
      <c r="H21" s="10">
        <v>750.73</v>
      </c>
      <c r="I21" s="8"/>
      <c r="J21" s="10">
        <v>882.2</v>
      </c>
      <c r="K21" s="10">
        <f t="shared" si="2"/>
        <v>882.2</v>
      </c>
      <c r="L21" s="16"/>
      <c r="M21" s="110"/>
      <c r="N21" s="111"/>
      <c r="T21" s="30">
        <f t="shared" si="0"/>
        <v>0</v>
      </c>
    </row>
    <row r="22" spans="1:20" ht="17.25" customHeight="1">
      <c r="A22" s="8"/>
      <c r="B22" s="12" t="s">
        <v>13</v>
      </c>
      <c r="C22" s="13" t="s">
        <v>14</v>
      </c>
      <c r="D22" s="14">
        <v>5883</v>
      </c>
      <c r="E22" s="13"/>
      <c r="F22" s="13">
        <v>4900</v>
      </c>
      <c r="G22" s="10">
        <f t="shared" si="1"/>
        <v>4900</v>
      </c>
      <c r="H22" s="14">
        <v>5883</v>
      </c>
      <c r="I22" s="13"/>
      <c r="J22" s="13">
        <v>4900</v>
      </c>
      <c r="K22" s="10">
        <f t="shared" si="2"/>
        <v>4900</v>
      </c>
      <c r="L22" s="16"/>
      <c r="M22" s="110"/>
      <c r="N22" s="111"/>
      <c r="T22" s="30">
        <f t="shared" si="0"/>
        <v>0</v>
      </c>
    </row>
    <row r="23" spans="1:20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3"/>
      <c r="F23" s="13"/>
      <c r="G23" s="10">
        <f t="shared" si="1"/>
        <v>0</v>
      </c>
      <c r="H23" s="16">
        <f>H21/H22*1000</f>
        <v>127.61006289308177</v>
      </c>
      <c r="I23" s="16"/>
      <c r="J23" s="16">
        <f t="shared" ref="J23" si="7">J21/J22*1000</f>
        <v>180.04081632653063</v>
      </c>
      <c r="K23" s="10">
        <f t="shared" si="2"/>
        <v>180.04081632653063</v>
      </c>
      <c r="L23" s="16"/>
      <c r="M23" s="110"/>
      <c r="N23" s="111"/>
      <c r="T23" s="30">
        <f t="shared" si="0"/>
        <v>180.04081632653063</v>
      </c>
    </row>
    <row r="24" spans="1:20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8"/>
      <c r="G24" s="10">
        <f t="shared" si="1"/>
        <v>0</v>
      </c>
      <c r="H24" s="10">
        <v>165.005</v>
      </c>
      <c r="I24" s="8"/>
      <c r="J24" s="8">
        <v>0</v>
      </c>
      <c r="K24" s="10">
        <f t="shared" si="2"/>
        <v>0</v>
      </c>
      <c r="L24" s="16"/>
      <c r="M24" s="110"/>
      <c r="N24" s="111"/>
      <c r="T24" s="30">
        <f t="shared" si="0"/>
        <v>0</v>
      </c>
    </row>
    <row r="25" spans="1:20" ht="17.25" customHeight="1">
      <c r="A25" s="8"/>
      <c r="B25" s="12" t="s">
        <v>13</v>
      </c>
      <c r="C25" s="13" t="s">
        <v>14</v>
      </c>
      <c r="D25" s="14">
        <v>251</v>
      </c>
      <c r="E25" s="13"/>
      <c r="F25" s="13"/>
      <c r="G25" s="10">
        <f t="shared" si="1"/>
        <v>0</v>
      </c>
      <c r="H25" s="14">
        <v>251</v>
      </c>
      <c r="I25" s="13"/>
      <c r="J25" s="13"/>
      <c r="K25" s="10">
        <f t="shared" si="2"/>
        <v>0</v>
      </c>
      <c r="L25" s="16"/>
      <c r="M25" s="110"/>
      <c r="N25" s="111"/>
      <c r="T25" s="30">
        <f t="shared" si="0"/>
        <v>0</v>
      </c>
    </row>
    <row r="26" spans="1:20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/>
      <c r="F26" s="16"/>
      <c r="G26" s="10">
        <f t="shared" si="1"/>
        <v>0</v>
      </c>
      <c r="H26" s="16">
        <f>H24/H25*1000</f>
        <v>657.39043824701196</v>
      </c>
      <c r="I26" s="16"/>
      <c r="J26" s="16"/>
      <c r="K26" s="10"/>
      <c r="L26" s="16"/>
      <c r="M26" s="110"/>
      <c r="N26" s="111"/>
      <c r="T26" s="30">
        <f t="shared" si="0"/>
        <v>0</v>
      </c>
    </row>
    <row r="27" spans="1:20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1"/>
        <v>0</v>
      </c>
      <c r="H27" s="10">
        <v>214.15600000000001</v>
      </c>
      <c r="I27" s="8"/>
      <c r="J27" s="8">
        <v>0</v>
      </c>
      <c r="K27" s="10">
        <f t="shared" si="2"/>
        <v>0</v>
      </c>
      <c r="L27" s="16"/>
      <c r="M27" s="110"/>
      <c r="N27" s="111"/>
      <c r="T27" s="30">
        <f t="shared" si="0"/>
        <v>0</v>
      </c>
    </row>
    <row r="28" spans="1:20" ht="17.25" customHeight="1">
      <c r="A28" s="8"/>
      <c r="B28" s="12" t="s">
        <v>13</v>
      </c>
      <c r="C28" s="13" t="s">
        <v>14</v>
      </c>
      <c r="D28" s="14">
        <v>238</v>
      </c>
      <c r="E28" s="13"/>
      <c r="F28" s="13"/>
      <c r="G28" s="10">
        <f t="shared" si="1"/>
        <v>0</v>
      </c>
      <c r="H28" s="14">
        <v>238</v>
      </c>
      <c r="I28" s="13"/>
      <c r="J28" s="13"/>
      <c r="K28" s="10">
        <f t="shared" si="2"/>
        <v>0</v>
      </c>
      <c r="L28" s="16"/>
      <c r="M28" s="110"/>
      <c r="N28" s="111"/>
      <c r="T28" s="30">
        <f t="shared" si="0"/>
        <v>0</v>
      </c>
    </row>
    <row r="29" spans="1:20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13"/>
      <c r="G29" s="10">
        <f t="shared" si="1"/>
        <v>0</v>
      </c>
      <c r="H29" s="16">
        <f>H27/H28*1000</f>
        <v>899.81512605042019</v>
      </c>
      <c r="I29" s="13"/>
      <c r="J29" s="13"/>
      <c r="K29" s="10">
        <f t="shared" si="2"/>
        <v>0</v>
      </c>
      <c r="L29" s="16"/>
      <c r="M29" s="110"/>
      <c r="N29" s="111"/>
      <c r="T29" s="30">
        <f t="shared" si="0"/>
        <v>0</v>
      </c>
    </row>
    <row r="30" spans="1:20" ht="17.25" customHeight="1">
      <c r="A30" s="18" t="s">
        <v>26</v>
      </c>
      <c r="B30" s="9" t="s">
        <v>27</v>
      </c>
      <c r="C30" s="8" t="s">
        <v>4</v>
      </c>
      <c r="D30" s="10">
        <f t="shared" ref="D30:F30" si="8">D31+D32+D33+D34</f>
        <v>2406.0839999999998</v>
      </c>
      <c r="E30" s="8">
        <v>762.50099999999998</v>
      </c>
      <c r="F30" s="10">
        <f t="shared" si="8"/>
        <v>378.35300000000001</v>
      </c>
      <c r="G30" s="10">
        <f t="shared" si="1"/>
        <v>-384.14799999999997</v>
      </c>
      <c r="H30" s="10">
        <f t="shared" ref="H30" si="9">H31+H32+H33+H34</f>
        <v>2406.0839999999998</v>
      </c>
      <c r="I30" s="8">
        <v>762.50099999999998</v>
      </c>
      <c r="J30" s="10">
        <f t="shared" ref="J30" si="10">J31+J32+J33+J34</f>
        <v>378.35300000000001</v>
      </c>
      <c r="K30" s="10">
        <f t="shared" si="2"/>
        <v>-384.14799999999997</v>
      </c>
      <c r="L30" s="16">
        <f t="shared" si="3"/>
        <v>-50.379999501639993</v>
      </c>
      <c r="M30" s="110"/>
      <c r="N30" s="111"/>
      <c r="P30">
        <v>9150</v>
      </c>
      <c r="S30" s="30">
        <f>P30/12</f>
        <v>762.5</v>
      </c>
      <c r="T30" s="30">
        <f t="shared" si="0"/>
        <v>0</v>
      </c>
    </row>
    <row r="31" spans="1:20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248.63900000000001</v>
      </c>
      <c r="G31" s="10">
        <f t="shared" si="1"/>
        <v>248.63900000000001</v>
      </c>
      <c r="H31" s="10">
        <v>2288.5219999999999</v>
      </c>
      <c r="I31" s="8"/>
      <c r="J31" s="8">
        <f>F31</f>
        <v>248.63900000000001</v>
      </c>
      <c r="K31" s="10">
        <f t="shared" si="2"/>
        <v>248.63900000000001</v>
      </c>
      <c r="L31" s="16"/>
      <c r="M31" s="110"/>
      <c r="N31" s="111"/>
      <c r="T31" s="30">
        <f t="shared" si="0"/>
        <v>0</v>
      </c>
    </row>
    <row r="32" spans="1:20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87.44</v>
      </c>
      <c r="G32" s="10">
        <f t="shared" si="1"/>
        <v>87.44</v>
      </c>
      <c r="H32" s="10">
        <v>60.337000000000003</v>
      </c>
      <c r="I32" s="8"/>
      <c r="J32" s="10">
        <v>87.44</v>
      </c>
      <c r="K32" s="10">
        <f t="shared" si="2"/>
        <v>87.44</v>
      </c>
      <c r="L32" s="16"/>
      <c r="M32" s="112" t="s">
        <v>285</v>
      </c>
      <c r="N32" s="113"/>
      <c r="T32" s="30">
        <f t="shared" si="0"/>
        <v>0</v>
      </c>
    </row>
    <row r="33" spans="1:20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4.6360000000000001</v>
      </c>
      <c r="G33" s="10">
        <f t="shared" si="1"/>
        <v>4.6360000000000001</v>
      </c>
      <c r="H33" s="10">
        <v>19.736999999999998</v>
      </c>
      <c r="I33" s="8"/>
      <c r="J33" s="8">
        <v>4.6360000000000001</v>
      </c>
      <c r="K33" s="10">
        <f t="shared" si="2"/>
        <v>4.6360000000000001</v>
      </c>
      <c r="L33" s="16"/>
      <c r="M33" s="110"/>
      <c r="N33" s="111"/>
      <c r="T33" s="30">
        <f t="shared" si="0"/>
        <v>0</v>
      </c>
    </row>
    <row r="34" spans="1:20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37.637999999999998</v>
      </c>
      <c r="G34" s="10">
        <f t="shared" si="1"/>
        <v>37.637999999999998</v>
      </c>
      <c r="H34" s="10">
        <v>37.488</v>
      </c>
      <c r="I34" s="8"/>
      <c r="J34" s="8">
        <f>F34</f>
        <v>37.637999999999998</v>
      </c>
      <c r="K34" s="10">
        <f t="shared" si="2"/>
        <v>37.637999999999998</v>
      </c>
      <c r="L34" s="16"/>
      <c r="M34" s="110"/>
      <c r="N34" s="111"/>
      <c r="T34" s="30">
        <f t="shared" si="0"/>
        <v>0</v>
      </c>
    </row>
    <row r="35" spans="1:20" ht="17.25" customHeight="1">
      <c r="A35" s="18" t="s">
        <v>36</v>
      </c>
      <c r="B35" s="9" t="s">
        <v>37</v>
      </c>
      <c r="C35" s="8" t="s">
        <v>4</v>
      </c>
      <c r="D35" s="10">
        <f t="shared" ref="D35:J35" si="11">D36</f>
        <v>162.715</v>
      </c>
      <c r="E35" s="10">
        <f t="shared" si="11"/>
        <v>162.75</v>
      </c>
      <c r="F35" s="10">
        <f t="shared" si="11"/>
        <v>763.29600000000005</v>
      </c>
      <c r="G35" s="10">
        <f t="shared" si="1"/>
        <v>600.54600000000005</v>
      </c>
      <c r="H35" s="10">
        <f t="shared" si="11"/>
        <v>162.715</v>
      </c>
      <c r="I35" s="10">
        <f t="shared" si="11"/>
        <v>162.75</v>
      </c>
      <c r="J35" s="10">
        <f t="shared" si="11"/>
        <v>763.29600000000005</v>
      </c>
      <c r="K35" s="10">
        <f t="shared" si="2"/>
        <v>600.54600000000005</v>
      </c>
      <c r="L35" s="16">
        <f t="shared" si="3"/>
        <v>368.99907834101384</v>
      </c>
      <c r="M35" s="110"/>
      <c r="N35" s="111"/>
      <c r="P35" s="30">
        <v>1953</v>
      </c>
      <c r="S35">
        <f>P35/12</f>
        <v>162.75</v>
      </c>
      <c r="T35" s="30">
        <f t="shared" si="0"/>
        <v>0</v>
      </c>
    </row>
    <row r="36" spans="1:20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5">
        <v>763.29600000000005</v>
      </c>
      <c r="G36" s="10">
        <f t="shared" si="1"/>
        <v>600.54600000000005</v>
      </c>
      <c r="H36" s="10">
        <v>162.715</v>
      </c>
      <c r="I36" s="8">
        <v>162.75</v>
      </c>
      <c r="J36" s="8">
        <v>763.29600000000005</v>
      </c>
      <c r="K36" s="10">
        <f t="shared" si="2"/>
        <v>600.54600000000005</v>
      </c>
      <c r="L36" s="16">
        <f t="shared" si="3"/>
        <v>368.99907834101384</v>
      </c>
      <c r="M36" s="110"/>
      <c r="N36" s="111"/>
      <c r="T36" s="30">
        <f t="shared" si="0"/>
        <v>0</v>
      </c>
    </row>
    <row r="37" spans="1:20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f>1225.75+E38</f>
        <v>1933.0830000000001</v>
      </c>
      <c r="F37" s="10">
        <f>F38+F41+F48+F51</f>
        <v>2837.9060000000004</v>
      </c>
      <c r="G37" s="10">
        <f t="shared" si="1"/>
        <v>904.82300000000032</v>
      </c>
      <c r="H37" s="10">
        <f>H38+H41+H48+H51</f>
        <v>1613.3909999999998</v>
      </c>
      <c r="I37" s="8">
        <f>1225.75+I38</f>
        <v>1933.0830000000001</v>
      </c>
      <c r="J37" s="10">
        <f>J38+J41+J48+J51</f>
        <v>2837.9060000000004</v>
      </c>
      <c r="K37" s="10">
        <f t="shared" si="2"/>
        <v>904.82300000000032</v>
      </c>
      <c r="L37" s="16">
        <f t="shared" si="3"/>
        <v>46.807250387075996</v>
      </c>
      <c r="M37" s="110"/>
      <c r="N37" s="111"/>
      <c r="T37" s="30">
        <f t="shared" si="0"/>
        <v>0</v>
      </c>
    </row>
    <row r="38" spans="1:20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>
        <v>1612.5340000000001</v>
      </c>
      <c r="G38" s="10">
        <f t="shared" si="1"/>
        <v>905.20100000000014</v>
      </c>
      <c r="H38" s="10">
        <v>707.32500000000005</v>
      </c>
      <c r="I38" s="8">
        <v>707.33299999999997</v>
      </c>
      <c r="J38" s="8">
        <v>1612.5340000000001</v>
      </c>
      <c r="K38" s="10">
        <f t="shared" si="2"/>
        <v>905.20100000000014</v>
      </c>
      <c r="L38" s="16">
        <f t="shared" si="3"/>
        <v>127.97381148624483</v>
      </c>
      <c r="M38" s="110"/>
      <c r="N38" s="111"/>
      <c r="P38">
        <v>8488</v>
      </c>
      <c r="S38">
        <f>P38/12</f>
        <v>707.33333333333337</v>
      </c>
      <c r="T38" s="30">
        <f t="shared" si="0"/>
        <v>0</v>
      </c>
    </row>
    <row r="39" spans="1:20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259</v>
      </c>
      <c r="G39" s="10">
        <f t="shared" si="1"/>
        <v>259</v>
      </c>
      <c r="H39" s="14">
        <v>87</v>
      </c>
      <c r="I39" s="13"/>
      <c r="J39" s="8">
        <v>259</v>
      </c>
      <c r="K39" s="10">
        <f t="shared" si="2"/>
        <v>259</v>
      </c>
      <c r="L39" s="16"/>
      <c r="M39" s="110"/>
      <c r="N39" s="111"/>
      <c r="T39" s="30">
        <f t="shared" si="0"/>
        <v>0</v>
      </c>
    </row>
    <row r="40" spans="1:20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2">F38/F39*1000</f>
        <v>6226</v>
      </c>
      <c r="G40" s="10">
        <f t="shared" si="1"/>
        <v>6226</v>
      </c>
      <c r="H40" s="16">
        <f>H38/H39*1000</f>
        <v>8130.1724137931051</v>
      </c>
      <c r="I40" s="16"/>
      <c r="J40" s="16">
        <f t="shared" ref="J40" si="13">J38/J39*1000</f>
        <v>6226</v>
      </c>
      <c r="K40" s="10">
        <f t="shared" si="2"/>
        <v>6226</v>
      </c>
      <c r="L40" s="16"/>
      <c r="M40" s="110"/>
      <c r="N40" s="111"/>
      <c r="T40" s="30">
        <f t="shared" si="0"/>
        <v>0</v>
      </c>
    </row>
    <row r="41" spans="1:20" ht="17.25" customHeight="1">
      <c r="A41" s="18" t="s">
        <v>45</v>
      </c>
      <c r="B41" s="9" t="s">
        <v>46</v>
      </c>
      <c r="C41" s="8" t="s">
        <v>4</v>
      </c>
      <c r="D41" s="10">
        <f t="shared" ref="D41:F41" si="14">D42+D45</f>
        <v>315.00200000000001</v>
      </c>
      <c r="E41" s="10">
        <f t="shared" si="14"/>
        <v>0</v>
      </c>
      <c r="F41" s="10">
        <f t="shared" si="14"/>
        <v>426.61399999999998</v>
      </c>
      <c r="G41" s="10">
        <f t="shared" si="1"/>
        <v>426.61399999999998</v>
      </c>
      <c r="H41" s="10">
        <f t="shared" ref="H41:J41" si="15">H42+H45</f>
        <v>315.00200000000001</v>
      </c>
      <c r="I41" s="10">
        <f t="shared" si="15"/>
        <v>0</v>
      </c>
      <c r="J41" s="10">
        <f t="shared" si="15"/>
        <v>426.61399999999998</v>
      </c>
      <c r="K41" s="10">
        <f t="shared" si="2"/>
        <v>426.61399999999998</v>
      </c>
      <c r="L41" s="16"/>
      <c r="M41" s="110"/>
      <c r="N41" s="111"/>
      <c r="T41" s="30">
        <f t="shared" si="0"/>
        <v>0</v>
      </c>
    </row>
    <row r="42" spans="1:20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v>152.298</v>
      </c>
      <c r="I42" s="8"/>
      <c r="J42" s="8"/>
      <c r="K42" s="10">
        <f t="shared" si="2"/>
        <v>0</v>
      </c>
      <c r="L42" s="16"/>
      <c r="M42" s="123" t="s">
        <v>286</v>
      </c>
      <c r="N42" s="124"/>
      <c r="T42" s="30">
        <f t="shared" si="0"/>
        <v>0</v>
      </c>
    </row>
    <row r="43" spans="1:20" ht="17.25" customHeight="1">
      <c r="A43" s="8"/>
      <c r="B43" s="12" t="s">
        <v>48</v>
      </c>
      <c r="C43" s="13" t="s">
        <v>49</v>
      </c>
      <c r="D43" s="14">
        <v>1917</v>
      </c>
      <c r="E43" s="13"/>
      <c r="F43" s="13"/>
      <c r="G43" s="10">
        <f t="shared" si="1"/>
        <v>0</v>
      </c>
      <c r="H43" s="14">
        <v>1917</v>
      </c>
      <c r="I43" s="13"/>
      <c r="J43" s="13"/>
      <c r="K43" s="10">
        <f t="shared" si="2"/>
        <v>0</v>
      </c>
      <c r="L43" s="16"/>
      <c r="M43" s="125"/>
      <c r="N43" s="126"/>
      <c r="T43" s="30">
        <f t="shared" si="0"/>
        <v>0</v>
      </c>
    </row>
    <row r="44" spans="1:20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13"/>
      <c r="G44" s="10">
        <f t="shared" si="1"/>
        <v>0</v>
      </c>
      <c r="H44" s="16">
        <f>H42/H43*1000</f>
        <v>79.44600938967136</v>
      </c>
      <c r="I44" s="13"/>
      <c r="J44" s="13"/>
      <c r="K44" s="10">
        <f t="shared" si="2"/>
        <v>0</v>
      </c>
      <c r="L44" s="16"/>
      <c r="M44" s="110"/>
      <c r="N44" s="111"/>
      <c r="T44" s="30">
        <f t="shared" si="0"/>
        <v>0</v>
      </c>
    </row>
    <row r="45" spans="1:20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5">
        <v>426.61399999999998</v>
      </c>
      <c r="G45" s="10">
        <f t="shared" si="1"/>
        <v>426.61399999999998</v>
      </c>
      <c r="H45" s="10">
        <v>162.70400000000001</v>
      </c>
      <c r="I45" s="8"/>
      <c r="J45" s="8">
        <v>426.61399999999998</v>
      </c>
      <c r="K45" s="10">
        <f t="shared" si="2"/>
        <v>426.61399999999998</v>
      </c>
      <c r="L45" s="16"/>
      <c r="M45" s="110"/>
      <c r="N45" s="111"/>
      <c r="T45" s="30">
        <f t="shared" si="0"/>
        <v>0</v>
      </c>
    </row>
    <row r="46" spans="1:20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2913</v>
      </c>
      <c r="G46" s="10">
        <f t="shared" si="1"/>
        <v>2913</v>
      </c>
      <c r="H46" s="14">
        <v>1417</v>
      </c>
      <c r="I46" s="13"/>
      <c r="J46" s="13">
        <v>2913</v>
      </c>
      <c r="K46" s="10">
        <f t="shared" si="2"/>
        <v>2913</v>
      </c>
      <c r="L46" s="16"/>
      <c r="M46" s="110"/>
      <c r="N46" s="111"/>
      <c r="T46" s="30">
        <f t="shared" si="0"/>
        <v>0</v>
      </c>
    </row>
    <row r="47" spans="1:20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 t="e">
        <f t="shared" ref="E47:F47" si="16">E45/E46*1000</f>
        <v>#DIV/0!</v>
      </c>
      <c r="F47" s="16">
        <f t="shared" si="16"/>
        <v>146.45176793683487</v>
      </c>
      <c r="G47" s="10" t="e">
        <f t="shared" si="1"/>
        <v>#DIV/0!</v>
      </c>
      <c r="H47" s="16">
        <f>H45/H46*1000</f>
        <v>114.82286520818631</v>
      </c>
      <c r="I47" s="16"/>
      <c r="J47" s="16">
        <f t="shared" ref="J47" si="17">J45/J46*1000</f>
        <v>146.45176793683487</v>
      </c>
      <c r="K47" s="10">
        <f t="shared" si="2"/>
        <v>146.45176793683487</v>
      </c>
      <c r="L47" s="16"/>
      <c r="M47" s="110"/>
      <c r="N47" s="111"/>
      <c r="T47" s="30">
        <f t="shared" si="0"/>
        <v>0</v>
      </c>
    </row>
    <row r="48" spans="1:20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353.991+433.507</f>
        <v>787.49800000000005</v>
      </c>
      <c r="G48" s="10">
        <f t="shared" si="1"/>
        <v>787.49800000000005</v>
      </c>
      <c r="H48" s="10">
        <v>515.60799999999995</v>
      </c>
      <c r="I48" s="8"/>
      <c r="J48" s="8">
        <f>353.991+433.507</f>
        <v>787.49800000000005</v>
      </c>
      <c r="K48" s="10">
        <f t="shared" si="2"/>
        <v>787.49800000000005</v>
      </c>
      <c r="L48" s="16"/>
      <c r="M48" s="110"/>
      <c r="N48" s="111"/>
      <c r="T48" s="30">
        <f t="shared" si="0"/>
        <v>0</v>
      </c>
    </row>
    <row r="49" spans="1:20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5154</v>
      </c>
      <c r="G49" s="10">
        <f t="shared" si="1"/>
        <v>5154</v>
      </c>
      <c r="H49" s="14">
        <v>5833</v>
      </c>
      <c r="I49" s="14"/>
      <c r="J49" s="14">
        <v>5154</v>
      </c>
      <c r="K49" s="10">
        <f t="shared" si="2"/>
        <v>5154</v>
      </c>
      <c r="L49" s="16"/>
      <c r="M49" s="110"/>
      <c r="N49" s="111"/>
      <c r="T49" s="30">
        <f t="shared" si="0"/>
        <v>0</v>
      </c>
    </row>
    <row r="50" spans="1:20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18">F48/F49*1000</f>
        <v>152.79355840124177</v>
      </c>
      <c r="G50" s="10">
        <f t="shared" si="1"/>
        <v>152.79355840124177</v>
      </c>
      <c r="H50" s="16">
        <f>H48/H49*1000</f>
        <v>88.394993999657117</v>
      </c>
      <c r="I50" s="16"/>
      <c r="J50" s="16">
        <f t="shared" ref="J50" si="19">J48/J49*1000</f>
        <v>152.79355840124177</v>
      </c>
      <c r="K50" s="10">
        <f t="shared" si="2"/>
        <v>152.79355840124177</v>
      </c>
      <c r="L50" s="16"/>
      <c r="M50" s="110"/>
      <c r="N50" s="111"/>
      <c r="T50" s="30">
        <f t="shared" si="0"/>
        <v>0</v>
      </c>
    </row>
    <row r="51" spans="1:20" ht="17.25" customHeight="1">
      <c r="A51" s="18" t="s">
        <v>54</v>
      </c>
      <c r="B51" s="20" t="s">
        <v>55</v>
      </c>
      <c r="C51" s="8" t="s">
        <v>4</v>
      </c>
      <c r="D51" s="10">
        <f t="shared" ref="D51:F51" si="20">D54+D57+D60+D63+D66+D69</f>
        <v>75.456000000000003</v>
      </c>
      <c r="E51" s="10"/>
      <c r="F51" s="10">
        <f t="shared" si="20"/>
        <v>11.26</v>
      </c>
      <c r="G51" s="10">
        <f t="shared" si="1"/>
        <v>11.26</v>
      </c>
      <c r="H51" s="10">
        <f t="shared" ref="H51:H52" si="21">H54+H57+H60+H63+H66+H69</f>
        <v>75.456000000000003</v>
      </c>
      <c r="I51" s="10"/>
      <c r="J51" s="10">
        <f t="shared" ref="J51:J52" si="22">J54+J57+J60+J63+J66+J69</f>
        <v>11.26</v>
      </c>
      <c r="K51" s="10">
        <f t="shared" si="2"/>
        <v>11.26</v>
      </c>
      <c r="L51" s="16"/>
      <c r="M51" s="110"/>
      <c r="N51" s="111"/>
      <c r="T51" s="30">
        <f t="shared" si="0"/>
        <v>0</v>
      </c>
    </row>
    <row r="52" spans="1:20" ht="17.25" customHeight="1">
      <c r="A52" s="8"/>
      <c r="B52" s="19" t="s">
        <v>13</v>
      </c>
      <c r="C52" s="13" t="s">
        <v>49</v>
      </c>
      <c r="D52" s="14">
        <f t="shared" ref="D52" si="23">D55+D58+D61+D64+D67+D70</f>
        <v>177</v>
      </c>
      <c r="E52" s="13"/>
      <c r="F52" s="13"/>
      <c r="G52" s="10">
        <f t="shared" si="1"/>
        <v>0</v>
      </c>
      <c r="H52" s="14">
        <f t="shared" si="21"/>
        <v>177</v>
      </c>
      <c r="I52" s="13"/>
      <c r="J52" s="14">
        <f t="shared" si="22"/>
        <v>20</v>
      </c>
      <c r="K52" s="10">
        <f t="shared" si="2"/>
        <v>20</v>
      </c>
      <c r="L52" s="16"/>
      <c r="M52" s="110"/>
      <c r="N52" s="111"/>
      <c r="T52" s="30">
        <f t="shared" si="0"/>
        <v>20</v>
      </c>
    </row>
    <row r="53" spans="1:20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3"/>
      <c r="F53" s="13"/>
      <c r="G53" s="10">
        <f t="shared" si="1"/>
        <v>0</v>
      </c>
      <c r="H53" s="16">
        <f>H51/H52*1000</f>
        <v>426.30508474576271</v>
      </c>
      <c r="I53" s="13"/>
      <c r="J53" s="13"/>
      <c r="K53" s="10">
        <f t="shared" si="2"/>
        <v>0</v>
      </c>
      <c r="L53" s="16"/>
      <c r="M53" s="110"/>
      <c r="N53" s="111"/>
      <c r="T53" s="30">
        <f t="shared" si="0"/>
        <v>0</v>
      </c>
    </row>
    <row r="54" spans="1:20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11.26</v>
      </c>
      <c r="G54" s="10">
        <f t="shared" si="1"/>
        <v>11.26</v>
      </c>
      <c r="H54" s="10">
        <v>7.8079999999999998</v>
      </c>
      <c r="I54" s="8"/>
      <c r="J54" s="8">
        <v>11.26</v>
      </c>
      <c r="K54" s="10">
        <f t="shared" si="2"/>
        <v>11.26</v>
      </c>
      <c r="L54" s="16"/>
      <c r="M54" s="110"/>
      <c r="N54" s="111"/>
      <c r="T54" s="30">
        <f t="shared" si="0"/>
        <v>0</v>
      </c>
    </row>
    <row r="55" spans="1:20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20</v>
      </c>
      <c r="G55" s="10">
        <f t="shared" si="1"/>
        <v>20</v>
      </c>
      <c r="H55" s="14">
        <v>31</v>
      </c>
      <c r="I55" s="13"/>
      <c r="J55" s="13">
        <v>20</v>
      </c>
      <c r="K55" s="10">
        <f t="shared" si="2"/>
        <v>20</v>
      </c>
      <c r="L55" s="16"/>
      <c r="M55" s="110"/>
      <c r="N55" s="111"/>
      <c r="T55" s="30">
        <f t="shared" si="0"/>
        <v>0</v>
      </c>
    </row>
    <row r="56" spans="1:20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4">F54/F55*1000</f>
        <v>563</v>
      </c>
      <c r="G56" s="10">
        <f t="shared" si="1"/>
        <v>563</v>
      </c>
      <c r="H56" s="16">
        <f>H54/H55*1000</f>
        <v>251.87096774193546</v>
      </c>
      <c r="I56" s="16"/>
      <c r="J56" s="16">
        <f t="shared" ref="J56" si="25">J54/J55*1000</f>
        <v>563</v>
      </c>
      <c r="K56" s="10">
        <f t="shared" si="2"/>
        <v>563</v>
      </c>
      <c r="L56" s="16"/>
      <c r="M56" s="110"/>
      <c r="N56" s="111"/>
      <c r="T56" s="30">
        <f t="shared" si="0"/>
        <v>0</v>
      </c>
    </row>
    <row r="57" spans="1:20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v>13.96</v>
      </c>
      <c r="I57" s="8"/>
      <c r="J57" s="8"/>
      <c r="K57" s="10">
        <f t="shared" si="2"/>
        <v>0</v>
      </c>
      <c r="L57" s="16"/>
      <c r="M57" s="123" t="s">
        <v>291</v>
      </c>
      <c r="N57" s="124"/>
      <c r="T57" s="30">
        <f t="shared" si="0"/>
        <v>0</v>
      </c>
    </row>
    <row r="58" spans="1:20" ht="17.25" customHeight="1">
      <c r="A58" s="8"/>
      <c r="B58" s="12" t="s">
        <v>13</v>
      </c>
      <c r="C58" s="13" t="s">
        <v>49</v>
      </c>
      <c r="D58" s="14">
        <v>33</v>
      </c>
      <c r="E58" s="13"/>
      <c r="F58" s="13"/>
      <c r="G58" s="10">
        <f t="shared" si="1"/>
        <v>0</v>
      </c>
      <c r="H58" s="14">
        <v>33</v>
      </c>
      <c r="I58" s="13"/>
      <c r="J58" s="13"/>
      <c r="K58" s="10">
        <f t="shared" si="2"/>
        <v>0</v>
      </c>
      <c r="L58" s="16"/>
      <c r="M58" s="125"/>
      <c r="N58" s="126"/>
      <c r="T58" s="30">
        <f t="shared" si="0"/>
        <v>0</v>
      </c>
    </row>
    <row r="59" spans="1:20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13"/>
      <c r="G59" s="10">
        <f t="shared" si="1"/>
        <v>0</v>
      </c>
      <c r="H59" s="16">
        <f>H57/H58*1000</f>
        <v>423.03030303030306</v>
      </c>
      <c r="I59" s="13"/>
      <c r="J59" s="13"/>
      <c r="K59" s="10">
        <f t="shared" si="2"/>
        <v>0</v>
      </c>
      <c r="L59" s="16"/>
      <c r="M59" s="110"/>
      <c r="N59" s="111"/>
      <c r="T59" s="30">
        <f t="shared" si="0"/>
        <v>0</v>
      </c>
    </row>
    <row r="60" spans="1:20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/>
      <c r="G60" s="10">
        <f t="shared" si="1"/>
        <v>0</v>
      </c>
      <c r="H60" s="10">
        <v>28.585000000000001</v>
      </c>
      <c r="I60" s="8"/>
      <c r="J60" s="8"/>
      <c r="K60" s="10">
        <f t="shared" si="2"/>
        <v>0</v>
      </c>
      <c r="L60" s="16"/>
      <c r="M60" s="123" t="s">
        <v>291</v>
      </c>
      <c r="N60" s="124"/>
      <c r="T60" s="30">
        <f t="shared" si="0"/>
        <v>0</v>
      </c>
    </row>
    <row r="61" spans="1:20" ht="17.25" customHeight="1">
      <c r="A61" s="8"/>
      <c r="B61" s="12" t="s">
        <v>13</v>
      </c>
      <c r="C61" s="13" t="s">
        <v>49</v>
      </c>
      <c r="D61" s="14">
        <v>70</v>
      </c>
      <c r="E61" s="13"/>
      <c r="F61" s="13"/>
      <c r="G61" s="10">
        <f t="shared" si="1"/>
        <v>0</v>
      </c>
      <c r="H61" s="14">
        <v>70</v>
      </c>
      <c r="I61" s="13"/>
      <c r="J61" s="13"/>
      <c r="K61" s="10">
        <f t="shared" si="2"/>
        <v>0</v>
      </c>
      <c r="L61" s="16"/>
      <c r="M61" s="125"/>
      <c r="N61" s="126"/>
      <c r="T61" s="30">
        <f t="shared" si="0"/>
        <v>0</v>
      </c>
    </row>
    <row r="62" spans="1:20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3"/>
      <c r="F62" s="13"/>
      <c r="G62" s="10">
        <f t="shared" si="1"/>
        <v>0</v>
      </c>
      <c r="H62" s="16">
        <f>H60/H61*1000</f>
        <v>408.35714285714289</v>
      </c>
      <c r="I62" s="13"/>
      <c r="J62" s="13"/>
      <c r="K62" s="10">
        <f t="shared" si="2"/>
        <v>0</v>
      </c>
      <c r="L62" s="16"/>
      <c r="M62" s="110"/>
      <c r="N62" s="111"/>
      <c r="T62" s="30">
        <f t="shared" si="0"/>
        <v>0</v>
      </c>
    </row>
    <row r="63" spans="1:20" ht="17.25" customHeight="1">
      <c r="A63" s="8"/>
      <c r="B63" s="20" t="s">
        <v>220</v>
      </c>
      <c r="C63" s="8" t="s">
        <v>4</v>
      </c>
      <c r="D63" s="10">
        <v>12.234</v>
      </c>
      <c r="E63" s="8"/>
      <c r="F63" s="8"/>
      <c r="G63" s="10">
        <f t="shared" si="1"/>
        <v>0</v>
      </c>
      <c r="H63" s="10">
        <v>12.234</v>
      </c>
      <c r="I63" s="8"/>
      <c r="J63" s="8"/>
      <c r="K63" s="10">
        <f t="shared" si="2"/>
        <v>0</v>
      </c>
      <c r="L63" s="16"/>
      <c r="M63" s="110"/>
      <c r="N63" s="111"/>
      <c r="T63" s="30">
        <f t="shared" si="0"/>
        <v>0</v>
      </c>
    </row>
    <row r="64" spans="1:20" ht="17.25" customHeight="1">
      <c r="A64" s="8"/>
      <c r="B64" s="12" t="s">
        <v>13</v>
      </c>
      <c r="C64" s="13" t="s">
        <v>49</v>
      </c>
      <c r="D64" s="14">
        <v>23</v>
      </c>
      <c r="E64" s="13"/>
      <c r="F64" s="13"/>
      <c r="G64" s="10">
        <f t="shared" si="1"/>
        <v>0</v>
      </c>
      <c r="H64" s="14">
        <v>23</v>
      </c>
      <c r="I64" s="13"/>
      <c r="J64" s="13"/>
      <c r="K64" s="10">
        <f t="shared" si="2"/>
        <v>0</v>
      </c>
      <c r="L64" s="16"/>
      <c r="M64" s="110"/>
      <c r="N64" s="111"/>
      <c r="T64" s="30">
        <f t="shared" si="0"/>
        <v>0</v>
      </c>
    </row>
    <row r="65" spans="1:20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3"/>
      <c r="F65" s="13"/>
      <c r="G65" s="10">
        <f t="shared" si="1"/>
        <v>0</v>
      </c>
      <c r="H65" s="16">
        <f>H63/H64*1000</f>
        <v>531.91304347826087</v>
      </c>
      <c r="I65" s="13"/>
      <c r="J65" s="13"/>
      <c r="K65" s="10">
        <f t="shared" si="2"/>
        <v>0</v>
      </c>
      <c r="L65" s="16"/>
      <c r="M65" s="110"/>
      <c r="N65" s="111"/>
      <c r="T65" s="30">
        <f t="shared" si="0"/>
        <v>0</v>
      </c>
    </row>
    <row r="66" spans="1:20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v>2.8610000000000002</v>
      </c>
      <c r="I66" s="8"/>
      <c r="J66" s="8"/>
      <c r="K66" s="10">
        <f t="shared" si="2"/>
        <v>0</v>
      </c>
      <c r="L66" s="16"/>
      <c r="M66" s="110"/>
      <c r="N66" s="111"/>
      <c r="T66" s="30">
        <f t="shared" si="0"/>
        <v>0</v>
      </c>
    </row>
    <row r="67" spans="1:20" ht="17.25" customHeight="1">
      <c r="A67" s="8"/>
      <c r="B67" s="12" t="s">
        <v>13</v>
      </c>
      <c r="C67" s="13" t="s">
        <v>49</v>
      </c>
      <c r="D67" s="14">
        <v>2</v>
      </c>
      <c r="E67" s="13"/>
      <c r="F67" s="13"/>
      <c r="G67" s="10">
        <f t="shared" si="1"/>
        <v>0</v>
      </c>
      <c r="H67" s="14">
        <v>2</v>
      </c>
      <c r="I67" s="13"/>
      <c r="J67" s="13"/>
      <c r="K67" s="10">
        <f t="shared" si="2"/>
        <v>0</v>
      </c>
      <c r="L67" s="16"/>
      <c r="M67" s="110"/>
      <c r="N67" s="111"/>
      <c r="T67" s="30">
        <f t="shared" si="0"/>
        <v>0</v>
      </c>
    </row>
    <row r="68" spans="1:20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13"/>
      <c r="G68" s="10">
        <f t="shared" si="1"/>
        <v>0</v>
      </c>
      <c r="H68" s="16">
        <f>H66/H67*1000</f>
        <v>1430.5</v>
      </c>
      <c r="I68" s="13"/>
      <c r="J68" s="13"/>
      <c r="K68" s="10">
        <f t="shared" si="2"/>
        <v>0</v>
      </c>
      <c r="L68" s="16"/>
      <c r="M68" s="110"/>
      <c r="N68" s="111"/>
      <c r="T68" s="30">
        <f t="shared" si="0"/>
        <v>0</v>
      </c>
    </row>
    <row r="69" spans="1:20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8"/>
      <c r="G69" s="10">
        <f t="shared" si="1"/>
        <v>0</v>
      </c>
      <c r="H69" s="10">
        <v>10.007999999999999</v>
      </c>
      <c r="I69" s="8"/>
      <c r="J69" s="8"/>
      <c r="K69" s="10">
        <f t="shared" si="2"/>
        <v>0</v>
      </c>
      <c r="L69" s="16"/>
      <c r="M69" s="123" t="s">
        <v>292</v>
      </c>
      <c r="N69" s="124"/>
      <c r="T69" s="30">
        <f t="shared" si="0"/>
        <v>0</v>
      </c>
    </row>
    <row r="70" spans="1:20" ht="17.25" customHeight="1">
      <c r="A70" s="8"/>
      <c r="B70" s="12" t="s">
        <v>13</v>
      </c>
      <c r="C70" s="13" t="s">
        <v>61</v>
      </c>
      <c r="D70" s="14">
        <v>18</v>
      </c>
      <c r="E70" s="13"/>
      <c r="F70" s="13"/>
      <c r="G70" s="10">
        <f t="shared" si="1"/>
        <v>0</v>
      </c>
      <c r="H70" s="14">
        <v>18</v>
      </c>
      <c r="I70" s="13"/>
      <c r="J70" s="13"/>
      <c r="K70" s="10">
        <f t="shared" si="2"/>
        <v>0</v>
      </c>
      <c r="L70" s="16"/>
      <c r="M70" s="125"/>
      <c r="N70" s="126"/>
      <c r="T70" s="30">
        <f t="shared" si="0"/>
        <v>0</v>
      </c>
    </row>
    <row r="71" spans="1:20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3"/>
      <c r="F71" s="13"/>
      <c r="G71" s="10">
        <f t="shared" si="1"/>
        <v>0</v>
      </c>
      <c r="H71" s="16">
        <f>H69/H70*1000</f>
        <v>555.99999999999989</v>
      </c>
      <c r="I71" s="13"/>
      <c r="J71" s="13"/>
      <c r="K71" s="10">
        <f t="shared" si="2"/>
        <v>0</v>
      </c>
      <c r="L71" s="16"/>
      <c r="M71" s="110"/>
      <c r="N71" s="111"/>
      <c r="T71" s="30">
        <f t="shared" si="0"/>
        <v>0</v>
      </c>
    </row>
    <row r="72" spans="1:20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55">
        <v>28328.992999999999</v>
      </c>
      <c r="G72" s="10">
        <f t="shared" si="1"/>
        <v>4022.3259999999973</v>
      </c>
      <c r="H72" s="10">
        <f>H73</f>
        <v>26517.671000000002</v>
      </c>
      <c r="I72" s="8">
        <v>24306.667000000001</v>
      </c>
      <c r="J72" s="8">
        <v>28328.992999999999</v>
      </c>
      <c r="K72" s="10">
        <f t="shared" si="2"/>
        <v>4022.3259999999973</v>
      </c>
      <c r="L72" s="16">
        <f t="shared" si="3"/>
        <v>16.548241682004353</v>
      </c>
      <c r="M72" s="110"/>
      <c r="N72" s="111"/>
      <c r="T72" s="30">
        <f t="shared" si="0"/>
        <v>0</v>
      </c>
    </row>
    <row r="73" spans="1:20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26">E75+E78+E81+E84</f>
        <v>0</v>
      </c>
      <c r="F73" s="10">
        <f t="shared" si="26"/>
        <v>28328.995000000003</v>
      </c>
      <c r="G73" s="10">
        <f t="shared" si="1"/>
        <v>28328.995000000003</v>
      </c>
      <c r="H73" s="10">
        <f>H75+H78+H81+H84</f>
        <v>26517.671000000002</v>
      </c>
      <c r="I73" s="10">
        <f t="shared" ref="I73:J73" si="27">I75+I78+I81+I84</f>
        <v>0</v>
      </c>
      <c r="J73" s="10">
        <f t="shared" si="27"/>
        <v>28328.995000000003</v>
      </c>
      <c r="K73" s="10">
        <f t="shared" si="2"/>
        <v>28328.995000000003</v>
      </c>
      <c r="L73" s="16"/>
      <c r="M73" s="110"/>
      <c r="N73" s="111"/>
      <c r="T73" s="30">
        <f t="shared" ref="T73:T136" si="28">J73-F73</f>
        <v>0</v>
      </c>
    </row>
    <row r="74" spans="1:20" ht="17.25" customHeight="1">
      <c r="A74" s="8"/>
      <c r="B74" s="28" t="s">
        <v>65</v>
      </c>
      <c r="C74" s="22" t="s">
        <v>66</v>
      </c>
      <c r="D74" s="14">
        <f t="shared" ref="D74:E74" si="29">D76+D79+D82+D85</f>
        <v>1280770</v>
      </c>
      <c r="E74" s="14">
        <f t="shared" si="29"/>
        <v>0</v>
      </c>
      <c r="F74" s="14">
        <f>F76+F79+F82+F85</f>
        <v>1380698</v>
      </c>
      <c r="G74" s="14">
        <f t="shared" si="1"/>
        <v>1380698</v>
      </c>
      <c r="H74" s="14">
        <f t="shared" ref="H74" si="30">H76+H79+H82+H85</f>
        <v>1280770</v>
      </c>
      <c r="I74" s="22"/>
      <c r="J74" s="14">
        <f>J76+J79+J82+J85</f>
        <v>1387395.79</v>
      </c>
      <c r="K74" s="14">
        <f t="shared" si="2"/>
        <v>1387395.79</v>
      </c>
      <c r="L74" s="16"/>
      <c r="M74" s="110"/>
      <c r="N74" s="111"/>
      <c r="T74" s="30">
        <f t="shared" si="28"/>
        <v>6697.7900000000373</v>
      </c>
    </row>
    <row r="75" spans="1:20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>
        <f>2506.615-F142</f>
        <v>2381.567</v>
      </c>
      <c r="G75" s="10">
        <f t="shared" ref="G75:G138" si="31">F75-E75</f>
        <v>2381.567</v>
      </c>
      <c r="H75" s="10">
        <v>1338.4829999999999</v>
      </c>
      <c r="I75" s="8"/>
      <c r="J75" s="8">
        <f>2506.615-J142</f>
        <v>2381.567</v>
      </c>
      <c r="K75" s="10">
        <f t="shared" ref="K75:K139" si="32">J75-I75</f>
        <v>2381.567</v>
      </c>
      <c r="L75" s="16"/>
      <c r="M75" s="110"/>
      <c r="N75" s="111"/>
      <c r="T75" s="30">
        <f t="shared" si="28"/>
        <v>0</v>
      </c>
    </row>
    <row r="76" spans="1:20" ht="17.25" customHeight="1">
      <c r="A76" s="8"/>
      <c r="B76" s="12" t="s">
        <v>68</v>
      </c>
      <c r="C76" s="22" t="s">
        <v>66</v>
      </c>
      <c r="D76" s="14">
        <v>68465</v>
      </c>
      <c r="E76" s="22"/>
      <c r="F76" s="61">
        <f>64929.79+65538-F143</f>
        <v>123770.00000000001</v>
      </c>
      <c r="G76" s="14">
        <f t="shared" si="31"/>
        <v>123770.00000000001</v>
      </c>
      <c r="H76" s="14">
        <v>68465</v>
      </c>
      <c r="I76" s="22"/>
      <c r="J76" s="61">
        <f>64929.79+65538-J143</f>
        <v>130467.79000000001</v>
      </c>
      <c r="K76" s="14">
        <f t="shared" si="32"/>
        <v>130467.79000000001</v>
      </c>
      <c r="L76" s="16"/>
      <c r="M76" s="110"/>
      <c r="N76" s="111"/>
      <c r="T76" s="30">
        <f t="shared" si="28"/>
        <v>6697.7899999999936</v>
      </c>
    </row>
    <row r="77" spans="1:20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33">F75/F76*1000</f>
        <v>19.241876060434677</v>
      </c>
      <c r="G77" s="10">
        <f t="shared" si="31"/>
        <v>19.241876060434677</v>
      </c>
      <c r="H77" s="16">
        <f>H75/H76*1000</f>
        <v>19.54988680347623</v>
      </c>
      <c r="I77" s="13"/>
      <c r="J77" s="16">
        <f t="shared" ref="J77" si="34">J75/J76*1000</f>
        <v>18.254061021498099</v>
      </c>
      <c r="K77" s="10">
        <f t="shared" si="32"/>
        <v>18.254061021498099</v>
      </c>
      <c r="L77" s="16"/>
      <c r="M77" s="110"/>
      <c r="N77" s="111"/>
      <c r="T77" s="30">
        <f t="shared" si="28"/>
        <v>-0.98781503893657785</v>
      </c>
    </row>
    <row r="78" spans="1:20" ht="17.25" customHeight="1">
      <c r="A78" s="8"/>
      <c r="B78" s="12" t="s">
        <v>69</v>
      </c>
      <c r="C78" s="8" t="s">
        <v>4</v>
      </c>
      <c r="D78" s="10">
        <v>1253.6469999999999</v>
      </c>
      <c r="E78" s="8"/>
      <c r="F78" s="55">
        <v>1697.5540000000001</v>
      </c>
      <c r="G78" s="10">
        <f t="shared" si="31"/>
        <v>1697.5540000000001</v>
      </c>
      <c r="H78" s="10">
        <v>1253.6469999999999</v>
      </c>
      <c r="I78" s="8"/>
      <c r="J78" s="55">
        <v>1697.5540000000001</v>
      </c>
      <c r="K78" s="10">
        <f t="shared" si="32"/>
        <v>1697.5540000000001</v>
      </c>
      <c r="L78" s="16"/>
      <c r="M78" s="110"/>
      <c r="N78" s="111"/>
      <c r="T78" s="30">
        <f t="shared" si="28"/>
        <v>0</v>
      </c>
    </row>
    <row r="79" spans="1:20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f>84432+1608</f>
        <v>86040</v>
      </c>
      <c r="G79" s="10">
        <f t="shared" si="31"/>
        <v>86040</v>
      </c>
      <c r="H79" s="14">
        <v>63799</v>
      </c>
      <c r="I79" s="22"/>
      <c r="J79" s="59">
        <f>84432+1608</f>
        <v>86040</v>
      </c>
      <c r="K79" s="14">
        <f t="shared" si="32"/>
        <v>86040</v>
      </c>
      <c r="L79" s="16"/>
      <c r="M79" s="110"/>
      <c r="N79" s="111"/>
      <c r="T79" s="30">
        <f t="shared" si="28"/>
        <v>0</v>
      </c>
    </row>
    <row r="80" spans="1:20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35">F78/F79*1000</f>
        <v>19.729823337982335</v>
      </c>
      <c r="G80" s="10">
        <f t="shared" si="31"/>
        <v>19.729823337982335</v>
      </c>
      <c r="H80" s="16">
        <f>H78/H79*1000</f>
        <v>19.649947491339987</v>
      </c>
      <c r="I80" s="13"/>
      <c r="J80" s="16">
        <f t="shared" ref="J80" si="36">J78/J79*1000</f>
        <v>19.729823337982335</v>
      </c>
      <c r="K80" s="10">
        <f t="shared" si="32"/>
        <v>19.729823337982335</v>
      </c>
      <c r="L80" s="16"/>
      <c r="M80" s="110"/>
      <c r="N80" s="111"/>
      <c r="T80" s="30">
        <f t="shared" si="28"/>
        <v>0</v>
      </c>
    </row>
    <row r="81" spans="1:20" ht="36" customHeight="1">
      <c r="A81" s="8"/>
      <c r="B81" s="12" t="s">
        <v>70</v>
      </c>
      <c r="C81" s="8" t="s">
        <v>4</v>
      </c>
      <c r="D81" s="10">
        <v>3651.203</v>
      </c>
      <c r="E81" s="8"/>
      <c r="F81" s="55">
        <v>4298.3509999999997</v>
      </c>
      <c r="G81" s="10">
        <f t="shared" si="31"/>
        <v>4298.3509999999997</v>
      </c>
      <c r="H81" s="10">
        <v>3651.203</v>
      </c>
      <c r="I81" s="8"/>
      <c r="J81" s="55">
        <v>4298.3509999999997</v>
      </c>
      <c r="K81" s="10">
        <f t="shared" si="32"/>
        <v>4298.3509999999997</v>
      </c>
      <c r="L81" s="16"/>
      <c r="M81" s="110"/>
      <c r="N81" s="111"/>
      <c r="T81" s="30">
        <f t="shared" si="28"/>
        <v>0</v>
      </c>
    </row>
    <row r="82" spans="1:20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217638</v>
      </c>
      <c r="G82" s="14">
        <f t="shared" si="31"/>
        <v>217638</v>
      </c>
      <c r="H82" s="14">
        <v>185812</v>
      </c>
      <c r="I82" s="22"/>
      <c r="J82" s="59">
        <v>217638</v>
      </c>
      <c r="K82" s="14">
        <f t="shared" si="32"/>
        <v>217638</v>
      </c>
      <c r="L82" s="16"/>
      <c r="M82" s="110"/>
      <c r="N82" s="111"/>
      <c r="T82" s="30">
        <f t="shared" si="28"/>
        <v>0</v>
      </c>
    </row>
    <row r="83" spans="1:20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37">F81/F82*1000</f>
        <v>19.750002297392918</v>
      </c>
      <c r="G83" s="10">
        <f t="shared" si="31"/>
        <v>19.750002297392918</v>
      </c>
      <c r="H83" s="16">
        <f>H81/H82*1000</f>
        <v>19.64998493100553</v>
      </c>
      <c r="I83" s="13"/>
      <c r="J83" s="16">
        <f t="shared" ref="J83" si="38">J81/J82*1000</f>
        <v>19.750002297392918</v>
      </c>
      <c r="K83" s="10">
        <f t="shared" si="32"/>
        <v>19.750002297392918</v>
      </c>
      <c r="L83" s="16"/>
      <c r="M83" s="110"/>
      <c r="N83" s="111"/>
      <c r="T83" s="30">
        <f t="shared" si="28"/>
        <v>0</v>
      </c>
    </row>
    <row r="84" spans="1:20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55">
        <v>19951.523000000001</v>
      </c>
      <c r="G84" s="10">
        <f t="shared" si="31"/>
        <v>19951.523000000001</v>
      </c>
      <c r="H84" s="10">
        <v>20274.338</v>
      </c>
      <c r="I84" s="8"/>
      <c r="J84" s="55">
        <v>19951.523000000001</v>
      </c>
      <c r="K84" s="10">
        <f t="shared" si="32"/>
        <v>19951.523000000001</v>
      </c>
      <c r="L84" s="16"/>
      <c r="M84" s="123" t="s">
        <v>297</v>
      </c>
      <c r="N84" s="124"/>
      <c r="T84" s="30">
        <f t="shared" si="28"/>
        <v>0</v>
      </c>
    </row>
    <row r="85" spans="1:20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953250</v>
      </c>
      <c r="G85" s="14">
        <f t="shared" si="31"/>
        <v>953250</v>
      </c>
      <c r="H85" s="14">
        <v>962694</v>
      </c>
      <c r="I85" s="22"/>
      <c r="J85" s="59">
        <v>953250</v>
      </c>
      <c r="K85" s="14">
        <f t="shared" si="32"/>
        <v>953250</v>
      </c>
      <c r="L85" s="16"/>
      <c r="M85" s="125"/>
      <c r="N85" s="126"/>
      <c r="T85" s="30">
        <f t="shared" si="28"/>
        <v>0</v>
      </c>
    </row>
    <row r="86" spans="1:20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39">F84/F85*1000</f>
        <v>20.930000524521375</v>
      </c>
      <c r="G86" s="10">
        <f t="shared" si="31"/>
        <v>20.930000524521375</v>
      </c>
      <c r="H86" s="16">
        <f>H84/H85*1000</f>
        <v>21.06000245145394</v>
      </c>
      <c r="I86" s="13"/>
      <c r="J86" s="16">
        <f t="shared" ref="J86" si="40">J84/J85*1000</f>
        <v>20.930000524521375</v>
      </c>
      <c r="K86" s="10">
        <f t="shared" si="32"/>
        <v>20.930000524521375</v>
      </c>
      <c r="L86" s="16"/>
      <c r="M86" s="110"/>
      <c r="N86" s="111"/>
      <c r="T86" s="30">
        <f t="shared" si="28"/>
        <v>0</v>
      </c>
    </row>
    <row r="87" spans="1:20" ht="17.25" customHeight="1">
      <c r="A87" s="31" t="s">
        <v>72</v>
      </c>
      <c r="B87" s="6" t="s">
        <v>73</v>
      </c>
      <c r="C87" s="31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18102.358</v>
      </c>
      <c r="G87" s="10">
        <f t="shared" si="31"/>
        <v>-2786.390999999996</v>
      </c>
      <c r="H87" s="7">
        <f>H88+H89+H90</f>
        <v>22015.745000000003</v>
      </c>
      <c r="I87" s="7">
        <f>I88+I89+I90+I91</f>
        <v>20888.748999999996</v>
      </c>
      <c r="J87" s="7">
        <f>J88+J89+J90+J91+J92</f>
        <v>18102.358</v>
      </c>
      <c r="K87" s="10">
        <f t="shared" si="32"/>
        <v>-2786.390999999996</v>
      </c>
      <c r="L87" s="16">
        <f t="shared" ref="L87:L139" si="41">K87/I87*100</f>
        <v>-13.339195181099628</v>
      </c>
      <c r="M87" s="110"/>
      <c r="N87" s="111"/>
      <c r="P87">
        <v>250665</v>
      </c>
      <c r="S87">
        <f>P87/12</f>
        <v>20888.75</v>
      </c>
      <c r="T87" s="30">
        <f t="shared" si="28"/>
        <v>0</v>
      </c>
    </row>
    <row r="88" spans="1:20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5">
        <f>17063.004-F92-F98</f>
        <v>16283.471000000001</v>
      </c>
      <c r="G88" s="10">
        <f t="shared" si="31"/>
        <v>-2467.6119999999974</v>
      </c>
      <c r="H88" s="10">
        <v>20032.525000000001</v>
      </c>
      <c r="I88" s="8">
        <v>18751.082999999999</v>
      </c>
      <c r="J88" s="8">
        <f>F88</f>
        <v>16283.471000000001</v>
      </c>
      <c r="K88" s="10">
        <f t="shared" si="32"/>
        <v>-2467.6119999999974</v>
      </c>
      <c r="L88" s="16">
        <f t="shared" si="41"/>
        <v>-13.15983722113543</v>
      </c>
      <c r="M88" s="117"/>
      <c r="N88" s="118"/>
      <c r="O88" s="85">
        <v>17063.004000000001</v>
      </c>
      <c r="P88">
        <v>225013</v>
      </c>
      <c r="S88">
        <f>P88/12</f>
        <v>18751.083333333332</v>
      </c>
      <c r="T88" s="30">
        <f t="shared" si="28"/>
        <v>0</v>
      </c>
    </row>
    <row r="89" spans="1:20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5">
        <v>910.21199999999999</v>
      </c>
      <c r="G89" s="10">
        <f t="shared" si="31"/>
        <v>-102.37099999999998</v>
      </c>
      <c r="H89" s="10">
        <v>1101.788</v>
      </c>
      <c r="I89" s="8">
        <v>1012.583</v>
      </c>
      <c r="J89" s="8">
        <f t="shared" ref="J89:J92" si="42">F89</f>
        <v>910.21199999999999</v>
      </c>
      <c r="K89" s="10">
        <f t="shared" si="32"/>
        <v>-102.37099999999998</v>
      </c>
      <c r="L89" s="16">
        <f t="shared" si="41"/>
        <v>-10.109887288251924</v>
      </c>
      <c r="M89" s="117"/>
      <c r="N89" s="118"/>
      <c r="P89">
        <v>12151</v>
      </c>
      <c r="S89">
        <f t="shared" ref="S89:S94" si="43">P89/12</f>
        <v>1012.5833333333334</v>
      </c>
      <c r="T89" s="30">
        <f t="shared" si="28"/>
        <v>0</v>
      </c>
    </row>
    <row r="90" spans="1:20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507.38400000000001</v>
      </c>
      <c r="G90" s="10">
        <f t="shared" si="31"/>
        <v>-336.44899999999996</v>
      </c>
      <c r="H90" s="10">
        <v>881.43200000000002</v>
      </c>
      <c r="I90" s="8">
        <v>843.83299999999997</v>
      </c>
      <c r="J90" s="8">
        <f t="shared" si="42"/>
        <v>507.38400000000001</v>
      </c>
      <c r="K90" s="10">
        <f t="shared" si="32"/>
        <v>-336.44899999999996</v>
      </c>
      <c r="L90" s="16">
        <f t="shared" si="41"/>
        <v>-39.8715148613529</v>
      </c>
      <c r="M90" s="40"/>
      <c r="N90" s="41"/>
      <c r="P90">
        <v>10126</v>
      </c>
      <c r="S90">
        <f t="shared" si="43"/>
        <v>843.83333333333337</v>
      </c>
      <c r="T90" s="30">
        <f t="shared" si="28"/>
        <v>0</v>
      </c>
    </row>
    <row r="91" spans="1:20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238.761</v>
      </c>
      <c r="G91" s="10">
        <f t="shared" si="31"/>
        <v>-42.489000000000004</v>
      </c>
      <c r="H91" s="10"/>
      <c r="I91" s="8">
        <v>281.25</v>
      </c>
      <c r="J91" s="8">
        <f t="shared" si="42"/>
        <v>238.761</v>
      </c>
      <c r="K91" s="10">
        <f t="shared" si="32"/>
        <v>-42.489000000000004</v>
      </c>
      <c r="L91" s="16">
        <f t="shared" si="41"/>
        <v>-15.107200000000001</v>
      </c>
      <c r="M91" s="40"/>
      <c r="N91" s="41"/>
      <c r="P91">
        <v>3375</v>
      </c>
      <c r="S91">
        <f t="shared" si="43"/>
        <v>281.25</v>
      </c>
      <c r="T91" s="30">
        <f t="shared" si="28"/>
        <v>0</v>
      </c>
    </row>
    <row r="92" spans="1:20" ht="17.25" customHeight="1">
      <c r="A92" s="8"/>
      <c r="B92" s="9" t="s">
        <v>316</v>
      </c>
      <c r="C92" s="8" t="s">
        <v>4</v>
      </c>
      <c r="D92" s="10"/>
      <c r="E92" s="8"/>
      <c r="F92" s="8">
        <v>162.53</v>
      </c>
      <c r="G92" s="10"/>
      <c r="H92" s="10"/>
      <c r="I92" s="8"/>
      <c r="J92" s="8">
        <f t="shared" si="42"/>
        <v>162.53</v>
      </c>
      <c r="K92" s="10"/>
      <c r="L92" s="16"/>
      <c r="M92" s="52"/>
      <c r="N92" s="53"/>
      <c r="T92" s="30">
        <f t="shared" si="28"/>
        <v>0</v>
      </c>
    </row>
    <row r="93" spans="1:20" ht="17.25" customHeight="1">
      <c r="A93" s="31" t="s">
        <v>78</v>
      </c>
      <c r="B93" s="6" t="s">
        <v>79</v>
      </c>
      <c r="C93" s="31" t="s">
        <v>4</v>
      </c>
      <c r="D93" s="7">
        <f>D94</f>
        <v>12258.85</v>
      </c>
      <c r="E93" s="21">
        <f>E94</f>
        <v>12219.75</v>
      </c>
      <c r="F93" s="7">
        <f>F94</f>
        <v>10814.615</v>
      </c>
      <c r="G93" s="10">
        <f t="shared" si="31"/>
        <v>-1405.1350000000002</v>
      </c>
      <c r="H93" s="7">
        <f>H94</f>
        <v>12258.85</v>
      </c>
      <c r="I93" s="21">
        <f>I94</f>
        <v>12219.75</v>
      </c>
      <c r="J93" s="7">
        <f>J94</f>
        <v>10814.615</v>
      </c>
      <c r="K93" s="10">
        <f t="shared" si="32"/>
        <v>-1405.1350000000002</v>
      </c>
      <c r="L93" s="16">
        <f t="shared" si="41"/>
        <v>-11.498885001738991</v>
      </c>
      <c r="M93" s="110"/>
      <c r="N93" s="111"/>
      <c r="T93" s="30">
        <f t="shared" si="28"/>
        <v>0</v>
      </c>
    </row>
    <row r="94" spans="1:20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f>10814.615</f>
        <v>10814.615</v>
      </c>
      <c r="G94" s="10">
        <f t="shared" si="31"/>
        <v>-1405.1350000000002</v>
      </c>
      <c r="H94" s="10">
        <v>12258.85</v>
      </c>
      <c r="I94" s="8">
        <v>12219.75</v>
      </c>
      <c r="J94" s="8">
        <f>F94</f>
        <v>10814.615</v>
      </c>
      <c r="K94" s="10">
        <f t="shared" si="32"/>
        <v>-1405.1350000000002</v>
      </c>
      <c r="L94" s="16">
        <f t="shared" si="41"/>
        <v>-11.498885001738991</v>
      </c>
      <c r="M94" s="110"/>
      <c r="N94" s="111"/>
      <c r="P94">
        <v>146637</v>
      </c>
      <c r="S94">
        <f t="shared" si="43"/>
        <v>12219.75</v>
      </c>
      <c r="T94" s="30">
        <f t="shared" si="28"/>
        <v>0</v>
      </c>
    </row>
    <row r="95" spans="1:20" ht="17.25" customHeight="1">
      <c r="A95" s="31" t="s">
        <v>82</v>
      </c>
      <c r="B95" s="6" t="s">
        <v>83</v>
      </c>
      <c r="C95" s="31" t="s">
        <v>4</v>
      </c>
      <c r="D95" s="7">
        <f t="shared" ref="D95:J95" si="44">D96</f>
        <v>588.22500000000002</v>
      </c>
      <c r="E95" s="7">
        <f t="shared" si="44"/>
        <v>291.66699999999997</v>
      </c>
      <c r="F95" s="7">
        <f t="shared" si="44"/>
        <v>0.76800000000000002</v>
      </c>
      <c r="G95" s="10">
        <f t="shared" si="31"/>
        <v>-290.899</v>
      </c>
      <c r="H95" s="7">
        <f t="shared" si="44"/>
        <v>588.22500000000002</v>
      </c>
      <c r="I95" s="7">
        <f t="shared" si="44"/>
        <v>291.66699999999997</v>
      </c>
      <c r="J95" s="7">
        <f t="shared" si="44"/>
        <v>0.76800000000000002</v>
      </c>
      <c r="K95" s="10">
        <f t="shared" si="32"/>
        <v>-290.899</v>
      </c>
      <c r="L95" s="16">
        <f t="shared" si="41"/>
        <v>-99.736686015215994</v>
      </c>
      <c r="M95" s="110"/>
      <c r="N95" s="111"/>
      <c r="T95" s="30">
        <f t="shared" si="28"/>
        <v>0</v>
      </c>
    </row>
    <row r="96" spans="1:20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55">
        <v>0.76800000000000002</v>
      </c>
      <c r="G96" s="10">
        <f t="shared" si="31"/>
        <v>-290.899</v>
      </c>
      <c r="H96" s="10">
        <v>588.22500000000002</v>
      </c>
      <c r="I96" s="8">
        <v>291.66699999999997</v>
      </c>
      <c r="J96" s="8">
        <f>F96</f>
        <v>0.76800000000000002</v>
      </c>
      <c r="K96" s="10">
        <f t="shared" si="32"/>
        <v>-290.899</v>
      </c>
      <c r="L96" s="16">
        <f t="shared" si="41"/>
        <v>-99.736686015215994</v>
      </c>
      <c r="M96" s="117" t="s">
        <v>299</v>
      </c>
      <c r="N96" s="118"/>
      <c r="P96">
        <v>3500</v>
      </c>
      <c r="S96">
        <f>P96/12</f>
        <v>291.66666666666669</v>
      </c>
      <c r="T96" s="30">
        <f t="shared" si="28"/>
        <v>0</v>
      </c>
    </row>
    <row r="97" spans="1:20" ht="17.25" customHeight="1">
      <c r="A97" s="31" t="s">
        <v>86</v>
      </c>
      <c r="B97" s="6" t="s">
        <v>87</v>
      </c>
      <c r="C97" s="31" t="s">
        <v>4</v>
      </c>
      <c r="D97" s="7">
        <f t="shared" ref="D97" si="45">D98+D99+D103+D104+D109+D110</f>
        <v>2575.1889999999999</v>
      </c>
      <c r="E97" s="7">
        <f>E98+E99+E103+E104+E109+E110</f>
        <v>2562.3330000000001</v>
      </c>
      <c r="F97" s="7">
        <f>F98+F99+F103+F104+F109+F110</f>
        <v>1902.6380000000001</v>
      </c>
      <c r="G97" s="10">
        <f t="shared" si="31"/>
        <v>-659.69499999999994</v>
      </c>
      <c r="H97" s="7">
        <f t="shared" ref="H97" si="46">H98+H99+H103+H104+H109+H110</f>
        <v>2575.1889999999999</v>
      </c>
      <c r="I97" s="7">
        <f>I98+I99+I103+I104+I109+I110</f>
        <v>2562.3330000000001</v>
      </c>
      <c r="J97" s="7">
        <f>J98+J99+J103+J104+J109+J110</f>
        <v>1902.6380000000001</v>
      </c>
      <c r="K97" s="10">
        <f t="shared" si="32"/>
        <v>-659.69499999999994</v>
      </c>
      <c r="L97" s="16">
        <f t="shared" si="41"/>
        <v>-25.745872999333024</v>
      </c>
      <c r="M97" s="110"/>
      <c r="N97" s="111"/>
      <c r="T97" s="30">
        <f t="shared" si="28"/>
        <v>0</v>
      </c>
    </row>
    <row r="98" spans="1:20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8">
        <v>617.00300000000004</v>
      </c>
      <c r="G98" s="10">
        <f t="shared" si="31"/>
        <v>73.920000000000073</v>
      </c>
      <c r="H98" s="10">
        <v>626.41700000000003</v>
      </c>
      <c r="I98" s="8">
        <v>543.08299999999997</v>
      </c>
      <c r="J98" s="8">
        <f>F98</f>
        <v>617.00300000000004</v>
      </c>
      <c r="K98" s="10">
        <f t="shared" si="32"/>
        <v>73.920000000000073</v>
      </c>
      <c r="L98" s="16">
        <f t="shared" si="41"/>
        <v>13.611179138363763</v>
      </c>
      <c r="M98" s="117" t="s">
        <v>298</v>
      </c>
      <c r="N98" s="118"/>
      <c r="P98">
        <v>6517</v>
      </c>
      <c r="S98">
        <f>P98/12</f>
        <v>543.08333333333337</v>
      </c>
      <c r="T98" s="30">
        <f t="shared" si="28"/>
        <v>0</v>
      </c>
    </row>
    <row r="99" spans="1:20" ht="53.25" customHeight="1">
      <c r="A99" s="8" t="s">
        <v>90</v>
      </c>
      <c r="B99" s="20" t="s">
        <v>242</v>
      </c>
      <c r="C99" s="8" t="s">
        <v>4</v>
      </c>
      <c r="D99" s="10">
        <f t="shared" ref="D99" si="47">D100+D101+D102</f>
        <v>107.703</v>
      </c>
      <c r="E99" s="8">
        <v>107.667</v>
      </c>
      <c r="F99" s="8"/>
      <c r="G99" s="10">
        <f t="shared" si="31"/>
        <v>-107.667</v>
      </c>
      <c r="H99" s="10">
        <f t="shared" ref="H99" si="48">H100+H101+H102</f>
        <v>107.703</v>
      </c>
      <c r="I99" s="8">
        <v>107.667</v>
      </c>
      <c r="J99" s="8"/>
      <c r="K99" s="10">
        <f t="shared" si="32"/>
        <v>-107.667</v>
      </c>
      <c r="L99" s="16">
        <f t="shared" si="41"/>
        <v>-100</v>
      </c>
      <c r="M99" s="110"/>
      <c r="N99" s="111"/>
      <c r="P99">
        <v>1292</v>
      </c>
      <c r="S99">
        <f>P99/12</f>
        <v>107.66666666666667</v>
      </c>
      <c r="T99" s="30">
        <f t="shared" si="28"/>
        <v>0</v>
      </c>
    </row>
    <row r="100" spans="1:20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31"/>
        <v>0</v>
      </c>
      <c r="H100" s="10">
        <v>45.448999999999998</v>
      </c>
      <c r="I100" s="8"/>
      <c r="J100" s="8"/>
      <c r="K100" s="10">
        <f t="shared" si="32"/>
        <v>0</v>
      </c>
      <c r="L100" s="16"/>
      <c r="M100" s="110"/>
      <c r="N100" s="111"/>
      <c r="T100" s="30">
        <f t="shared" si="28"/>
        <v>0</v>
      </c>
    </row>
    <row r="101" spans="1:20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31"/>
        <v>0</v>
      </c>
      <c r="H101" s="10">
        <v>62.253999999999998</v>
      </c>
      <c r="I101" s="8"/>
      <c r="J101" s="8"/>
      <c r="K101" s="10">
        <f t="shared" si="32"/>
        <v>0</v>
      </c>
      <c r="L101" s="16"/>
      <c r="M101" s="110"/>
      <c r="N101" s="111"/>
      <c r="T101" s="30">
        <f t="shared" si="28"/>
        <v>0</v>
      </c>
    </row>
    <row r="102" spans="1:20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31"/>
        <v>0</v>
      </c>
      <c r="H102" s="10"/>
      <c r="I102" s="8"/>
      <c r="J102" s="8"/>
      <c r="K102" s="10">
        <f t="shared" si="32"/>
        <v>0</v>
      </c>
      <c r="L102" s="16"/>
      <c r="M102" s="110"/>
      <c r="N102" s="111"/>
      <c r="T102" s="30">
        <f t="shared" si="28"/>
        <v>0</v>
      </c>
    </row>
    <row r="103" spans="1:20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31"/>
        <v>-1.333</v>
      </c>
      <c r="H103" s="10">
        <v>1.3089999999999999</v>
      </c>
      <c r="I103" s="8">
        <v>1.333</v>
      </c>
      <c r="J103" s="8"/>
      <c r="K103" s="10">
        <f t="shared" si="32"/>
        <v>-1.333</v>
      </c>
      <c r="L103" s="16">
        <f t="shared" si="41"/>
        <v>-100</v>
      </c>
      <c r="M103" s="110"/>
      <c r="N103" s="111"/>
      <c r="P103">
        <v>16</v>
      </c>
      <c r="S103">
        <f>P103/12</f>
        <v>1.3333333333333333</v>
      </c>
      <c r="T103" s="30">
        <f t="shared" si="28"/>
        <v>0</v>
      </c>
    </row>
    <row r="104" spans="1:20" ht="36" customHeight="1">
      <c r="A104" s="18" t="s">
        <v>105</v>
      </c>
      <c r="B104" s="20" t="s">
        <v>99</v>
      </c>
      <c r="C104" s="8" t="s">
        <v>4</v>
      </c>
      <c r="D104" s="10">
        <f t="shared" ref="D104:F104" si="49">D105+D106+D107+D108</f>
        <v>186.095</v>
      </c>
      <c r="E104" s="10">
        <f t="shared" si="49"/>
        <v>152.833</v>
      </c>
      <c r="F104" s="10">
        <f t="shared" si="49"/>
        <v>59.396999999999998</v>
      </c>
      <c r="G104" s="10">
        <f t="shared" si="31"/>
        <v>-93.436000000000007</v>
      </c>
      <c r="H104" s="10">
        <f t="shared" ref="H104:J104" si="50">H105+H106+H107+H108</f>
        <v>186.095</v>
      </c>
      <c r="I104" s="10">
        <f t="shared" si="50"/>
        <v>152.833</v>
      </c>
      <c r="J104" s="10">
        <f t="shared" si="50"/>
        <v>59.396999999999998</v>
      </c>
      <c r="K104" s="10">
        <f t="shared" si="32"/>
        <v>-93.436000000000007</v>
      </c>
      <c r="L104" s="16">
        <f t="shared" si="41"/>
        <v>-61.136011201769257</v>
      </c>
      <c r="M104" s="110"/>
      <c r="N104" s="111"/>
      <c r="T104" s="30">
        <f t="shared" si="28"/>
        <v>0</v>
      </c>
    </row>
    <row r="105" spans="1:20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31"/>
        <v>-43.582999999999998</v>
      </c>
      <c r="H105" s="10">
        <v>43.570999999999998</v>
      </c>
      <c r="I105" s="8">
        <v>43.582999999999998</v>
      </c>
      <c r="J105" s="8"/>
      <c r="K105" s="10">
        <f t="shared" si="32"/>
        <v>-43.582999999999998</v>
      </c>
      <c r="L105" s="16">
        <f t="shared" si="41"/>
        <v>-100</v>
      </c>
      <c r="M105" s="110"/>
      <c r="N105" s="111"/>
      <c r="P105">
        <v>523</v>
      </c>
      <c r="S105">
        <f>P105/12</f>
        <v>43.583333333333336</v>
      </c>
      <c r="T105" s="30">
        <f t="shared" si="28"/>
        <v>0</v>
      </c>
    </row>
    <row r="106" spans="1:20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59.396999999999998</v>
      </c>
      <c r="G106" s="10">
        <f t="shared" si="31"/>
        <v>-23.520000000000003</v>
      </c>
      <c r="H106" s="10">
        <v>116.209</v>
      </c>
      <c r="I106" s="8">
        <v>82.917000000000002</v>
      </c>
      <c r="J106" s="8">
        <v>59.396999999999998</v>
      </c>
      <c r="K106" s="10">
        <f t="shared" si="32"/>
        <v>-23.520000000000003</v>
      </c>
      <c r="L106" s="16">
        <f t="shared" si="41"/>
        <v>-28.365715112703064</v>
      </c>
      <c r="M106" s="112" t="s">
        <v>287</v>
      </c>
      <c r="N106" s="113"/>
      <c r="P106">
        <f>995</f>
        <v>995</v>
      </c>
      <c r="S106">
        <f>P106/12</f>
        <v>82.916666666666671</v>
      </c>
      <c r="T106" s="30">
        <f t="shared" si="28"/>
        <v>0</v>
      </c>
    </row>
    <row r="107" spans="1:20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8"/>
      <c r="G107" s="10">
        <f t="shared" si="31"/>
        <v>-26.332999999999998</v>
      </c>
      <c r="H107" s="10">
        <v>26.315000000000001</v>
      </c>
      <c r="I107" s="8">
        <v>26.332999999999998</v>
      </c>
      <c r="J107" s="8"/>
      <c r="K107" s="10">
        <f t="shared" si="32"/>
        <v>-26.332999999999998</v>
      </c>
      <c r="L107" s="16">
        <f t="shared" si="41"/>
        <v>-100</v>
      </c>
      <c r="M107" s="110"/>
      <c r="N107" s="111"/>
      <c r="P107">
        <v>316</v>
      </c>
      <c r="S107">
        <f>P107/12</f>
        <v>26.333333333333332</v>
      </c>
      <c r="T107" s="30">
        <f t="shared" si="28"/>
        <v>0</v>
      </c>
    </row>
    <row r="108" spans="1:20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31"/>
        <v>0</v>
      </c>
      <c r="H108" s="10">
        <v>0</v>
      </c>
      <c r="I108" s="8"/>
      <c r="J108" s="8"/>
      <c r="K108" s="10">
        <f t="shared" si="32"/>
        <v>0</v>
      </c>
      <c r="L108" s="16" t="e">
        <f t="shared" si="41"/>
        <v>#DIV/0!</v>
      </c>
      <c r="M108" s="110"/>
      <c r="N108" s="111"/>
      <c r="T108" s="30">
        <f t="shared" si="28"/>
        <v>0</v>
      </c>
    </row>
    <row r="109" spans="1:20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15.207+15.099+0.256+4.222+0.265</f>
        <v>35.048999999999999</v>
      </c>
      <c r="G109" s="10">
        <f t="shared" si="31"/>
        <v>-23.118000000000002</v>
      </c>
      <c r="H109" s="10">
        <v>91.483999999999995</v>
      </c>
      <c r="I109" s="8">
        <v>58.167000000000002</v>
      </c>
      <c r="J109" s="8">
        <f>15.207+15.099+0.256+4.222+0.265</f>
        <v>35.048999999999999</v>
      </c>
      <c r="K109" s="10">
        <f t="shared" si="32"/>
        <v>-23.118000000000002</v>
      </c>
      <c r="L109" s="16">
        <f t="shared" si="41"/>
        <v>-39.744184847078245</v>
      </c>
      <c r="M109" s="110"/>
      <c r="N109" s="111"/>
      <c r="P109">
        <v>698</v>
      </c>
      <c r="S109">
        <f>P109/12</f>
        <v>58.166666666666664</v>
      </c>
      <c r="T109" s="30">
        <f t="shared" si="28"/>
        <v>0</v>
      </c>
    </row>
    <row r="110" spans="1:20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1191.1890000000001</v>
      </c>
      <c r="G110" s="10">
        <f t="shared" si="31"/>
        <v>-508.06099999999992</v>
      </c>
      <c r="H110" s="10">
        <f>H111+H115+H119+H123+H124+H125+H126+H127+H128+H129+H130+H131+H132+H133+H134+H135</f>
        <v>1562.1809999999998</v>
      </c>
      <c r="I110" s="10">
        <f>I111+I115+I119+I123+I124+I125+I126+I127+I128+I129+I130+I131+I132+I133+I134+I135+I136+I137</f>
        <v>1699.25</v>
      </c>
      <c r="J110" s="10">
        <f>J111+J115+J119+J123+J124+J125+J126+J127+J128+J129+J130+J131+J132+J133+J134+J135+J136+J137</f>
        <v>1191.1890000000001</v>
      </c>
      <c r="K110" s="10">
        <f t="shared" si="32"/>
        <v>-508.06099999999992</v>
      </c>
      <c r="L110" s="16">
        <f t="shared" si="41"/>
        <v>-29.899131969986755</v>
      </c>
      <c r="M110" s="116"/>
      <c r="N110" s="111"/>
      <c r="T110" s="30">
        <f t="shared" si="28"/>
        <v>0</v>
      </c>
    </row>
    <row r="111" spans="1:20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221.64</v>
      </c>
      <c r="G111" s="10">
        <f t="shared" si="31"/>
        <v>-209.77699999999999</v>
      </c>
      <c r="H111" s="10">
        <v>431.38099999999997</v>
      </c>
      <c r="I111" s="8">
        <v>431.41699999999997</v>
      </c>
      <c r="J111" s="10">
        <f>J112+J113+J114</f>
        <v>221.64</v>
      </c>
      <c r="K111" s="10">
        <f t="shared" si="32"/>
        <v>-209.77699999999999</v>
      </c>
      <c r="L111" s="16">
        <f t="shared" si="41"/>
        <v>-48.625112130490919</v>
      </c>
      <c r="M111" s="121"/>
      <c r="N111" s="122"/>
      <c r="P111">
        <v>5177</v>
      </c>
      <c r="S111">
        <f>P111/12</f>
        <v>431.41666666666669</v>
      </c>
      <c r="T111" s="30">
        <f t="shared" si="28"/>
        <v>0</v>
      </c>
    </row>
    <row r="112" spans="1:20" ht="17.25" customHeight="1">
      <c r="A112" s="18"/>
      <c r="B112" s="9" t="s">
        <v>221</v>
      </c>
      <c r="C112" s="8" t="s">
        <v>4</v>
      </c>
      <c r="D112" s="10"/>
      <c r="E112" s="8"/>
      <c r="F112" s="55">
        <v>211.64</v>
      </c>
      <c r="G112" s="10">
        <f t="shared" si="31"/>
        <v>211.64</v>
      </c>
      <c r="H112" s="10"/>
      <c r="I112" s="8"/>
      <c r="J112" s="8">
        <v>211.64</v>
      </c>
      <c r="K112" s="10">
        <f t="shared" si="32"/>
        <v>211.64</v>
      </c>
      <c r="L112" s="16"/>
      <c r="M112" s="110"/>
      <c r="N112" s="111"/>
      <c r="T112" s="30">
        <f t="shared" si="28"/>
        <v>0</v>
      </c>
    </row>
    <row r="113" spans="1:20" ht="36" customHeight="1">
      <c r="A113" s="18"/>
      <c r="B113" s="9" t="s">
        <v>222</v>
      </c>
      <c r="C113" s="8" t="s">
        <v>4</v>
      </c>
      <c r="D113" s="10"/>
      <c r="E113" s="8"/>
      <c r="F113" s="54">
        <v>10</v>
      </c>
      <c r="G113" s="10">
        <f t="shared" si="31"/>
        <v>10</v>
      </c>
      <c r="H113" s="10"/>
      <c r="I113" s="8"/>
      <c r="J113" s="10">
        <v>10</v>
      </c>
      <c r="K113" s="10">
        <f t="shared" si="32"/>
        <v>10</v>
      </c>
      <c r="L113" s="16"/>
      <c r="M113" s="110"/>
      <c r="N113" s="111"/>
      <c r="T113" s="30">
        <f t="shared" si="28"/>
        <v>0</v>
      </c>
    </row>
    <row r="114" spans="1:20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31"/>
        <v>0</v>
      </c>
      <c r="H114" s="10"/>
      <c r="I114" s="8"/>
      <c r="J114" s="8"/>
      <c r="K114" s="10">
        <f t="shared" si="32"/>
        <v>0</v>
      </c>
      <c r="L114" s="16"/>
      <c r="M114" s="110"/>
      <c r="N114" s="111"/>
      <c r="T114" s="30">
        <f t="shared" si="28"/>
        <v>0</v>
      </c>
    </row>
    <row r="115" spans="1:20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51">D116+D117+D118</f>
        <v>121.34400000000001</v>
      </c>
      <c r="E115" s="10">
        <v>121.333</v>
      </c>
      <c r="F115" s="10">
        <f t="shared" si="51"/>
        <v>0</v>
      </c>
      <c r="G115" s="10">
        <f t="shared" si="31"/>
        <v>-121.333</v>
      </c>
      <c r="H115" s="10">
        <f t="shared" ref="H115" si="52">H116+H117+H118</f>
        <v>121.34400000000001</v>
      </c>
      <c r="I115" s="10">
        <v>121.333</v>
      </c>
      <c r="J115" s="10">
        <f t="shared" ref="J115" si="53">J116+J117+J118</f>
        <v>0</v>
      </c>
      <c r="K115" s="10">
        <f t="shared" si="32"/>
        <v>-121.333</v>
      </c>
      <c r="L115" s="16">
        <f t="shared" si="41"/>
        <v>-100</v>
      </c>
      <c r="M115" s="110"/>
      <c r="N115" s="111"/>
      <c r="P115">
        <v>1456</v>
      </c>
      <c r="S115">
        <f>P115/12</f>
        <v>121.33333333333333</v>
      </c>
      <c r="T115" s="30">
        <f t="shared" si="28"/>
        <v>0</v>
      </c>
    </row>
    <row r="116" spans="1:20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31"/>
        <v>0</v>
      </c>
      <c r="H116" s="10">
        <v>86.322000000000003</v>
      </c>
      <c r="I116" s="8"/>
      <c r="J116" s="8"/>
      <c r="K116" s="10">
        <f t="shared" si="32"/>
        <v>0</v>
      </c>
      <c r="L116" s="16"/>
      <c r="M116" s="110"/>
      <c r="N116" s="111"/>
      <c r="T116" s="30">
        <f t="shared" si="28"/>
        <v>0</v>
      </c>
    </row>
    <row r="117" spans="1:20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31"/>
        <v>0</v>
      </c>
      <c r="H117" s="10">
        <v>31.76</v>
      </c>
      <c r="I117" s="8"/>
      <c r="J117" s="8"/>
      <c r="K117" s="10">
        <f t="shared" si="32"/>
        <v>0</v>
      </c>
      <c r="L117" s="16"/>
      <c r="M117" s="110"/>
      <c r="N117" s="111"/>
      <c r="T117" s="30">
        <f t="shared" si="28"/>
        <v>0</v>
      </c>
    </row>
    <row r="118" spans="1:20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31"/>
        <v>0</v>
      </c>
      <c r="H118" s="10">
        <v>3.262</v>
      </c>
      <c r="I118" s="8"/>
      <c r="J118" s="8"/>
      <c r="K118" s="10">
        <f t="shared" si="32"/>
        <v>0</v>
      </c>
      <c r="L118" s="16"/>
      <c r="M118" s="110"/>
      <c r="N118" s="111"/>
      <c r="T118" s="30">
        <f t="shared" si="28"/>
        <v>0</v>
      </c>
    </row>
    <row r="119" spans="1:20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54">
        <f>F120</f>
        <v>322.81200000000001</v>
      </c>
      <c r="G119" s="10">
        <f t="shared" si="31"/>
        <v>-33.687999999999988</v>
      </c>
      <c r="H119" s="10">
        <f>H120</f>
        <v>380.84899999999999</v>
      </c>
      <c r="I119" s="10">
        <v>356.5</v>
      </c>
      <c r="J119" s="10">
        <f>J120</f>
        <v>322.81200000000001</v>
      </c>
      <c r="K119" s="10">
        <f t="shared" si="32"/>
        <v>-33.687999999999988</v>
      </c>
      <c r="L119" s="16">
        <f t="shared" si="41"/>
        <v>-9.4496493688639518</v>
      </c>
      <c r="M119" s="110"/>
      <c r="N119" s="111"/>
      <c r="P119">
        <v>4278</v>
      </c>
      <c r="S119" s="30">
        <f>P119/12</f>
        <v>356.5</v>
      </c>
      <c r="T119" s="30">
        <f t="shared" si="28"/>
        <v>0</v>
      </c>
    </row>
    <row r="120" spans="1:20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8">
        <v>322.81200000000001</v>
      </c>
      <c r="G120" s="10">
        <f t="shared" si="31"/>
        <v>-33.687999999999988</v>
      </c>
      <c r="H120" s="10">
        <v>380.84899999999999</v>
      </c>
      <c r="I120" s="10">
        <f>I122*I121</f>
        <v>356.5</v>
      </c>
      <c r="J120" s="8">
        <v>322.81200000000001</v>
      </c>
      <c r="K120" s="10">
        <f t="shared" si="32"/>
        <v>-33.687999999999988</v>
      </c>
      <c r="L120" s="16">
        <f t="shared" si="41"/>
        <v>-9.4496493688639518</v>
      </c>
      <c r="M120" s="110"/>
      <c r="N120" s="111"/>
      <c r="T120" s="30">
        <f t="shared" si="28"/>
        <v>0</v>
      </c>
    </row>
    <row r="121" spans="1:20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v>645.62300000000005</v>
      </c>
      <c r="G121" s="10">
        <f t="shared" si="31"/>
        <v>-67.376999999999953</v>
      </c>
      <c r="H121" s="10">
        <v>761.69899999999996</v>
      </c>
      <c r="I121" s="16">
        <f>I119/I122</f>
        <v>713</v>
      </c>
      <c r="J121" s="8">
        <v>645.62300000000005</v>
      </c>
      <c r="K121" s="10">
        <f t="shared" si="32"/>
        <v>-67.376999999999953</v>
      </c>
      <c r="L121" s="16">
        <f t="shared" si="41"/>
        <v>-9.4497896213183665</v>
      </c>
      <c r="M121" s="110"/>
      <c r="N121" s="111"/>
      <c r="T121" s="30">
        <f t="shared" si="28"/>
        <v>0</v>
      </c>
    </row>
    <row r="122" spans="1:20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31"/>
        <v>0</v>
      </c>
      <c r="H122" s="11">
        <v>0.5</v>
      </c>
      <c r="I122" s="11">
        <v>0.5</v>
      </c>
      <c r="J122" s="11">
        <v>0.5</v>
      </c>
      <c r="K122" s="10">
        <f t="shared" si="32"/>
        <v>0</v>
      </c>
      <c r="L122" s="16">
        <f t="shared" si="41"/>
        <v>0</v>
      </c>
      <c r="M122" s="110"/>
      <c r="N122" s="111"/>
      <c r="T122" s="30">
        <f t="shared" si="28"/>
        <v>0</v>
      </c>
    </row>
    <row r="123" spans="1:20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31"/>
        <v>-1.083</v>
      </c>
      <c r="H123" s="10">
        <v>1.1120000000000001</v>
      </c>
      <c r="I123" s="8">
        <v>1.083</v>
      </c>
      <c r="J123" s="8"/>
      <c r="K123" s="10">
        <f t="shared" si="32"/>
        <v>-1.083</v>
      </c>
      <c r="L123" s="16">
        <f t="shared" si="41"/>
        <v>-100</v>
      </c>
      <c r="M123" s="110"/>
      <c r="N123" s="111"/>
      <c r="P123">
        <v>13</v>
      </c>
      <c r="S123">
        <f>P123/12</f>
        <v>1.0833333333333333</v>
      </c>
      <c r="T123" s="30">
        <f t="shared" si="28"/>
        <v>0</v>
      </c>
    </row>
    <row r="124" spans="1:20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31"/>
        <v>-7.1670000000000016</v>
      </c>
      <c r="H124" s="10">
        <v>53.17</v>
      </c>
      <c r="I124" s="8">
        <v>52.167000000000002</v>
      </c>
      <c r="J124" s="10">
        <v>45</v>
      </c>
      <c r="K124" s="10">
        <f t="shared" si="32"/>
        <v>-7.1670000000000016</v>
      </c>
      <c r="L124" s="16">
        <f t="shared" si="41"/>
        <v>-13.738570360572776</v>
      </c>
      <c r="M124" s="110"/>
      <c r="N124" s="111"/>
      <c r="P124">
        <v>626</v>
      </c>
      <c r="S124">
        <f>P124/12</f>
        <v>52.166666666666664</v>
      </c>
      <c r="T124" s="30">
        <f t="shared" si="28"/>
        <v>0</v>
      </c>
    </row>
    <row r="125" spans="1:20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201.825+284.85</f>
        <v>486.67500000000001</v>
      </c>
      <c r="G125" s="10">
        <f t="shared" si="31"/>
        <v>75.341999999999985</v>
      </c>
      <c r="H125" s="10">
        <v>411.35</v>
      </c>
      <c r="I125" s="8">
        <v>411.33300000000003</v>
      </c>
      <c r="J125" s="8">
        <f>201.825+284.85</f>
        <v>486.67500000000001</v>
      </c>
      <c r="K125" s="10">
        <f t="shared" si="32"/>
        <v>75.341999999999985</v>
      </c>
      <c r="L125" s="16">
        <f t="shared" si="41"/>
        <v>18.316546447768591</v>
      </c>
      <c r="M125" s="112" t="s">
        <v>294</v>
      </c>
      <c r="N125" s="113"/>
      <c r="P125">
        <v>4936</v>
      </c>
      <c r="S125">
        <f>P125/12</f>
        <v>411.33333333333331</v>
      </c>
      <c r="T125" s="30">
        <f t="shared" si="28"/>
        <v>0</v>
      </c>
    </row>
    <row r="126" spans="1:20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8"/>
      <c r="G126" s="10">
        <f t="shared" si="31"/>
        <v>-48.667000000000002</v>
      </c>
      <c r="H126" s="10">
        <v>48.704000000000001</v>
      </c>
      <c r="I126" s="8">
        <v>48.667000000000002</v>
      </c>
      <c r="J126" s="8"/>
      <c r="K126" s="10">
        <f t="shared" si="32"/>
        <v>-48.667000000000002</v>
      </c>
      <c r="L126" s="16">
        <f t="shared" si="41"/>
        <v>-100</v>
      </c>
      <c r="M126" s="110"/>
      <c r="N126" s="111"/>
      <c r="P126">
        <v>584</v>
      </c>
      <c r="S126">
        <f>P126/12</f>
        <v>48.666666666666664</v>
      </c>
      <c r="T126" s="30">
        <f t="shared" si="28"/>
        <v>0</v>
      </c>
    </row>
    <row r="127" spans="1:20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8"/>
      <c r="G127" s="10">
        <f t="shared" si="31"/>
        <v>-38</v>
      </c>
      <c r="H127" s="10">
        <v>38.012999999999998</v>
      </c>
      <c r="I127" s="8">
        <v>38</v>
      </c>
      <c r="J127" s="8"/>
      <c r="K127" s="10">
        <f t="shared" si="32"/>
        <v>-38</v>
      </c>
      <c r="L127" s="16">
        <f t="shared" si="41"/>
        <v>-100</v>
      </c>
      <c r="M127" s="110"/>
      <c r="N127" s="111"/>
      <c r="P127">
        <v>456</v>
      </c>
      <c r="S127" s="44">
        <f>P127/12</f>
        <v>38</v>
      </c>
      <c r="T127" s="30">
        <f t="shared" si="28"/>
        <v>0</v>
      </c>
    </row>
    <row r="128" spans="1:20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>
        <v>35.892000000000003</v>
      </c>
      <c r="G128" s="10">
        <f t="shared" si="31"/>
        <v>35.892000000000003</v>
      </c>
      <c r="H128" s="10"/>
      <c r="I128" s="8"/>
      <c r="J128" s="8">
        <f>F128</f>
        <v>35.892000000000003</v>
      </c>
      <c r="K128" s="10">
        <f t="shared" si="32"/>
        <v>35.892000000000003</v>
      </c>
      <c r="L128" s="16" t="e">
        <f t="shared" si="41"/>
        <v>#DIV/0!</v>
      </c>
      <c r="M128" s="110"/>
      <c r="N128" s="111"/>
      <c r="T128" s="30">
        <f t="shared" si="28"/>
        <v>0</v>
      </c>
    </row>
    <row r="129" spans="1:20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31"/>
        <v>0</v>
      </c>
      <c r="H129" s="10">
        <v>0</v>
      </c>
      <c r="I129" s="8"/>
      <c r="J129" s="8"/>
      <c r="K129" s="10">
        <f t="shared" si="32"/>
        <v>0</v>
      </c>
      <c r="L129" s="16" t="e">
        <f t="shared" si="41"/>
        <v>#DIV/0!</v>
      </c>
      <c r="M129" s="110"/>
      <c r="N129" s="111"/>
      <c r="T129" s="30">
        <f t="shared" si="28"/>
        <v>0</v>
      </c>
    </row>
    <row r="130" spans="1:20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31"/>
        <v>0</v>
      </c>
      <c r="H130" s="10"/>
      <c r="I130" s="8"/>
      <c r="J130" s="8"/>
      <c r="K130" s="10">
        <f t="shared" si="32"/>
        <v>0</v>
      </c>
      <c r="L130" s="16" t="e">
        <f t="shared" si="41"/>
        <v>#DIV/0!</v>
      </c>
      <c r="M130" s="112" t="s">
        <v>288</v>
      </c>
      <c r="N130" s="113"/>
      <c r="T130" s="30">
        <f t="shared" si="28"/>
        <v>0</v>
      </c>
    </row>
    <row r="131" spans="1:20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8"/>
      <c r="G131" s="10">
        <f t="shared" si="31"/>
        <v>-69.75</v>
      </c>
      <c r="H131" s="10">
        <v>69.783000000000001</v>
      </c>
      <c r="I131" s="8">
        <v>69.75</v>
      </c>
      <c r="J131" s="8"/>
      <c r="K131" s="10">
        <f t="shared" si="32"/>
        <v>-69.75</v>
      </c>
      <c r="L131" s="16">
        <f t="shared" si="41"/>
        <v>-100</v>
      </c>
      <c r="M131" s="110"/>
      <c r="N131" s="111"/>
      <c r="P131">
        <v>837</v>
      </c>
      <c r="S131">
        <f>P131/12</f>
        <v>69.75</v>
      </c>
      <c r="T131" s="30">
        <f t="shared" si="28"/>
        <v>0</v>
      </c>
    </row>
    <row r="132" spans="1:20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31"/>
        <v>0</v>
      </c>
      <c r="H132" s="10"/>
      <c r="I132" s="8"/>
      <c r="J132" s="8"/>
      <c r="K132" s="10">
        <f t="shared" si="32"/>
        <v>0</v>
      </c>
      <c r="L132" s="16"/>
      <c r="M132" s="110"/>
      <c r="N132" s="111"/>
      <c r="T132" s="30">
        <f t="shared" si="28"/>
        <v>0</v>
      </c>
    </row>
    <row r="133" spans="1:20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31"/>
        <v>0</v>
      </c>
      <c r="H133" s="10"/>
      <c r="I133" s="8"/>
      <c r="J133" s="8"/>
      <c r="K133" s="10">
        <f t="shared" si="32"/>
        <v>0</v>
      </c>
      <c r="L133" s="16"/>
      <c r="M133" s="110"/>
      <c r="N133" s="111"/>
      <c r="T133" s="30">
        <f t="shared" si="28"/>
        <v>0</v>
      </c>
    </row>
    <row r="134" spans="1:20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31"/>
        <v>-6.5</v>
      </c>
      <c r="H134" s="10">
        <v>6.4749999999999996</v>
      </c>
      <c r="I134" s="8">
        <v>6.5</v>
      </c>
      <c r="J134" s="8"/>
      <c r="K134" s="10">
        <f t="shared" si="32"/>
        <v>-6.5</v>
      </c>
      <c r="L134" s="16">
        <f t="shared" si="41"/>
        <v>-100</v>
      </c>
      <c r="M134" s="110"/>
      <c r="N134" s="111"/>
      <c r="P134">
        <v>78</v>
      </c>
      <c r="S134">
        <f>P134/12</f>
        <v>6.5</v>
      </c>
      <c r="T134" s="30">
        <f t="shared" si="28"/>
        <v>0</v>
      </c>
    </row>
    <row r="135" spans="1:20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31"/>
        <v>0</v>
      </c>
      <c r="H135" s="10"/>
      <c r="I135" s="8"/>
      <c r="J135" s="8"/>
      <c r="K135" s="10">
        <f t="shared" si="32"/>
        <v>0</v>
      </c>
      <c r="L135" s="16"/>
      <c r="M135" s="110"/>
      <c r="N135" s="111"/>
      <c r="T135" s="30">
        <f t="shared" si="28"/>
        <v>0</v>
      </c>
    </row>
    <row r="136" spans="1:20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31"/>
        <v>3.0000000000001137E-3</v>
      </c>
      <c r="H136" s="10"/>
      <c r="I136" s="8">
        <v>79.167000000000002</v>
      </c>
      <c r="J136" s="8">
        <v>79.17</v>
      </c>
      <c r="K136" s="10">
        <f t="shared" si="32"/>
        <v>3.0000000000001137E-3</v>
      </c>
      <c r="L136" s="16">
        <f t="shared" si="41"/>
        <v>3.789457728599181E-3</v>
      </c>
      <c r="M136" s="38"/>
      <c r="N136" s="39"/>
      <c r="P136">
        <v>950</v>
      </c>
      <c r="S136">
        <f>P136/12</f>
        <v>79.166666666666671</v>
      </c>
      <c r="T136" s="30">
        <f t="shared" si="28"/>
        <v>0</v>
      </c>
    </row>
    <row r="137" spans="1:20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8"/>
      <c r="G137" s="10">
        <f t="shared" si="31"/>
        <v>-83.332999999999998</v>
      </c>
      <c r="H137" s="10"/>
      <c r="I137" s="8">
        <v>83.332999999999998</v>
      </c>
      <c r="J137" s="8"/>
      <c r="K137" s="10">
        <f t="shared" si="32"/>
        <v>-83.332999999999998</v>
      </c>
      <c r="L137" s="16">
        <f t="shared" si="41"/>
        <v>-100</v>
      </c>
      <c r="M137" s="38"/>
      <c r="N137" s="39"/>
      <c r="P137">
        <v>1000</v>
      </c>
      <c r="S137">
        <f>P137/12</f>
        <v>83.333333333333329</v>
      </c>
      <c r="T137" s="30">
        <f t="shared" ref="T137:T200" si="54">J137-F137</f>
        <v>0</v>
      </c>
    </row>
    <row r="138" spans="1:20" ht="17.25" customHeight="1">
      <c r="A138" s="31" t="s">
        <v>126</v>
      </c>
      <c r="B138" s="6" t="s">
        <v>127</v>
      </c>
      <c r="C138" s="8" t="s">
        <v>4</v>
      </c>
      <c r="D138" s="7">
        <f t="shared" ref="D138:J138" si="55">D139</f>
        <v>3385.116</v>
      </c>
      <c r="E138" s="7">
        <f t="shared" si="55"/>
        <v>2989.2490000000003</v>
      </c>
      <c r="F138" s="7">
        <f t="shared" si="55"/>
        <v>2035.7699999999998</v>
      </c>
      <c r="G138" s="10">
        <f t="shared" si="31"/>
        <v>-953.4790000000005</v>
      </c>
      <c r="H138" s="7">
        <f t="shared" si="55"/>
        <v>3385.116</v>
      </c>
      <c r="I138" s="7">
        <f t="shared" si="55"/>
        <v>2989.2490000000003</v>
      </c>
      <c r="J138" s="7">
        <f t="shared" si="55"/>
        <v>2035.7699999999998</v>
      </c>
      <c r="K138" s="10">
        <f t="shared" si="32"/>
        <v>-953.4790000000005</v>
      </c>
      <c r="L138" s="16">
        <f t="shared" si="41"/>
        <v>-31.896941338777747</v>
      </c>
      <c r="M138" s="110"/>
      <c r="N138" s="111"/>
      <c r="O138" s="30"/>
      <c r="P138">
        <v>35871</v>
      </c>
      <c r="S138">
        <f>P138/12</f>
        <v>2989.25</v>
      </c>
      <c r="T138" s="30">
        <f t="shared" si="54"/>
        <v>0</v>
      </c>
    </row>
    <row r="139" spans="1:20" ht="17.25" customHeight="1">
      <c r="A139" s="31">
        <v>6</v>
      </c>
      <c r="B139" s="6" t="s">
        <v>128</v>
      </c>
      <c r="C139" s="31" t="s">
        <v>4</v>
      </c>
      <c r="D139" s="7">
        <f>D140+D145+D146+D147+D148+D149+D150+D151+D154+D156+D172+D176+D177+D179+D184+D183+D188</f>
        <v>3385.116</v>
      </c>
      <c r="E139" s="7">
        <f t="shared" ref="E139:J139" si="56">E140+E145+E146+E147+E148+E149+E150+E151+E154+E156+E172+E176+E177+E179+E184+E183+E188</f>
        <v>2989.2490000000003</v>
      </c>
      <c r="F139" s="7">
        <f t="shared" si="56"/>
        <v>2035.7699999999998</v>
      </c>
      <c r="G139" s="10">
        <f>F139-E139</f>
        <v>-953.4790000000005</v>
      </c>
      <c r="H139" s="7">
        <f t="shared" si="56"/>
        <v>3385.116</v>
      </c>
      <c r="I139" s="7">
        <f t="shared" si="56"/>
        <v>2989.2490000000003</v>
      </c>
      <c r="J139" s="7">
        <f t="shared" si="56"/>
        <v>2035.7699999999998</v>
      </c>
      <c r="K139" s="10">
        <f t="shared" si="32"/>
        <v>-953.4790000000005</v>
      </c>
      <c r="L139" s="16">
        <f t="shared" si="41"/>
        <v>-31.896941338777747</v>
      </c>
      <c r="M139" s="110"/>
      <c r="N139" s="111"/>
      <c r="O139" s="30"/>
      <c r="T139" s="30">
        <f t="shared" si="54"/>
        <v>0</v>
      </c>
    </row>
    <row r="140" spans="1:20" ht="17.25" customHeight="1">
      <c r="A140" s="31" t="s">
        <v>129</v>
      </c>
      <c r="B140" s="6" t="s">
        <v>130</v>
      </c>
      <c r="C140" s="31" t="s">
        <v>4</v>
      </c>
      <c r="D140" s="7">
        <f t="shared" ref="D140:E140" si="57">D141+D142</f>
        <v>97.608999999999995</v>
      </c>
      <c r="E140" s="7">
        <f t="shared" si="57"/>
        <v>97.582999999999998</v>
      </c>
      <c r="F140" s="7">
        <f t="shared" ref="F140" si="58">F141+F142</f>
        <v>167.55799999999999</v>
      </c>
      <c r="G140" s="10">
        <f t="shared" ref="G140:G204" si="59">F140-E140</f>
        <v>69.974999999999994</v>
      </c>
      <c r="H140" s="7">
        <f t="shared" ref="H140:J140" si="60">H141+H142</f>
        <v>97.608999999999995</v>
      </c>
      <c r="I140" s="7">
        <f t="shared" si="60"/>
        <v>97.582999999999998</v>
      </c>
      <c r="J140" s="7">
        <f t="shared" si="60"/>
        <v>167.55799999999999</v>
      </c>
      <c r="K140" s="10">
        <f t="shared" ref="K140:K204" si="61">J140-I140</f>
        <v>69.974999999999994</v>
      </c>
      <c r="L140" s="16">
        <f t="shared" ref="L140:L203" si="62">K140/I140*100</f>
        <v>71.708186876812547</v>
      </c>
      <c r="M140" s="110"/>
      <c r="N140" s="111"/>
      <c r="O140" s="30"/>
      <c r="P140">
        <v>510</v>
      </c>
      <c r="S140" s="30">
        <f>P140/12</f>
        <v>42.5</v>
      </c>
      <c r="T140" s="30">
        <f t="shared" si="54"/>
        <v>0</v>
      </c>
    </row>
    <row r="141" spans="1:20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54">
        <v>42.51</v>
      </c>
      <c r="G141" s="10">
        <f t="shared" si="59"/>
        <v>9.9999999999980105E-3</v>
      </c>
      <c r="H141" s="10">
        <v>42.552999999999997</v>
      </c>
      <c r="I141" s="10">
        <v>42.5</v>
      </c>
      <c r="J141" s="8">
        <f t="shared" ref="J141:J142" si="63">F141</f>
        <v>42.51</v>
      </c>
      <c r="K141" s="10">
        <f t="shared" si="61"/>
        <v>9.9999999999980105E-3</v>
      </c>
      <c r="L141" s="16">
        <f t="shared" si="62"/>
        <v>2.3529411764701202E-2</v>
      </c>
      <c r="M141" s="110"/>
      <c r="N141" s="111"/>
      <c r="O141" s="30"/>
      <c r="S141" s="30"/>
      <c r="T141" s="30">
        <f t="shared" si="54"/>
        <v>0</v>
      </c>
    </row>
    <row r="142" spans="1:20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55">
        <v>125.048</v>
      </c>
      <c r="G142" s="10">
        <f t="shared" si="59"/>
        <v>69.965000000000003</v>
      </c>
      <c r="H142" s="10">
        <v>55.055999999999997</v>
      </c>
      <c r="I142" s="8">
        <v>55.082999999999998</v>
      </c>
      <c r="J142" s="8">
        <f t="shared" si="63"/>
        <v>125.048</v>
      </c>
      <c r="K142" s="10">
        <f t="shared" si="61"/>
        <v>69.965000000000003</v>
      </c>
      <c r="L142" s="16">
        <f t="shared" si="62"/>
        <v>127.01741009022749</v>
      </c>
      <c r="M142" s="110"/>
      <c r="N142" s="111"/>
      <c r="O142" s="30"/>
      <c r="P142">
        <v>661</v>
      </c>
      <c r="S142" s="30">
        <f t="shared" ref="S142" si="64">P142/12</f>
        <v>55.083333333333336</v>
      </c>
      <c r="T142" s="30">
        <f t="shared" si="54"/>
        <v>0</v>
      </c>
    </row>
    <row r="143" spans="1:20" ht="17.25" customHeight="1">
      <c r="A143" s="8"/>
      <c r="B143" s="12" t="s">
        <v>68</v>
      </c>
      <c r="C143" s="22" t="s">
        <v>66</v>
      </c>
      <c r="D143" s="14">
        <v>2816.6669999999999</v>
      </c>
      <c r="E143" s="22"/>
      <c r="F143" s="59">
        <v>6697.79</v>
      </c>
      <c r="G143" s="10">
        <f t="shared" si="59"/>
        <v>6697.79</v>
      </c>
      <c r="H143" s="14">
        <v>2816.6669999999999</v>
      </c>
      <c r="I143" s="22"/>
      <c r="J143" s="22"/>
      <c r="K143" s="10">
        <f t="shared" si="61"/>
        <v>0</v>
      </c>
      <c r="L143" s="16"/>
      <c r="M143" s="110"/>
      <c r="N143" s="111"/>
      <c r="O143" s="30"/>
      <c r="T143" s="30">
        <f t="shared" si="54"/>
        <v>-6697.79</v>
      </c>
    </row>
    <row r="144" spans="1:20" ht="17.25" customHeight="1">
      <c r="A144" s="8"/>
      <c r="B144" s="12" t="s">
        <v>15</v>
      </c>
      <c r="C144" s="13" t="s">
        <v>16</v>
      </c>
      <c r="D144" s="16">
        <f t="shared" ref="D144:F144" si="65">D142/D143*1000</f>
        <v>19.546506562543602</v>
      </c>
      <c r="E144" s="16" t="e">
        <f t="shared" si="65"/>
        <v>#DIV/0!</v>
      </c>
      <c r="F144" s="16">
        <f t="shared" si="65"/>
        <v>18.670038923286636</v>
      </c>
      <c r="G144" s="10" t="e">
        <f t="shared" si="59"/>
        <v>#DIV/0!</v>
      </c>
      <c r="H144" s="16">
        <f t="shared" ref="H144" si="66">H142/H143*1000</f>
        <v>19.546506562543602</v>
      </c>
      <c r="I144" s="13"/>
      <c r="J144" s="13"/>
      <c r="K144" s="10">
        <f t="shared" si="61"/>
        <v>0</v>
      </c>
      <c r="L144" s="16"/>
      <c r="M144" s="110"/>
      <c r="N144" s="111"/>
      <c r="O144" s="30"/>
      <c r="T144" s="30">
        <f t="shared" si="54"/>
        <v>-18.670038923286636</v>
      </c>
    </row>
    <row r="145" spans="1:20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55">
        <f>990.125-F149</f>
        <v>954.05</v>
      </c>
      <c r="G145" s="10">
        <f t="shared" si="59"/>
        <v>-462.36699999999996</v>
      </c>
      <c r="H145" s="10">
        <v>1914.3579999999999</v>
      </c>
      <c r="I145" s="8">
        <v>1416.4169999999999</v>
      </c>
      <c r="J145" s="8">
        <f>F145</f>
        <v>954.05</v>
      </c>
      <c r="K145" s="10">
        <f t="shared" si="61"/>
        <v>-462.36699999999996</v>
      </c>
      <c r="L145" s="16">
        <f t="shared" si="62"/>
        <v>-32.64342351157886</v>
      </c>
      <c r="M145" s="117"/>
      <c r="N145" s="118"/>
      <c r="O145" s="30"/>
      <c r="P145">
        <v>16997</v>
      </c>
      <c r="S145">
        <f>P145/12</f>
        <v>1416.4166666666667</v>
      </c>
      <c r="T145" s="30">
        <f t="shared" si="54"/>
        <v>0</v>
      </c>
    </row>
    <row r="146" spans="1:20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55">
        <v>59.451000000000001</v>
      </c>
      <c r="G146" s="10">
        <f t="shared" si="59"/>
        <v>-17.048999999999999</v>
      </c>
      <c r="H146" s="10">
        <v>105.29</v>
      </c>
      <c r="I146" s="10">
        <v>76.5</v>
      </c>
      <c r="J146" s="8">
        <f t="shared" ref="J146:J150" si="67">F146</f>
        <v>59.451000000000001</v>
      </c>
      <c r="K146" s="10">
        <f t="shared" si="61"/>
        <v>-17.048999999999999</v>
      </c>
      <c r="L146" s="16">
        <f t="shared" si="62"/>
        <v>-22.286274509803921</v>
      </c>
      <c r="M146" s="117"/>
      <c r="N146" s="118"/>
      <c r="O146" s="30">
        <v>189.52199999999999</v>
      </c>
      <c r="P146">
        <v>918</v>
      </c>
      <c r="S146" s="30">
        <f>P146/12</f>
        <v>76.5</v>
      </c>
      <c r="T146" s="30">
        <f t="shared" si="54"/>
        <v>0</v>
      </c>
    </row>
    <row r="147" spans="1:20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55">
        <v>26.927</v>
      </c>
      <c r="G147" s="10">
        <f t="shared" si="59"/>
        <v>-36.823</v>
      </c>
      <c r="H147" s="10">
        <v>84.231999999999999</v>
      </c>
      <c r="I147" s="10">
        <v>63.75</v>
      </c>
      <c r="J147" s="8">
        <f t="shared" si="67"/>
        <v>26.927</v>
      </c>
      <c r="K147" s="10">
        <f t="shared" si="61"/>
        <v>-36.823</v>
      </c>
      <c r="L147" s="16">
        <f t="shared" si="62"/>
        <v>-57.761568627450977</v>
      </c>
      <c r="M147" s="42"/>
      <c r="N147" s="43"/>
      <c r="O147" s="30"/>
      <c r="P147">
        <v>765</v>
      </c>
      <c r="S147" s="30">
        <f t="shared" ref="S147:S151" si="68">P147/12</f>
        <v>63.75</v>
      </c>
      <c r="T147" s="30">
        <f t="shared" si="54"/>
        <v>0</v>
      </c>
    </row>
    <row r="148" spans="1:20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55">
        <v>12.753</v>
      </c>
      <c r="G148" s="10">
        <f t="shared" si="59"/>
        <v>-8.4969999999999999</v>
      </c>
      <c r="H148" s="10"/>
      <c r="I148" s="10">
        <v>21.25</v>
      </c>
      <c r="J148" s="8">
        <f t="shared" si="67"/>
        <v>12.753</v>
      </c>
      <c r="K148" s="10">
        <f t="shared" si="61"/>
        <v>-8.4969999999999999</v>
      </c>
      <c r="L148" s="16">
        <f t="shared" si="62"/>
        <v>-39.985882352941175</v>
      </c>
      <c r="M148" s="42"/>
      <c r="N148" s="43"/>
      <c r="O148" s="30"/>
      <c r="P148">
        <v>255</v>
      </c>
      <c r="S148" s="30">
        <f t="shared" si="68"/>
        <v>21.25</v>
      </c>
      <c r="T148" s="30">
        <f t="shared" si="54"/>
        <v>0</v>
      </c>
    </row>
    <row r="149" spans="1:20" ht="17.25" customHeight="1">
      <c r="A149" s="8"/>
      <c r="B149" s="9" t="s">
        <v>315</v>
      </c>
      <c r="C149" s="8" t="s">
        <v>4</v>
      </c>
      <c r="D149" s="10"/>
      <c r="E149" s="10"/>
      <c r="F149" s="8">
        <v>36.075000000000003</v>
      </c>
      <c r="G149" s="10"/>
      <c r="H149" s="10"/>
      <c r="I149" s="10"/>
      <c r="J149" s="8">
        <f t="shared" si="67"/>
        <v>36.075000000000003</v>
      </c>
      <c r="K149" s="10"/>
      <c r="L149" s="16"/>
      <c r="M149" s="52"/>
      <c r="N149" s="53"/>
      <c r="O149" s="30"/>
      <c r="S149" s="30"/>
      <c r="T149" s="30">
        <f t="shared" si="54"/>
        <v>0</v>
      </c>
    </row>
    <row r="150" spans="1:20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55">
        <v>271.84899999999999</v>
      </c>
      <c r="G150" s="10">
        <f t="shared" si="59"/>
        <v>194.26599999999999</v>
      </c>
      <c r="H150" s="10">
        <v>77.58</v>
      </c>
      <c r="I150" s="8">
        <v>77.582999999999998</v>
      </c>
      <c r="J150" s="8">
        <f t="shared" si="67"/>
        <v>271.84899999999999</v>
      </c>
      <c r="K150" s="10">
        <f t="shared" si="61"/>
        <v>194.26599999999999</v>
      </c>
      <c r="L150" s="16">
        <f t="shared" si="62"/>
        <v>250.39763865795339</v>
      </c>
      <c r="M150" s="117" t="s">
        <v>301</v>
      </c>
      <c r="N150" s="118"/>
      <c r="O150" s="30"/>
      <c r="P150">
        <v>931</v>
      </c>
      <c r="S150" s="30">
        <f t="shared" si="68"/>
        <v>77.583333333333329</v>
      </c>
      <c r="T150" s="30">
        <f t="shared" si="54"/>
        <v>0</v>
      </c>
    </row>
    <row r="151" spans="1:20" ht="17.25" customHeight="1">
      <c r="A151" s="31" t="s">
        <v>139</v>
      </c>
      <c r="B151" s="6" t="s">
        <v>140</v>
      </c>
      <c r="C151" s="31" t="s">
        <v>4</v>
      </c>
      <c r="D151" s="7">
        <f t="shared" ref="D151:F151" si="69">D152+D153</f>
        <v>239.149</v>
      </c>
      <c r="E151" s="33">
        <v>47.832999999999998</v>
      </c>
      <c r="F151" s="7">
        <f t="shared" si="69"/>
        <v>44.483000000000004</v>
      </c>
      <c r="G151" s="10">
        <f t="shared" si="59"/>
        <v>-3.3499999999999943</v>
      </c>
      <c r="H151" s="7">
        <f t="shared" ref="H151" si="70">H152+H153</f>
        <v>239.149</v>
      </c>
      <c r="I151" s="47">
        <v>47.832999999999998</v>
      </c>
      <c r="J151" s="7">
        <f t="shared" ref="J151" si="71">J152+J153</f>
        <v>44.483000000000004</v>
      </c>
      <c r="K151" s="10">
        <f t="shared" si="61"/>
        <v>-3.3499999999999943</v>
      </c>
      <c r="L151" s="16">
        <f t="shared" si="62"/>
        <v>-7.0035331256663698</v>
      </c>
      <c r="M151" s="110"/>
      <c r="N151" s="111"/>
      <c r="O151" s="30"/>
      <c r="P151">
        <v>574</v>
      </c>
      <c r="S151" s="30">
        <f t="shared" si="68"/>
        <v>47.833333333333336</v>
      </c>
      <c r="T151" s="30">
        <f t="shared" si="54"/>
        <v>0</v>
      </c>
    </row>
    <row r="152" spans="1:20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55">
        <v>32.508000000000003</v>
      </c>
      <c r="G152" s="10">
        <f t="shared" si="59"/>
        <v>32.508000000000003</v>
      </c>
      <c r="H152" s="10">
        <v>8.7579999999999991</v>
      </c>
      <c r="I152" s="8"/>
      <c r="J152" s="8">
        <f t="shared" ref="J152:J153" si="72">F152</f>
        <v>32.508000000000003</v>
      </c>
      <c r="K152" s="10">
        <f t="shared" si="61"/>
        <v>32.508000000000003</v>
      </c>
      <c r="L152" s="16"/>
      <c r="M152" s="110"/>
      <c r="N152" s="111"/>
      <c r="O152" s="30"/>
      <c r="T152" s="30">
        <f t="shared" si="54"/>
        <v>0</v>
      </c>
    </row>
    <row r="153" spans="1:20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55">
        <v>11.975</v>
      </c>
      <c r="G153" s="10">
        <f t="shared" si="59"/>
        <v>11.975</v>
      </c>
      <c r="H153" s="10">
        <v>230.39099999999999</v>
      </c>
      <c r="I153" s="8"/>
      <c r="J153" s="8">
        <f t="shared" si="72"/>
        <v>11.975</v>
      </c>
      <c r="K153" s="10">
        <f t="shared" si="61"/>
        <v>11.975</v>
      </c>
      <c r="L153" s="16"/>
      <c r="M153" s="110"/>
      <c r="N153" s="111"/>
      <c r="O153" s="30"/>
      <c r="T153" s="30">
        <f t="shared" si="54"/>
        <v>0</v>
      </c>
    </row>
    <row r="154" spans="1:20" ht="75.75" customHeight="1">
      <c r="A154" s="31" t="s">
        <v>144</v>
      </c>
      <c r="B154" s="6" t="s">
        <v>145</v>
      </c>
      <c r="C154" s="31" t="s">
        <v>4</v>
      </c>
      <c r="D154" s="7">
        <f t="shared" ref="D154:J154" si="73">D155</f>
        <v>13.856</v>
      </c>
      <c r="E154" s="7">
        <f t="shared" si="73"/>
        <v>13.833</v>
      </c>
      <c r="F154" s="7">
        <f t="shared" si="73"/>
        <v>28.75</v>
      </c>
      <c r="G154" s="10">
        <f t="shared" si="59"/>
        <v>14.917</v>
      </c>
      <c r="H154" s="7">
        <f t="shared" si="73"/>
        <v>13.856</v>
      </c>
      <c r="I154" s="7">
        <f t="shared" si="73"/>
        <v>13.833</v>
      </c>
      <c r="J154" s="7">
        <f t="shared" si="73"/>
        <v>28.75</v>
      </c>
      <c r="K154" s="10">
        <f t="shared" si="61"/>
        <v>14.917</v>
      </c>
      <c r="L154" s="16">
        <f t="shared" si="62"/>
        <v>107.83633340562422</v>
      </c>
      <c r="M154" s="110"/>
      <c r="N154" s="111"/>
      <c r="O154" s="30"/>
      <c r="T154" s="30">
        <f t="shared" si="54"/>
        <v>0</v>
      </c>
    </row>
    <row r="155" spans="1:20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54">
        <f>17.624+11.126</f>
        <v>28.75</v>
      </c>
      <c r="G155" s="10">
        <f t="shared" si="59"/>
        <v>14.917</v>
      </c>
      <c r="H155" s="10">
        <v>13.856</v>
      </c>
      <c r="I155" s="8">
        <v>13.833</v>
      </c>
      <c r="J155" s="8">
        <f>F155</f>
        <v>28.75</v>
      </c>
      <c r="K155" s="10">
        <f t="shared" si="61"/>
        <v>14.917</v>
      </c>
      <c r="L155" s="16">
        <f t="shared" si="62"/>
        <v>107.83633340562422</v>
      </c>
      <c r="M155" s="110"/>
      <c r="N155" s="111"/>
      <c r="O155" s="30"/>
      <c r="T155" s="30">
        <f t="shared" si="54"/>
        <v>0</v>
      </c>
    </row>
    <row r="156" spans="1:20" ht="18" customHeight="1">
      <c r="A156" s="31" t="s">
        <v>148</v>
      </c>
      <c r="B156" s="6" t="s">
        <v>149</v>
      </c>
      <c r="C156" s="31" t="s">
        <v>4</v>
      </c>
      <c r="D156" s="27">
        <f t="shared" ref="D156" si="74">D157+D160+D163+D166+D169</f>
        <v>71.188999999999993</v>
      </c>
      <c r="E156" s="33">
        <v>72.417000000000002</v>
      </c>
      <c r="F156" s="27">
        <f>F157+F160+F163+F166+F169</f>
        <v>154.08199999999999</v>
      </c>
      <c r="G156" s="10">
        <f t="shared" si="59"/>
        <v>81.664999999999992</v>
      </c>
      <c r="H156" s="27">
        <f t="shared" ref="H156" si="75">H157+H160+H163+H166+H169</f>
        <v>71.188999999999993</v>
      </c>
      <c r="I156" s="47">
        <v>72.417000000000002</v>
      </c>
      <c r="J156" s="27">
        <f>J157+J160+J163+J166+J169</f>
        <v>154.08199999999999</v>
      </c>
      <c r="K156" s="10">
        <f t="shared" si="61"/>
        <v>81.664999999999992</v>
      </c>
      <c r="L156" s="16">
        <f t="shared" si="62"/>
        <v>112.77048206912741</v>
      </c>
      <c r="M156" s="110"/>
      <c r="N156" s="111"/>
      <c r="O156" s="30"/>
      <c r="P156">
        <v>869</v>
      </c>
      <c r="S156">
        <f>P156/12</f>
        <v>72.416666666666671</v>
      </c>
      <c r="T156" s="30">
        <f t="shared" si="54"/>
        <v>0</v>
      </c>
    </row>
    <row r="157" spans="1:20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54">
        <v>143.25</v>
      </c>
      <c r="G157" s="10">
        <f t="shared" si="59"/>
        <v>143.25</v>
      </c>
      <c r="H157" s="10">
        <v>49.027999999999999</v>
      </c>
      <c r="I157" s="8"/>
      <c r="J157" s="8">
        <f t="shared" ref="J157:J158" si="76">F157</f>
        <v>143.25</v>
      </c>
      <c r="K157" s="10">
        <f t="shared" si="61"/>
        <v>143.25</v>
      </c>
      <c r="L157" s="16"/>
      <c r="M157" s="110"/>
      <c r="N157" s="111"/>
      <c r="O157" s="30"/>
      <c r="T157" s="30">
        <f t="shared" si="54"/>
        <v>0</v>
      </c>
    </row>
    <row r="158" spans="1:20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>
        <v>30.59</v>
      </c>
      <c r="G158" s="10">
        <f t="shared" si="59"/>
        <v>30.59</v>
      </c>
      <c r="H158" s="10">
        <v>13.144</v>
      </c>
      <c r="I158" s="8"/>
      <c r="J158" s="8">
        <f t="shared" si="76"/>
        <v>30.59</v>
      </c>
      <c r="K158" s="10">
        <f t="shared" si="61"/>
        <v>30.59</v>
      </c>
      <c r="L158" s="16"/>
      <c r="M158" s="117" t="s">
        <v>302</v>
      </c>
      <c r="N158" s="118"/>
      <c r="O158" s="30"/>
      <c r="T158" s="30">
        <f t="shared" si="54"/>
        <v>0</v>
      </c>
    </row>
    <row r="159" spans="1:20" ht="17.25" customHeight="1">
      <c r="A159" s="8"/>
      <c r="B159" s="28" t="s">
        <v>15</v>
      </c>
      <c r="C159" s="8" t="s">
        <v>16</v>
      </c>
      <c r="D159" s="16">
        <v>3729.99</v>
      </c>
      <c r="E159" s="16"/>
      <c r="F159" s="16">
        <f>F157/F158*1000</f>
        <v>4682.9029094475318</v>
      </c>
      <c r="G159" s="10">
        <f t="shared" si="59"/>
        <v>4682.9029094475318</v>
      </c>
      <c r="H159" s="16">
        <v>3729.99</v>
      </c>
      <c r="I159" s="16"/>
      <c r="J159" s="16">
        <f>J157/J158*1000</f>
        <v>4682.9029094475318</v>
      </c>
      <c r="K159" s="10">
        <f t="shared" si="61"/>
        <v>4682.9029094475318</v>
      </c>
      <c r="L159" s="16"/>
      <c r="M159" s="110"/>
      <c r="N159" s="111"/>
      <c r="O159" s="30"/>
      <c r="T159" s="30">
        <f t="shared" si="54"/>
        <v>0</v>
      </c>
    </row>
    <row r="160" spans="1:20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59"/>
        <v>0</v>
      </c>
      <c r="H160" s="10">
        <v>0.92300000000000004</v>
      </c>
      <c r="I160" s="8"/>
      <c r="J160" s="8">
        <f t="shared" ref="J160:J161" si="77">F160</f>
        <v>0</v>
      </c>
      <c r="K160" s="10">
        <f t="shared" si="61"/>
        <v>0</v>
      </c>
      <c r="L160" s="16"/>
      <c r="M160" s="110"/>
      <c r="N160" s="111"/>
      <c r="O160" s="30"/>
      <c r="T160" s="30">
        <f t="shared" si="54"/>
        <v>0</v>
      </c>
    </row>
    <row r="161" spans="1:20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59"/>
        <v>0</v>
      </c>
      <c r="H161" s="10">
        <v>0.75</v>
      </c>
      <c r="I161" s="8"/>
      <c r="J161" s="8">
        <f t="shared" si="77"/>
        <v>0</v>
      </c>
      <c r="K161" s="10">
        <f t="shared" si="61"/>
        <v>0</v>
      </c>
      <c r="L161" s="16"/>
      <c r="M161" s="110"/>
      <c r="N161" s="111"/>
      <c r="O161" s="30"/>
      <c r="T161" s="30">
        <f t="shared" si="54"/>
        <v>0</v>
      </c>
    </row>
    <row r="162" spans="1:20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59"/>
        <v>0</v>
      </c>
      <c r="H162" s="16">
        <f>H160/H161*1000</f>
        <v>1230.6666666666667</v>
      </c>
      <c r="I162" s="8"/>
      <c r="J162" s="8"/>
      <c r="K162" s="10">
        <f t="shared" si="61"/>
        <v>0</v>
      </c>
      <c r="L162" s="16"/>
      <c r="M162" s="110"/>
      <c r="N162" s="111"/>
      <c r="O162" s="30"/>
      <c r="T162" s="30">
        <f t="shared" si="54"/>
        <v>0</v>
      </c>
    </row>
    <row r="163" spans="1:20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55">
        <v>7.0289999999999999</v>
      </c>
      <c r="G163" s="10">
        <f t="shared" si="59"/>
        <v>7.0289999999999999</v>
      </c>
      <c r="H163" s="10">
        <v>2.1800000000000002</v>
      </c>
      <c r="I163" s="8"/>
      <c r="J163" s="8">
        <f t="shared" ref="J163:J164" si="78">F163</f>
        <v>7.0289999999999999</v>
      </c>
      <c r="K163" s="10">
        <f t="shared" si="61"/>
        <v>7.0289999999999999</v>
      </c>
      <c r="L163" s="16"/>
      <c r="M163" s="110"/>
      <c r="N163" s="111"/>
      <c r="O163" s="30"/>
      <c r="T163" s="30">
        <f t="shared" si="54"/>
        <v>0</v>
      </c>
    </row>
    <row r="164" spans="1:20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>
        <v>55</v>
      </c>
      <c r="G164" s="10">
        <f t="shared" si="59"/>
        <v>55</v>
      </c>
      <c r="H164" s="14">
        <v>20</v>
      </c>
      <c r="I164" s="8"/>
      <c r="J164" s="8">
        <f t="shared" si="78"/>
        <v>55</v>
      </c>
      <c r="K164" s="10">
        <f t="shared" si="61"/>
        <v>55</v>
      </c>
      <c r="L164" s="16"/>
      <c r="M164" s="110"/>
      <c r="N164" s="111"/>
      <c r="O164" s="30"/>
      <c r="T164" s="30">
        <f t="shared" si="54"/>
        <v>0</v>
      </c>
    </row>
    <row r="165" spans="1:20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>
        <f t="shared" ref="F165" si="79">F163/F164*1000</f>
        <v>127.8</v>
      </c>
      <c r="G165" s="10">
        <f t="shared" si="59"/>
        <v>127.8</v>
      </c>
      <c r="H165" s="16">
        <f>H163/H164*1000</f>
        <v>109.00000000000001</v>
      </c>
      <c r="I165" s="16"/>
      <c r="J165" s="16">
        <f t="shared" ref="J165" si="80">J163/J164*1000</f>
        <v>127.8</v>
      </c>
      <c r="K165" s="10">
        <f t="shared" si="61"/>
        <v>127.8</v>
      </c>
      <c r="L165" s="16"/>
      <c r="M165" s="110"/>
      <c r="N165" s="111"/>
      <c r="O165" s="30"/>
      <c r="T165" s="30">
        <f t="shared" si="54"/>
        <v>0</v>
      </c>
    </row>
    <row r="166" spans="1:20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"/>
      <c r="G166" s="10">
        <f t="shared" si="59"/>
        <v>0</v>
      </c>
      <c r="H166" s="10">
        <v>19.058</v>
      </c>
      <c r="I166" s="8"/>
      <c r="J166" s="8">
        <f t="shared" ref="J166:J167" si="81">F166</f>
        <v>0</v>
      </c>
      <c r="K166" s="10">
        <f t="shared" si="61"/>
        <v>0</v>
      </c>
      <c r="L166" s="16"/>
      <c r="M166" s="110"/>
      <c r="N166" s="111"/>
      <c r="O166" s="30"/>
      <c r="T166" s="30">
        <f t="shared" si="54"/>
        <v>0</v>
      </c>
    </row>
    <row r="167" spans="1:20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59"/>
        <v>0</v>
      </c>
      <c r="H167" s="14">
        <v>16</v>
      </c>
      <c r="I167" s="8"/>
      <c r="J167" s="8">
        <f t="shared" si="81"/>
        <v>0</v>
      </c>
      <c r="K167" s="10">
        <f t="shared" si="61"/>
        <v>0</v>
      </c>
      <c r="L167" s="16"/>
      <c r="M167" s="110"/>
      <c r="N167" s="111"/>
      <c r="O167" s="30"/>
      <c r="T167" s="30">
        <f t="shared" si="54"/>
        <v>0</v>
      </c>
    </row>
    <row r="168" spans="1:20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8"/>
      <c r="G168" s="10">
        <f t="shared" si="59"/>
        <v>0</v>
      </c>
      <c r="H168" s="16">
        <f>H166/H167*1000</f>
        <v>1191.125</v>
      </c>
      <c r="I168" s="8"/>
      <c r="J168" s="8"/>
      <c r="K168" s="10">
        <f t="shared" si="61"/>
        <v>0</v>
      </c>
      <c r="L168" s="16"/>
      <c r="M168" s="110"/>
      <c r="N168" s="111"/>
      <c r="O168" s="30"/>
      <c r="T168" s="30">
        <f t="shared" si="54"/>
        <v>0</v>
      </c>
    </row>
    <row r="169" spans="1:20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55">
        <v>3.8029999999999999</v>
      </c>
      <c r="G169" s="10">
        <f t="shared" si="59"/>
        <v>3.8029999999999999</v>
      </c>
      <c r="H169" s="10">
        <v>0</v>
      </c>
      <c r="I169" s="8"/>
      <c r="J169" s="8">
        <f t="shared" ref="J169:J170" si="82">F169</f>
        <v>3.8029999999999999</v>
      </c>
      <c r="K169" s="10">
        <f t="shared" si="61"/>
        <v>3.8029999999999999</v>
      </c>
      <c r="L169" s="16"/>
      <c r="M169" s="110"/>
      <c r="N169" s="111"/>
      <c r="O169" s="30"/>
      <c r="T169" s="30">
        <f t="shared" si="54"/>
        <v>0</v>
      </c>
    </row>
    <row r="170" spans="1:20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>
        <v>55</v>
      </c>
      <c r="G170" s="10">
        <f t="shared" si="59"/>
        <v>55</v>
      </c>
      <c r="H170" s="14">
        <v>0</v>
      </c>
      <c r="I170" s="8"/>
      <c r="J170" s="8">
        <f t="shared" si="82"/>
        <v>55</v>
      </c>
      <c r="K170" s="10">
        <f t="shared" si="61"/>
        <v>55</v>
      </c>
      <c r="L170" s="16"/>
      <c r="M170" s="110"/>
      <c r="N170" s="111"/>
      <c r="O170" s="30"/>
      <c r="T170" s="30">
        <f t="shared" si="54"/>
        <v>0</v>
      </c>
    </row>
    <row r="171" spans="1:20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16"/>
      <c r="F171" s="16">
        <f t="shared" ref="F171" si="83">F169/F170*1000</f>
        <v>69.145454545454541</v>
      </c>
      <c r="G171" s="10">
        <f t="shared" si="59"/>
        <v>69.145454545454541</v>
      </c>
      <c r="H171" s="16" t="e">
        <f>H169/H170*1000</f>
        <v>#DIV/0!</v>
      </c>
      <c r="I171" s="16"/>
      <c r="J171" s="16">
        <f t="shared" ref="J171" si="84">J169/J170*1000</f>
        <v>69.145454545454541</v>
      </c>
      <c r="K171" s="10">
        <f t="shared" si="61"/>
        <v>69.145454545454541</v>
      </c>
      <c r="L171" s="16"/>
      <c r="M171" s="110"/>
      <c r="N171" s="111"/>
      <c r="O171" s="30"/>
      <c r="T171" s="30">
        <f t="shared" si="54"/>
        <v>0</v>
      </c>
    </row>
    <row r="172" spans="1:20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8">
        <f>F173+F174+F175</f>
        <v>43.67</v>
      </c>
      <c r="G172" s="10">
        <f t="shared" si="59"/>
        <v>-18.997</v>
      </c>
      <c r="H172" s="10">
        <v>62.704999999999998</v>
      </c>
      <c r="I172" s="8">
        <v>62.667000000000002</v>
      </c>
      <c r="J172" s="8">
        <f>J173+J174+J175</f>
        <v>43.67</v>
      </c>
      <c r="K172" s="10">
        <f t="shared" si="61"/>
        <v>-18.997</v>
      </c>
      <c r="L172" s="16">
        <f t="shared" si="62"/>
        <v>-30.314200456380551</v>
      </c>
      <c r="M172" s="110"/>
      <c r="N172" s="111"/>
      <c r="O172" s="30"/>
      <c r="P172">
        <v>752</v>
      </c>
      <c r="S172">
        <f>P172/12</f>
        <v>62.666666666666664</v>
      </c>
      <c r="T172" s="30">
        <f t="shared" si="54"/>
        <v>0</v>
      </c>
    </row>
    <row r="173" spans="1:20" ht="17.25" customHeight="1">
      <c r="A173" s="16"/>
      <c r="B173" s="9" t="s">
        <v>221</v>
      </c>
      <c r="C173" s="8" t="s">
        <v>4</v>
      </c>
      <c r="D173" s="10"/>
      <c r="E173" s="8"/>
      <c r="F173" s="54">
        <v>33.67</v>
      </c>
      <c r="G173" s="10">
        <f t="shared" si="59"/>
        <v>33.67</v>
      </c>
      <c r="H173" s="10"/>
      <c r="I173" s="8"/>
      <c r="J173" s="8">
        <f t="shared" ref="J173:J176" si="85">F173</f>
        <v>33.67</v>
      </c>
      <c r="K173" s="10">
        <f t="shared" si="61"/>
        <v>33.67</v>
      </c>
      <c r="L173" s="16"/>
      <c r="M173" s="110"/>
      <c r="N173" s="111"/>
      <c r="O173" s="30"/>
      <c r="T173" s="30">
        <f t="shared" si="54"/>
        <v>0</v>
      </c>
    </row>
    <row r="174" spans="1:20" ht="37.5" customHeight="1">
      <c r="A174" s="16"/>
      <c r="B174" s="9" t="s">
        <v>222</v>
      </c>
      <c r="C174" s="8" t="s">
        <v>4</v>
      </c>
      <c r="D174" s="10"/>
      <c r="E174" s="8"/>
      <c r="F174" s="54">
        <v>10</v>
      </c>
      <c r="G174" s="10">
        <f t="shared" si="59"/>
        <v>10</v>
      </c>
      <c r="H174" s="10"/>
      <c r="I174" s="8"/>
      <c r="J174" s="8">
        <f t="shared" si="85"/>
        <v>10</v>
      </c>
      <c r="K174" s="10">
        <f t="shared" si="61"/>
        <v>10</v>
      </c>
      <c r="L174" s="16"/>
      <c r="M174" s="110"/>
      <c r="N174" s="111"/>
      <c r="O174" s="30"/>
      <c r="T174" s="30">
        <f t="shared" si="54"/>
        <v>0</v>
      </c>
    </row>
    <row r="175" spans="1:20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59"/>
        <v>0</v>
      </c>
      <c r="H175" s="10"/>
      <c r="I175" s="8"/>
      <c r="J175" s="8">
        <f t="shared" si="85"/>
        <v>0</v>
      </c>
      <c r="K175" s="10">
        <f t="shared" si="61"/>
        <v>0</v>
      </c>
      <c r="L175" s="16"/>
      <c r="M175" s="110"/>
      <c r="N175" s="111"/>
      <c r="O175" s="30"/>
      <c r="T175" s="30">
        <f t="shared" si="54"/>
        <v>0</v>
      </c>
    </row>
    <row r="176" spans="1:20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55">
        <f>8.551+29.673+7.053+13.047+13.125</f>
        <v>71.448999999999998</v>
      </c>
      <c r="G176" s="10">
        <f t="shared" si="59"/>
        <v>6.5319999999999965</v>
      </c>
      <c r="H176" s="10">
        <v>64.906000000000006</v>
      </c>
      <c r="I176" s="8">
        <v>64.917000000000002</v>
      </c>
      <c r="J176" s="8">
        <f t="shared" si="85"/>
        <v>71.448999999999998</v>
      </c>
      <c r="K176" s="10">
        <f t="shared" si="61"/>
        <v>6.5319999999999965</v>
      </c>
      <c r="L176" s="16">
        <f t="shared" si="62"/>
        <v>10.062079270453033</v>
      </c>
      <c r="M176" s="110"/>
      <c r="N176" s="111"/>
      <c r="O176" s="30"/>
      <c r="P176">
        <v>779</v>
      </c>
      <c r="S176">
        <f>P176/12</f>
        <v>64.916666666666671</v>
      </c>
      <c r="T176" s="30">
        <f t="shared" si="54"/>
        <v>0</v>
      </c>
    </row>
    <row r="177" spans="1:20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59"/>
        <v>0</v>
      </c>
      <c r="H177" s="10">
        <f>H178</f>
        <v>2.2330000000000001</v>
      </c>
      <c r="I177" s="8"/>
      <c r="J177" s="8"/>
      <c r="K177" s="10">
        <f t="shared" si="61"/>
        <v>0</v>
      </c>
      <c r="L177" s="16"/>
      <c r="M177" s="110"/>
      <c r="N177" s="111"/>
      <c r="O177" s="30"/>
      <c r="T177" s="30">
        <f t="shared" si="54"/>
        <v>0</v>
      </c>
    </row>
    <row r="178" spans="1:20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59"/>
        <v>0</v>
      </c>
      <c r="H178" s="10">
        <v>2.2330000000000001</v>
      </c>
      <c r="I178" s="8"/>
      <c r="J178" s="8"/>
      <c r="K178" s="10">
        <f t="shared" si="61"/>
        <v>0</v>
      </c>
      <c r="L178" s="16"/>
      <c r="M178" s="36"/>
      <c r="N178" s="37"/>
      <c r="O178" s="30"/>
      <c r="T178" s="30">
        <f t="shared" si="54"/>
        <v>0</v>
      </c>
    </row>
    <row r="179" spans="1:20" ht="17.25" customHeight="1">
      <c r="A179" s="16" t="s">
        <v>164</v>
      </c>
      <c r="B179" s="6" t="s">
        <v>169</v>
      </c>
      <c r="C179" s="31" t="s">
        <v>4</v>
      </c>
      <c r="D179" s="7">
        <f t="shared" ref="D179:F179" si="86">D180+D181+D182</f>
        <v>318.99799999999999</v>
      </c>
      <c r="E179" s="7">
        <f t="shared" si="86"/>
        <v>637.41600000000005</v>
      </c>
      <c r="F179" s="7">
        <f t="shared" si="86"/>
        <v>0</v>
      </c>
      <c r="G179" s="10">
        <f t="shared" si="59"/>
        <v>-637.41600000000005</v>
      </c>
      <c r="H179" s="7">
        <f t="shared" ref="H179:J179" si="87">H180+H181+H182</f>
        <v>318.99799999999999</v>
      </c>
      <c r="I179" s="7">
        <f t="shared" si="87"/>
        <v>637.41600000000005</v>
      </c>
      <c r="J179" s="7">
        <f t="shared" si="87"/>
        <v>0</v>
      </c>
      <c r="K179" s="10">
        <f t="shared" si="61"/>
        <v>-637.41600000000005</v>
      </c>
      <c r="L179" s="16">
        <f t="shared" si="62"/>
        <v>-100</v>
      </c>
      <c r="M179" s="110"/>
      <c r="N179" s="111"/>
      <c r="O179" s="30"/>
      <c r="T179" s="30">
        <f t="shared" si="54"/>
        <v>0</v>
      </c>
    </row>
    <row r="180" spans="1:20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59"/>
        <v>-61.332999999999998</v>
      </c>
      <c r="H180" s="10">
        <v>61.292999999999999</v>
      </c>
      <c r="I180" s="8">
        <v>61.332999999999998</v>
      </c>
      <c r="J180" s="8">
        <f t="shared" ref="J180:J183" si="88">F180</f>
        <v>0</v>
      </c>
      <c r="K180" s="10">
        <f t="shared" si="61"/>
        <v>-61.332999999999998</v>
      </c>
      <c r="L180" s="16">
        <f t="shared" si="62"/>
        <v>-100</v>
      </c>
      <c r="M180" s="110"/>
      <c r="N180" s="111"/>
      <c r="O180" s="30"/>
      <c r="P180">
        <v>736</v>
      </c>
      <c r="S180">
        <f>P180/12</f>
        <v>61.333333333333336</v>
      </c>
      <c r="T180" s="30">
        <f t="shared" si="54"/>
        <v>0</v>
      </c>
    </row>
    <row r="181" spans="1:20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59"/>
        <v>-486.83300000000003</v>
      </c>
      <c r="H181" s="10">
        <v>168.477</v>
      </c>
      <c r="I181" s="8">
        <v>486.83300000000003</v>
      </c>
      <c r="J181" s="8">
        <f t="shared" si="88"/>
        <v>0</v>
      </c>
      <c r="K181" s="10">
        <f t="shared" si="61"/>
        <v>-486.83300000000003</v>
      </c>
      <c r="L181" s="16">
        <f t="shared" si="62"/>
        <v>-100</v>
      </c>
      <c r="M181" s="117" t="s">
        <v>300</v>
      </c>
      <c r="N181" s="118"/>
      <c r="O181" s="30"/>
      <c r="P181">
        <v>5842</v>
      </c>
      <c r="S181">
        <f>P181/12</f>
        <v>486.83333333333331</v>
      </c>
      <c r="T181" s="30">
        <f t="shared" si="54"/>
        <v>0</v>
      </c>
    </row>
    <row r="182" spans="1:20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59"/>
        <v>-89.25</v>
      </c>
      <c r="H182" s="10">
        <v>89.227999999999994</v>
      </c>
      <c r="I182" s="10">
        <v>89.25</v>
      </c>
      <c r="J182" s="8">
        <f t="shared" si="88"/>
        <v>0</v>
      </c>
      <c r="K182" s="10">
        <f t="shared" si="61"/>
        <v>-89.25</v>
      </c>
      <c r="L182" s="16">
        <f t="shared" si="62"/>
        <v>-100</v>
      </c>
      <c r="M182" s="117" t="s">
        <v>300</v>
      </c>
      <c r="N182" s="118"/>
      <c r="O182" s="30"/>
      <c r="P182">
        <v>1071</v>
      </c>
      <c r="S182">
        <f>P182/12</f>
        <v>89.25</v>
      </c>
      <c r="T182" s="30">
        <f t="shared" si="54"/>
        <v>0</v>
      </c>
    </row>
    <row r="183" spans="1:20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55">
        <v>76.558000000000007</v>
      </c>
      <c r="G183" s="10">
        <f t="shared" si="59"/>
        <v>-16.608999999999995</v>
      </c>
      <c r="H183" s="10">
        <v>95.709000000000003</v>
      </c>
      <c r="I183" s="8">
        <v>93.167000000000002</v>
      </c>
      <c r="J183" s="8">
        <f t="shared" si="88"/>
        <v>76.558000000000007</v>
      </c>
      <c r="K183" s="10">
        <f t="shared" si="61"/>
        <v>-16.608999999999995</v>
      </c>
      <c r="L183" s="16">
        <f t="shared" si="62"/>
        <v>-17.827127631028148</v>
      </c>
      <c r="M183" s="112" t="s">
        <v>303</v>
      </c>
      <c r="N183" s="113"/>
      <c r="O183" s="30"/>
      <c r="P183">
        <v>1118</v>
      </c>
      <c r="S183">
        <f>P183/12</f>
        <v>93.166666666666671</v>
      </c>
      <c r="T183" s="30">
        <f t="shared" si="54"/>
        <v>0</v>
      </c>
    </row>
    <row r="184" spans="1:20" ht="33" customHeight="1">
      <c r="A184" s="31" t="s">
        <v>173</v>
      </c>
      <c r="B184" s="6" t="s">
        <v>176</v>
      </c>
      <c r="C184" s="31" t="s">
        <v>4</v>
      </c>
      <c r="D184" s="7">
        <f t="shared" ref="D184:F184" si="89">D185+D186+D187</f>
        <v>50.518000000000001</v>
      </c>
      <c r="E184" s="7">
        <v>50.5</v>
      </c>
      <c r="F184" s="7">
        <f t="shared" si="89"/>
        <v>0</v>
      </c>
      <c r="G184" s="10">
        <f t="shared" si="59"/>
        <v>-50.5</v>
      </c>
      <c r="H184" s="7">
        <f t="shared" ref="H184" si="90">H185+H186+H187</f>
        <v>50.518000000000001</v>
      </c>
      <c r="I184" s="7">
        <v>50.5</v>
      </c>
      <c r="J184" s="7">
        <f t="shared" ref="J184" si="91">J185+J186+J187</f>
        <v>0</v>
      </c>
      <c r="K184" s="10">
        <f t="shared" si="61"/>
        <v>-50.5</v>
      </c>
      <c r="L184" s="16">
        <f t="shared" si="62"/>
        <v>-100</v>
      </c>
      <c r="M184" s="119" t="s">
        <v>293</v>
      </c>
      <c r="N184" s="120"/>
      <c r="O184" s="30"/>
      <c r="P184">
        <v>606</v>
      </c>
      <c r="S184">
        <f>P184/12</f>
        <v>50.5</v>
      </c>
      <c r="T184" s="30">
        <f t="shared" si="54"/>
        <v>0</v>
      </c>
    </row>
    <row r="185" spans="1:20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8"/>
      <c r="G185" s="10">
        <f t="shared" si="59"/>
        <v>0</v>
      </c>
      <c r="H185" s="10">
        <v>19.254000000000001</v>
      </c>
      <c r="I185" s="8"/>
      <c r="J185" s="8">
        <f t="shared" ref="J185:J187" si="92">F185</f>
        <v>0</v>
      </c>
      <c r="K185" s="10">
        <f t="shared" si="61"/>
        <v>0</v>
      </c>
      <c r="L185" s="16"/>
      <c r="M185" s="110"/>
      <c r="N185" s="111"/>
      <c r="O185" s="30"/>
      <c r="T185" s="30">
        <f t="shared" si="54"/>
        <v>0</v>
      </c>
    </row>
    <row r="186" spans="1:20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59"/>
        <v>0</v>
      </c>
      <c r="H186" s="10">
        <v>8.7639999999999993</v>
      </c>
      <c r="I186" s="8"/>
      <c r="J186" s="8">
        <f t="shared" si="92"/>
        <v>0</v>
      </c>
      <c r="K186" s="10">
        <f t="shared" si="61"/>
        <v>0</v>
      </c>
      <c r="L186" s="16"/>
      <c r="M186" s="110"/>
      <c r="N186" s="111"/>
      <c r="O186" s="30"/>
      <c r="T186" s="30">
        <f t="shared" si="54"/>
        <v>0</v>
      </c>
    </row>
    <row r="187" spans="1:20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59"/>
        <v>0</v>
      </c>
      <c r="H187" s="10">
        <v>22.5</v>
      </c>
      <c r="I187" s="8"/>
      <c r="J187" s="8">
        <f t="shared" si="92"/>
        <v>0</v>
      </c>
      <c r="K187" s="10">
        <f t="shared" si="61"/>
        <v>0</v>
      </c>
      <c r="L187" s="16"/>
      <c r="M187" s="110"/>
      <c r="N187" s="111"/>
      <c r="O187" s="30"/>
      <c r="T187" s="30">
        <f t="shared" si="54"/>
        <v>0</v>
      </c>
    </row>
    <row r="188" spans="1:20" ht="17.25" customHeight="1">
      <c r="A188" s="31" t="s">
        <v>175</v>
      </c>
      <c r="B188" s="6" t="s">
        <v>180</v>
      </c>
      <c r="C188" s="31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88.114999999999995</v>
      </c>
      <c r="G188" s="10">
        <f t="shared" si="59"/>
        <v>-105.301</v>
      </c>
      <c r="H188" s="7">
        <f>H189+H190+H191+H192+H197+H198+H199+H200+H204</f>
        <v>186.78400000000005</v>
      </c>
      <c r="I188" s="7">
        <f>I189+I190+I191+I192+I197+I198+I199+I200+I204</f>
        <v>193.416</v>
      </c>
      <c r="J188" s="7">
        <f>J189+J190+J191+J192+J197+J198+J199+J200+J204</f>
        <v>88.114999999999995</v>
      </c>
      <c r="K188" s="10">
        <f t="shared" si="61"/>
        <v>-105.301</v>
      </c>
      <c r="L188" s="16">
        <f t="shared" si="62"/>
        <v>-54.442755511436488</v>
      </c>
      <c r="M188" s="116"/>
      <c r="N188" s="111"/>
      <c r="O188" s="30"/>
      <c r="T188" s="30">
        <f t="shared" si="54"/>
        <v>0</v>
      </c>
    </row>
    <row r="189" spans="1:20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59"/>
        <v>0</v>
      </c>
      <c r="H189" s="10">
        <v>0</v>
      </c>
      <c r="I189" s="8"/>
      <c r="J189" s="8">
        <f t="shared" ref="J189:J191" si="93">F189</f>
        <v>0</v>
      </c>
      <c r="K189" s="10">
        <f t="shared" si="61"/>
        <v>0</v>
      </c>
      <c r="L189" s="16"/>
      <c r="M189" s="110"/>
      <c r="N189" s="111"/>
      <c r="O189" s="30"/>
      <c r="T189" s="30">
        <f t="shared" si="54"/>
        <v>0</v>
      </c>
    </row>
    <row r="190" spans="1:20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55">
        <v>21.355</v>
      </c>
      <c r="G190" s="10">
        <f t="shared" si="59"/>
        <v>-0.89499999999999957</v>
      </c>
      <c r="H190" s="10">
        <v>15.651</v>
      </c>
      <c r="I190" s="10">
        <v>22.25</v>
      </c>
      <c r="J190" s="8">
        <f t="shared" si="93"/>
        <v>21.355</v>
      </c>
      <c r="K190" s="10">
        <f t="shared" si="61"/>
        <v>-0.89499999999999957</v>
      </c>
      <c r="L190" s="16">
        <f t="shared" si="62"/>
        <v>-4.0224719101123574</v>
      </c>
      <c r="M190" s="110"/>
      <c r="N190" s="111"/>
      <c r="O190" s="30"/>
      <c r="P190">
        <v>267</v>
      </c>
      <c r="S190" s="30">
        <f>P190/12</f>
        <v>22.25</v>
      </c>
      <c r="T190" s="30">
        <f t="shared" si="54"/>
        <v>0</v>
      </c>
    </row>
    <row r="191" spans="1:20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54">
        <v>1.79</v>
      </c>
      <c r="G191" s="10">
        <f t="shared" si="59"/>
        <v>0.29000000000000004</v>
      </c>
      <c r="H191" s="10">
        <v>1.4910000000000001</v>
      </c>
      <c r="I191" s="10">
        <v>1.5</v>
      </c>
      <c r="J191" s="8">
        <f t="shared" si="93"/>
        <v>1.79</v>
      </c>
      <c r="K191" s="10">
        <f t="shared" si="61"/>
        <v>0.29000000000000004</v>
      </c>
      <c r="L191" s="16">
        <f t="shared" si="62"/>
        <v>19.333333333333336</v>
      </c>
      <c r="M191" s="110"/>
      <c r="N191" s="111"/>
      <c r="O191" s="30"/>
      <c r="T191" s="30">
        <f t="shared" si="54"/>
        <v>0</v>
      </c>
    </row>
    <row r="192" spans="1:20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94">D193+D194+D195+D196</f>
        <v>149.55900000000003</v>
      </c>
      <c r="E192" s="10">
        <f t="shared" si="94"/>
        <v>149.583</v>
      </c>
      <c r="F192" s="10">
        <f t="shared" si="94"/>
        <v>62.951999999999998</v>
      </c>
      <c r="G192" s="10">
        <f t="shared" si="59"/>
        <v>-86.631</v>
      </c>
      <c r="H192" s="10">
        <f t="shared" ref="H192:J192" si="95">H193+H194+H195+H196</f>
        <v>149.55900000000003</v>
      </c>
      <c r="I192" s="10">
        <f t="shared" si="95"/>
        <v>149.583</v>
      </c>
      <c r="J192" s="10">
        <f t="shared" si="95"/>
        <v>62.951999999999998</v>
      </c>
      <c r="K192" s="10">
        <f t="shared" si="61"/>
        <v>-86.631</v>
      </c>
      <c r="L192" s="16">
        <f t="shared" si="62"/>
        <v>-57.915003710314672</v>
      </c>
      <c r="M192" s="110"/>
      <c r="N192" s="111"/>
      <c r="O192" s="30"/>
      <c r="T192" s="30">
        <f t="shared" si="54"/>
        <v>0</v>
      </c>
    </row>
    <row r="193" spans="1:20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55">
        <v>40.329000000000001</v>
      </c>
      <c r="G193" s="10">
        <f t="shared" si="59"/>
        <v>6.9960000000000022</v>
      </c>
      <c r="H193" s="10">
        <v>33.363999999999997</v>
      </c>
      <c r="I193" s="8">
        <v>33.332999999999998</v>
      </c>
      <c r="J193" s="8">
        <f t="shared" ref="J193:J204" si="96">F193</f>
        <v>40.329000000000001</v>
      </c>
      <c r="K193" s="10">
        <f t="shared" si="61"/>
        <v>6.9960000000000022</v>
      </c>
      <c r="L193" s="16">
        <f t="shared" si="62"/>
        <v>20.988209882098829</v>
      </c>
      <c r="M193" s="110"/>
      <c r="N193" s="111"/>
      <c r="O193" s="30"/>
      <c r="P193">
        <v>400</v>
      </c>
      <c r="S193">
        <f>P193/12</f>
        <v>33.333333333333336</v>
      </c>
      <c r="T193" s="30">
        <f t="shared" si="54"/>
        <v>0</v>
      </c>
    </row>
    <row r="194" spans="1:20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59"/>
        <v>-89.832999999999998</v>
      </c>
      <c r="H194" s="10">
        <v>89.792000000000002</v>
      </c>
      <c r="I194" s="8">
        <v>89.832999999999998</v>
      </c>
      <c r="J194" s="8">
        <f t="shared" si="96"/>
        <v>0</v>
      </c>
      <c r="K194" s="10">
        <f t="shared" si="61"/>
        <v>-89.832999999999998</v>
      </c>
      <c r="L194" s="16">
        <f t="shared" si="62"/>
        <v>-100</v>
      </c>
      <c r="M194" s="110"/>
      <c r="N194" s="111"/>
      <c r="O194" s="30"/>
      <c r="P194">
        <v>1078</v>
      </c>
      <c r="S194">
        <f>P194/12</f>
        <v>89.833333333333329</v>
      </c>
      <c r="T194" s="30">
        <f t="shared" si="54"/>
        <v>0</v>
      </c>
    </row>
    <row r="195" spans="1:20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55">
        <v>5.2370000000000001</v>
      </c>
      <c r="G195" s="10">
        <f t="shared" si="59"/>
        <v>-2.7629999999999999</v>
      </c>
      <c r="H195" s="10">
        <v>7.9660000000000002</v>
      </c>
      <c r="I195" s="8">
        <v>8</v>
      </c>
      <c r="J195" s="8">
        <f t="shared" si="96"/>
        <v>5.2370000000000001</v>
      </c>
      <c r="K195" s="10">
        <f t="shared" si="61"/>
        <v>-2.7629999999999999</v>
      </c>
      <c r="L195" s="16">
        <f t="shared" si="62"/>
        <v>-34.537500000000001</v>
      </c>
      <c r="M195" s="110"/>
      <c r="N195" s="111"/>
      <c r="O195" s="30"/>
      <c r="P195">
        <v>96</v>
      </c>
      <c r="S195">
        <f>P195/12</f>
        <v>8</v>
      </c>
      <c r="T195" s="30">
        <f t="shared" si="54"/>
        <v>0</v>
      </c>
    </row>
    <row r="196" spans="1:20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55">
        <v>17.385999999999999</v>
      </c>
      <c r="G196" s="10">
        <f t="shared" si="59"/>
        <v>-1.0310000000000024</v>
      </c>
      <c r="H196" s="10">
        <v>18.437000000000001</v>
      </c>
      <c r="I196" s="8">
        <v>18.417000000000002</v>
      </c>
      <c r="J196" s="8">
        <f t="shared" si="96"/>
        <v>17.385999999999999</v>
      </c>
      <c r="K196" s="10">
        <f t="shared" si="61"/>
        <v>-1.0310000000000024</v>
      </c>
      <c r="L196" s="16">
        <f t="shared" si="62"/>
        <v>-5.5980887223760778</v>
      </c>
      <c r="M196" s="110"/>
      <c r="N196" s="111"/>
      <c r="O196" s="30"/>
      <c r="P196">
        <v>221</v>
      </c>
      <c r="S196">
        <f>P196/12</f>
        <v>18.416666666666668</v>
      </c>
      <c r="T196" s="30">
        <f t="shared" si="54"/>
        <v>0</v>
      </c>
    </row>
    <row r="197" spans="1:20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59"/>
        <v>-15.833</v>
      </c>
      <c r="H197" s="10">
        <v>15.818</v>
      </c>
      <c r="I197" s="8">
        <v>15.833</v>
      </c>
      <c r="J197" s="8">
        <f t="shared" si="96"/>
        <v>0</v>
      </c>
      <c r="K197" s="10">
        <f t="shared" si="61"/>
        <v>-15.833</v>
      </c>
      <c r="L197" s="16">
        <f t="shared" si="62"/>
        <v>-100</v>
      </c>
      <c r="M197" s="110"/>
      <c r="N197" s="111"/>
      <c r="O197" s="30"/>
      <c r="T197" s="30">
        <f t="shared" si="54"/>
        <v>0</v>
      </c>
    </row>
    <row r="198" spans="1:20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59"/>
        <v>-0.33300000000000002</v>
      </c>
      <c r="H198" s="10">
        <v>0.34200000000000003</v>
      </c>
      <c r="I198" s="8">
        <v>0.33300000000000002</v>
      </c>
      <c r="J198" s="8">
        <f t="shared" si="96"/>
        <v>0</v>
      </c>
      <c r="K198" s="10">
        <f t="shared" si="61"/>
        <v>-0.33300000000000002</v>
      </c>
      <c r="L198" s="16">
        <f t="shared" si="62"/>
        <v>-100</v>
      </c>
      <c r="M198" s="110"/>
      <c r="N198" s="111"/>
      <c r="O198" s="30"/>
      <c r="T198" s="30">
        <f t="shared" si="54"/>
        <v>0</v>
      </c>
    </row>
    <row r="199" spans="1:20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59"/>
        <v>0</v>
      </c>
      <c r="H199" s="10">
        <v>0</v>
      </c>
      <c r="I199" s="8"/>
      <c r="J199" s="8">
        <f t="shared" si="96"/>
        <v>0</v>
      </c>
      <c r="K199" s="10">
        <f t="shared" si="61"/>
        <v>0</v>
      </c>
      <c r="L199" s="16"/>
      <c r="M199" s="110"/>
      <c r="N199" s="111"/>
      <c r="O199" s="30"/>
      <c r="T199" s="30">
        <f t="shared" si="54"/>
        <v>0</v>
      </c>
    </row>
    <row r="200" spans="1:20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55">
        <v>2.0179999999999998</v>
      </c>
      <c r="G200" s="10">
        <f t="shared" si="59"/>
        <v>-1.899</v>
      </c>
      <c r="H200" s="10">
        <v>3.923</v>
      </c>
      <c r="I200" s="8">
        <v>3.9169999999999998</v>
      </c>
      <c r="J200" s="8">
        <f t="shared" si="96"/>
        <v>2.0179999999999998</v>
      </c>
      <c r="K200" s="10">
        <f t="shared" si="61"/>
        <v>-1.899</v>
      </c>
      <c r="L200" s="16">
        <f t="shared" si="62"/>
        <v>-48.480980342098547</v>
      </c>
      <c r="M200" s="112" t="s">
        <v>289</v>
      </c>
      <c r="N200" s="113"/>
      <c r="O200" s="30"/>
      <c r="T200" s="30">
        <f t="shared" si="54"/>
        <v>0</v>
      </c>
    </row>
    <row r="201" spans="1:20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59"/>
        <v>0</v>
      </c>
      <c r="H201" s="10">
        <v>0</v>
      </c>
      <c r="I201" s="8"/>
      <c r="J201" s="8">
        <f t="shared" si="96"/>
        <v>0</v>
      </c>
      <c r="K201" s="10">
        <f t="shared" si="61"/>
        <v>0</v>
      </c>
      <c r="L201" s="16" t="e">
        <f t="shared" si="62"/>
        <v>#DIV/0!</v>
      </c>
      <c r="M201" s="112" t="s">
        <v>290</v>
      </c>
      <c r="N201" s="113"/>
      <c r="O201" s="30"/>
      <c r="T201" s="30">
        <f t="shared" ref="T201:T214" si="97">J201-F201</f>
        <v>0</v>
      </c>
    </row>
    <row r="202" spans="1:20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59"/>
        <v>0</v>
      </c>
      <c r="H202" s="10">
        <v>0</v>
      </c>
      <c r="I202" s="8"/>
      <c r="J202" s="8">
        <f t="shared" si="96"/>
        <v>0</v>
      </c>
      <c r="K202" s="10">
        <f t="shared" si="61"/>
        <v>0</v>
      </c>
      <c r="L202" s="16" t="e">
        <f t="shared" si="62"/>
        <v>#DIV/0!</v>
      </c>
      <c r="M202" s="112" t="s">
        <v>290</v>
      </c>
      <c r="N202" s="113"/>
      <c r="O202" s="30"/>
      <c r="T202" s="30">
        <f t="shared" si="97"/>
        <v>0</v>
      </c>
    </row>
    <row r="203" spans="1:20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59"/>
        <v>0</v>
      </c>
      <c r="H203" s="10">
        <v>0</v>
      </c>
      <c r="I203" s="8"/>
      <c r="J203" s="8">
        <f t="shared" si="96"/>
        <v>0</v>
      </c>
      <c r="K203" s="10">
        <f t="shared" si="61"/>
        <v>0</v>
      </c>
      <c r="L203" s="16" t="e">
        <f t="shared" si="62"/>
        <v>#DIV/0!</v>
      </c>
      <c r="M203" s="112" t="s">
        <v>290</v>
      </c>
      <c r="N203" s="113"/>
      <c r="O203" s="30"/>
      <c r="T203" s="30">
        <f t="shared" si="97"/>
        <v>0</v>
      </c>
    </row>
    <row r="204" spans="1:20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59"/>
        <v>0</v>
      </c>
      <c r="H204" s="10">
        <v>0</v>
      </c>
      <c r="I204" s="8"/>
      <c r="J204" s="8">
        <f t="shared" si="96"/>
        <v>0</v>
      </c>
      <c r="K204" s="10">
        <f t="shared" si="61"/>
        <v>0</v>
      </c>
      <c r="L204" s="16"/>
      <c r="M204" s="110"/>
      <c r="N204" s="111"/>
      <c r="O204" s="30"/>
      <c r="T204" s="30">
        <f t="shared" si="97"/>
        <v>0</v>
      </c>
    </row>
    <row r="205" spans="1:20" ht="21" customHeight="1">
      <c r="A205" s="31" t="s">
        <v>190</v>
      </c>
      <c r="B205" s="6" t="s">
        <v>191</v>
      </c>
      <c r="C205" s="31" t="s">
        <v>4</v>
      </c>
      <c r="D205" s="7">
        <f>D8+D138</f>
        <v>76555.231</v>
      </c>
      <c r="E205" s="21">
        <f>E8+E138</f>
        <v>71086.831999999995</v>
      </c>
      <c r="F205" s="7">
        <f>F8+F138</f>
        <v>68188.676000000007</v>
      </c>
      <c r="G205" s="10">
        <f t="shared" ref="G205:G213" si="98">F205-E205</f>
        <v>-2898.1559999999881</v>
      </c>
      <c r="H205" s="7">
        <f>H8+H138</f>
        <v>76555.231</v>
      </c>
      <c r="I205" s="21">
        <f>I8+I138</f>
        <v>71086.831999999995</v>
      </c>
      <c r="J205" s="7">
        <f>J8+J138</f>
        <v>68188.676000000007</v>
      </c>
      <c r="K205" s="10">
        <f t="shared" ref="K205:K213" si="99">J205-I205</f>
        <v>-2898.1559999999881</v>
      </c>
      <c r="L205" s="16">
        <f t="shared" ref="L205:L213" si="100">K205/I205*100</f>
        <v>-4.0769238387216191</v>
      </c>
      <c r="M205" s="110"/>
      <c r="N205" s="111"/>
      <c r="O205" s="30"/>
      <c r="P205">
        <v>853042</v>
      </c>
      <c r="S205">
        <f t="shared" ref="S205:S209" si="101">P205/12</f>
        <v>71086.833333333328</v>
      </c>
      <c r="T205" s="30">
        <f t="shared" si="97"/>
        <v>0</v>
      </c>
    </row>
    <row r="206" spans="1:20" ht="17.25" customHeight="1">
      <c r="A206" s="31" t="s">
        <v>192</v>
      </c>
      <c r="B206" s="6" t="s">
        <v>193</v>
      </c>
      <c r="C206" s="31" t="s">
        <v>4</v>
      </c>
      <c r="D206" s="7">
        <v>1469.992</v>
      </c>
      <c r="E206" s="33">
        <v>1470.0830000000001</v>
      </c>
      <c r="F206" s="21">
        <f>F209-F205</f>
        <v>-693.80016000001342</v>
      </c>
      <c r="G206" s="10">
        <f t="shared" si="98"/>
        <v>-2163.8831600000135</v>
      </c>
      <c r="H206" s="7">
        <v>1469.992</v>
      </c>
      <c r="I206" s="47">
        <v>1470.0830000000001</v>
      </c>
      <c r="J206" s="21">
        <f>J209-J205</f>
        <v>-693.80016000001342</v>
      </c>
      <c r="K206" s="10">
        <f t="shared" si="99"/>
        <v>-2163.8831600000135</v>
      </c>
      <c r="L206" s="16">
        <f t="shared" si="100"/>
        <v>-147.19462506538838</v>
      </c>
      <c r="M206" s="110"/>
      <c r="N206" s="111"/>
      <c r="O206" s="30"/>
      <c r="P206">
        <v>17641</v>
      </c>
      <c r="S206">
        <f t="shared" si="101"/>
        <v>1470.0833333333333</v>
      </c>
      <c r="T206" s="30">
        <f t="shared" si="97"/>
        <v>0</v>
      </c>
    </row>
    <row r="207" spans="1:20" ht="17.25" customHeight="1">
      <c r="A207" s="31" t="s">
        <v>194</v>
      </c>
      <c r="B207" s="6" t="s">
        <v>195</v>
      </c>
      <c r="C207" s="31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67494.875839999993</v>
      </c>
      <c r="G207" s="10">
        <f t="shared" si="98"/>
        <v>-5062.0391600000003</v>
      </c>
      <c r="H207" s="7">
        <f>H205+H206</f>
        <v>78025.222999999998</v>
      </c>
      <c r="I207" s="21">
        <f>I205+I206</f>
        <v>72556.914999999994</v>
      </c>
      <c r="J207" s="7">
        <f>J205+J206</f>
        <v>67494.875839999993</v>
      </c>
      <c r="K207" s="10">
        <f t="shared" si="99"/>
        <v>-5062.0391600000003</v>
      </c>
      <c r="L207" s="16">
        <f t="shared" si="100"/>
        <v>-6.976646071570161</v>
      </c>
      <c r="M207" s="110"/>
      <c r="N207" s="111"/>
      <c r="O207" s="30"/>
      <c r="P207">
        <v>870683</v>
      </c>
      <c r="S207">
        <f t="shared" si="101"/>
        <v>72556.916666666672</v>
      </c>
      <c r="T207" s="30">
        <f t="shared" si="97"/>
        <v>0</v>
      </c>
    </row>
    <row r="208" spans="1:20" ht="17.25" customHeight="1">
      <c r="A208" s="114" t="s">
        <v>196</v>
      </c>
      <c r="B208" s="115" t="s">
        <v>197</v>
      </c>
      <c r="C208" s="31" t="s">
        <v>114</v>
      </c>
      <c r="D208" s="7">
        <v>559.39200000000005</v>
      </c>
      <c r="E208" s="33">
        <v>523.61</v>
      </c>
      <c r="F208" s="33">
        <v>489.37700000000001</v>
      </c>
      <c r="G208" s="10">
        <f t="shared" si="98"/>
        <v>-34.233000000000004</v>
      </c>
      <c r="H208" s="7">
        <v>559.39200000000005</v>
      </c>
      <c r="I208" s="47">
        <v>523.61</v>
      </c>
      <c r="J208" s="47">
        <v>489.37700000000001</v>
      </c>
      <c r="K208" s="10">
        <f t="shared" si="99"/>
        <v>-34.233000000000004</v>
      </c>
      <c r="L208" s="16">
        <f t="shared" si="100"/>
        <v>-6.5378812474933641</v>
      </c>
      <c r="M208" s="110"/>
      <c r="N208" s="111"/>
      <c r="O208" s="30"/>
      <c r="P208">
        <v>6283</v>
      </c>
      <c r="S208">
        <f t="shared" si="101"/>
        <v>523.58333333333337</v>
      </c>
      <c r="T208" s="30">
        <f t="shared" si="97"/>
        <v>0</v>
      </c>
    </row>
    <row r="209" spans="1:20" ht="17.25" customHeight="1">
      <c r="A209" s="114"/>
      <c r="B209" s="115"/>
      <c r="C209" s="31" t="s">
        <v>4</v>
      </c>
      <c r="D209" s="7">
        <f>D207</f>
        <v>78025.222999999998</v>
      </c>
      <c r="E209" s="21">
        <f>E207</f>
        <v>72556.914999999994</v>
      </c>
      <c r="F209" s="33">
        <f>F213*F208</f>
        <v>67494.875839999993</v>
      </c>
      <c r="G209" s="10">
        <f t="shared" si="98"/>
        <v>-5062.0391600000003</v>
      </c>
      <c r="H209" s="7">
        <f>H207</f>
        <v>78025.222999999998</v>
      </c>
      <c r="I209" s="21">
        <f>I207</f>
        <v>72556.914999999994</v>
      </c>
      <c r="J209" s="47">
        <f>J213*J208</f>
        <v>67494.875839999993</v>
      </c>
      <c r="K209" s="10">
        <f t="shared" si="99"/>
        <v>-5062.0391600000003</v>
      </c>
      <c r="L209" s="16">
        <f t="shared" si="100"/>
        <v>-6.976646071570161</v>
      </c>
      <c r="M209" s="110"/>
      <c r="N209" s="111"/>
      <c r="O209" s="30"/>
      <c r="S209">
        <f t="shared" si="101"/>
        <v>0</v>
      </c>
      <c r="T209" s="30">
        <f t="shared" si="97"/>
        <v>0</v>
      </c>
    </row>
    <row r="210" spans="1:20" ht="17.25" customHeight="1">
      <c r="A210" s="31" t="s">
        <v>198</v>
      </c>
      <c r="B210" s="32" t="s">
        <v>199</v>
      </c>
      <c r="C210" s="31" t="s">
        <v>114</v>
      </c>
      <c r="D210" s="7">
        <v>761.69899999999996</v>
      </c>
      <c r="E210" s="21">
        <v>713</v>
      </c>
      <c r="F210" s="33">
        <v>645.62300000000005</v>
      </c>
      <c r="G210" s="10">
        <f t="shared" si="98"/>
        <v>-67.376999999999953</v>
      </c>
      <c r="H210" s="7">
        <v>761.69899999999996</v>
      </c>
      <c r="I210" s="21">
        <v>713</v>
      </c>
      <c r="J210" s="47">
        <v>645.62300000000005</v>
      </c>
      <c r="K210" s="10">
        <f t="shared" si="99"/>
        <v>-67.376999999999953</v>
      </c>
      <c r="L210" s="16">
        <f t="shared" si="100"/>
        <v>-9.4497896213183665</v>
      </c>
      <c r="M210" s="110"/>
      <c r="N210" s="111"/>
      <c r="O210" s="30"/>
      <c r="T210" s="30">
        <f t="shared" si="97"/>
        <v>0</v>
      </c>
    </row>
    <row r="211" spans="1:20" ht="17.25" customHeight="1">
      <c r="A211" s="114" t="s">
        <v>200</v>
      </c>
      <c r="B211" s="115" t="s">
        <v>201</v>
      </c>
      <c r="C211" s="31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24.200810689829826</v>
      </c>
      <c r="G211" s="10">
        <f t="shared" si="98"/>
        <v>-2.3616016523861596</v>
      </c>
      <c r="H211" s="21">
        <f>H212/H210*100</f>
        <v>26.559966600980168</v>
      </c>
      <c r="I211" s="21">
        <f>I212/I210*100</f>
        <v>26.562412342215985</v>
      </c>
      <c r="J211" s="21">
        <f>J212/J210*100</f>
        <v>24.200810689829826</v>
      </c>
      <c r="K211" s="10">
        <f t="shared" si="99"/>
        <v>-2.3616016523861596</v>
      </c>
      <c r="L211" s="16">
        <f t="shared" si="100"/>
        <v>-8.8907649725504623</v>
      </c>
      <c r="M211" s="110"/>
      <c r="N211" s="111"/>
      <c r="O211" s="30"/>
      <c r="T211" s="30">
        <f t="shared" si="97"/>
        <v>0</v>
      </c>
    </row>
    <row r="212" spans="1:20" ht="17.25" customHeight="1">
      <c r="A212" s="114"/>
      <c r="B212" s="115"/>
      <c r="C212" s="31" t="s">
        <v>114</v>
      </c>
      <c r="D212" s="7">
        <f>D210-D208</f>
        <v>202.3069999999999</v>
      </c>
      <c r="E212" s="7">
        <f>E210-E208</f>
        <v>189.39</v>
      </c>
      <c r="F212" s="7">
        <f>F210-F208</f>
        <v>156.24600000000004</v>
      </c>
      <c r="G212" s="10">
        <f t="shared" si="98"/>
        <v>-33.143999999999949</v>
      </c>
      <c r="H212" s="7">
        <f>H210-H208</f>
        <v>202.3069999999999</v>
      </c>
      <c r="I212" s="7">
        <f>I210-I208</f>
        <v>189.39</v>
      </c>
      <c r="J212" s="7">
        <f>J210-J208</f>
        <v>156.24600000000004</v>
      </c>
      <c r="K212" s="10">
        <f t="shared" si="99"/>
        <v>-33.143999999999949</v>
      </c>
      <c r="L212" s="16">
        <f t="shared" si="100"/>
        <v>-17.500396008236947</v>
      </c>
      <c r="M212" s="110"/>
      <c r="N212" s="111"/>
      <c r="O212" s="30"/>
      <c r="T212" s="30">
        <f t="shared" si="97"/>
        <v>0</v>
      </c>
    </row>
    <row r="213" spans="1:20" s="1" customFormat="1" ht="21" customHeight="1">
      <c r="A213" s="31" t="s">
        <v>203</v>
      </c>
      <c r="B213" s="6" t="s">
        <v>204</v>
      </c>
      <c r="C213" s="31" t="s">
        <v>205</v>
      </c>
      <c r="D213" s="21">
        <f>D207/D208</f>
        <v>139.48219316686686</v>
      </c>
      <c r="E213" s="21">
        <f>E209/E208</f>
        <v>138.57052959263572</v>
      </c>
      <c r="F213" s="33">
        <v>137.91999999999999</v>
      </c>
      <c r="G213" s="10">
        <f t="shared" si="98"/>
        <v>-0.65052959263573484</v>
      </c>
      <c r="H213" s="21">
        <f>H207/H208</f>
        <v>139.48219316686686</v>
      </c>
      <c r="I213" s="21">
        <f>I209/I208</f>
        <v>138.57052959263572</v>
      </c>
      <c r="J213" s="47">
        <v>137.91999999999999</v>
      </c>
      <c r="K213" s="10">
        <f t="shared" si="99"/>
        <v>-0.65052959263573484</v>
      </c>
      <c r="L213" s="16">
        <f t="shared" si="100"/>
        <v>-0.46945739079451926</v>
      </c>
      <c r="M213" s="110"/>
      <c r="N213" s="111"/>
      <c r="O213" s="30"/>
      <c r="P213"/>
      <c r="Q213"/>
      <c r="R213"/>
      <c r="S213"/>
      <c r="T213" s="30">
        <f t="shared" si="97"/>
        <v>0</v>
      </c>
    </row>
    <row r="214" spans="1:20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110"/>
      <c r="N214" s="111"/>
      <c r="T214" s="30">
        <f t="shared" si="97"/>
        <v>0</v>
      </c>
    </row>
    <row r="215" spans="1:20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102">E216+E217</f>
        <v>0</v>
      </c>
      <c r="F215" s="14">
        <f t="shared" si="102"/>
        <v>0</v>
      </c>
      <c r="G215" s="14">
        <f t="shared" si="102"/>
        <v>0</v>
      </c>
      <c r="H215" s="14">
        <f>H216+H217</f>
        <v>253</v>
      </c>
      <c r="I215" s="14">
        <f t="shared" ref="I215:K215" si="103">I216+I217</f>
        <v>0</v>
      </c>
      <c r="J215" s="14">
        <f t="shared" si="103"/>
        <v>0</v>
      </c>
      <c r="K215" s="14">
        <f t="shared" si="103"/>
        <v>0</v>
      </c>
      <c r="L215" s="16"/>
      <c r="M215" s="110"/>
      <c r="N215" s="111"/>
    </row>
    <row r="216" spans="1:20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/>
      <c r="K216" s="8"/>
      <c r="L216" s="16"/>
      <c r="M216" s="110"/>
      <c r="N216" s="111"/>
    </row>
    <row r="217" spans="1:20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/>
      <c r="K217" s="8"/>
      <c r="L217" s="16"/>
      <c r="M217" s="110"/>
      <c r="N217" s="111"/>
    </row>
    <row r="218" spans="1:20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</f>
        <v>86746.573122529648</v>
      </c>
      <c r="I218" s="8"/>
      <c r="J218" s="8"/>
      <c r="K218" s="8"/>
      <c r="L218" s="16"/>
      <c r="M218" s="110"/>
      <c r="N218" s="111"/>
    </row>
    <row r="219" spans="1:20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</f>
        <v>84883.580508474581</v>
      </c>
      <c r="I219" s="8"/>
      <c r="J219" s="8"/>
      <c r="K219" s="8"/>
      <c r="L219" s="16"/>
      <c r="M219" s="110"/>
      <c r="N219" s="111"/>
    </row>
    <row r="220" spans="1:20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</f>
        <v>112609.29411764705</v>
      </c>
      <c r="I220" s="8"/>
      <c r="J220" s="8"/>
      <c r="K220" s="8"/>
      <c r="L220" s="16"/>
      <c r="M220" s="110"/>
      <c r="N220" s="111"/>
    </row>
    <row r="221" spans="1:20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20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20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20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5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  <c r="O225" s="30">
        <f>I88+I145</f>
        <v>20167.5</v>
      </c>
    </row>
    <row r="226" spans="1:15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>
        <f>H219*I216*12</f>
        <v>0</v>
      </c>
      <c r="O226">
        <v>15043000</v>
      </c>
    </row>
    <row r="227" spans="1:15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5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5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5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5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5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5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5" ht="16.5" customHeight="1">
      <c r="B234" s="4"/>
      <c r="C234" s="2"/>
      <c r="D234" s="2"/>
      <c r="E234" s="2"/>
      <c r="F234" s="2"/>
      <c r="G234" s="2"/>
    </row>
    <row r="235" spans="1:15" ht="15.75">
      <c r="A235" s="2"/>
      <c r="B235" s="2"/>
      <c r="C235" s="2"/>
      <c r="D235" s="2"/>
      <c r="E235" s="2"/>
      <c r="F235" s="2"/>
      <c r="G235" s="2"/>
    </row>
    <row r="236" spans="1:15" ht="15.75">
      <c r="A236" s="2"/>
      <c r="B236" s="2"/>
      <c r="C236" s="2"/>
      <c r="D236" s="2"/>
      <c r="E236" s="2"/>
      <c r="F236" s="2"/>
      <c r="G236" s="2"/>
    </row>
    <row r="237" spans="1:15" ht="15.75">
      <c r="A237" s="2"/>
      <c r="B237" s="2"/>
      <c r="C237" s="2"/>
      <c r="D237" s="2"/>
      <c r="E237" s="2"/>
      <c r="F237" s="2"/>
      <c r="G237" s="2"/>
    </row>
    <row r="238" spans="1:15" ht="15.75">
      <c r="A238" s="4" t="s">
        <v>235</v>
      </c>
      <c r="B238" s="2"/>
      <c r="C238" s="2"/>
      <c r="D238" s="2"/>
      <c r="E238" s="2"/>
      <c r="F238" s="2"/>
      <c r="G238" s="2"/>
    </row>
    <row r="239" spans="1:15" ht="15.75">
      <c r="A239" s="2"/>
      <c r="B239" s="2"/>
      <c r="C239" s="2"/>
      <c r="D239" s="2"/>
      <c r="E239" s="2"/>
      <c r="F239" s="2"/>
      <c r="G239" s="2"/>
    </row>
  </sheetData>
  <mergeCells count="222">
    <mergeCell ref="J5:J6"/>
    <mergeCell ref="L5:L6"/>
    <mergeCell ref="M7:N7"/>
    <mergeCell ref="M8:N8"/>
    <mergeCell ref="M9:N9"/>
    <mergeCell ref="M10:N10"/>
    <mergeCell ref="A1:N1"/>
    <mergeCell ref="A2:N2"/>
    <mergeCell ref="A3:C3"/>
    <mergeCell ref="A4:A6"/>
    <mergeCell ref="B4:B6"/>
    <mergeCell ref="C4:C6"/>
    <mergeCell ref="H4:L4"/>
    <mergeCell ref="M4:N6"/>
    <mergeCell ref="H5:H6"/>
    <mergeCell ref="I5:I6"/>
    <mergeCell ref="D4:G4"/>
    <mergeCell ref="D5:D6"/>
    <mergeCell ref="E5:E6"/>
    <mergeCell ref="F5:F6"/>
    <mergeCell ref="G5:G6"/>
    <mergeCell ref="K5:K6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41:N41"/>
    <mergeCell ref="M42:N43"/>
    <mergeCell ref="M44:N44"/>
    <mergeCell ref="M45:N45"/>
    <mergeCell ref="M46:N46"/>
    <mergeCell ref="M47:N47"/>
    <mergeCell ref="M35:N35"/>
    <mergeCell ref="M36:N36"/>
    <mergeCell ref="M37:N37"/>
    <mergeCell ref="M38:N38"/>
    <mergeCell ref="M39:N39"/>
    <mergeCell ref="M40:N40"/>
    <mergeCell ref="M54:N54"/>
    <mergeCell ref="M55:N55"/>
    <mergeCell ref="M56:N56"/>
    <mergeCell ref="M57:N58"/>
    <mergeCell ref="M59:N59"/>
    <mergeCell ref="M60:N61"/>
    <mergeCell ref="M48:N48"/>
    <mergeCell ref="M49:N49"/>
    <mergeCell ref="M50:N50"/>
    <mergeCell ref="M51:N51"/>
    <mergeCell ref="M52:N52"/>
    <mergeCell ref="M53:N53"/>
    <mergeCell ref="M68:N68"/>
    <mergeCell ref="M69:N70"/>
    <mergeCell ref="M71:N71"/>
    <mergeCell ref="M72:N72"/>
    <mergeCell ref="M73:N73"/>
    <mergeCell ref="M74:N74"/>
    <mergeCell ref="M62:N62"/>
    <mergeCell ref="M63:N63"/>
    <mergeCell ref="M64:N64"/>
    <mergeCell ref="M65:N65"/>
    <mergeCell ref="M66:N66"/>
    <mergeCell ref="M67:N67"/>
    <mergeCell ref="M81:N81"/>
    <mergeCell ref="M82:N82"/>
    <mergeCell ref="M83:N83"/>
    <mergeCell ref="M86:N86"/>
    <mergeCell ref="M84:N85"/>
    <mergeCell ref="M75:N75"/>
    <mergeCell ref="M76:N76"/>
    <mergeCell ref="M77:N77"/>
    <mergeCell ref="M78:N78"/>
    <mergeCell ref="M79:N79"/>
    <mergeCell ref="M80:N80"/>
    <mergeCell ref="M96:N96"/>
    <mergeCell ref="M97:N97"/>
    <mergeCell ref="M98:N98"/>
    <mergeCell ref="M99:N99"/>
    <mergeCell ref="M100:N100"/>
    <mergeCell ref="M101:N101"/>
    <mergeCell ref="M87:N87"/>
    <mergeCell ref="M88:N88"/>
    <mergeCell ref="M89:N89"/>
    <mergeCell ref="M93:N93"/>
    <mergeCell ref="M94:N94"/>
    <mergeCell ref="M95:N95"/>
    <mergeCell ref="M108:N108"/>
    <mergeCell ref="M109:N109"/>
    <mergeCell ref="M110:N110"/>
    <mergeCell ref="M111:N111"/>
    <mergeCell ref="M112:N112"/>
    <mergeCell ref="M113:N113"/>
    <mergeCell ref="M102:N102"/>
    <mergeCell ref="M103:N103"/>
    <mergeCell ref="M104:N104"/>
    <mergeCell ref="M105:N105"/>
    <mergeCell ref="M106:N106"/>
    <mergeCell ref="M107:N107"/>
    <mergeCell ref="M120:N120"/>
    <mergeCell ref="M121:N121"/>
    <mergeCell ref="M122:N122"/>
    <mergeCell ref="M123:N123"/>
    <mergeCell ref="M124:N124"/>
    <mergeCell ref="M125:N125"/>
    <mergeCell ref="M114:N114"/>
    <mergeCell ref="M115:N115"/>
    <mergeCell ref="M116:N116"/>
    <mergeCell ref="M117:N117"/>
    <mergeCell ref="M118:N118"/>
    <mergeCell ref="M119:N119"/>
    <mergeCell ref="M132:N132"/>
    <mergeCell ref="M133:N133"/>
    <mergeCell ref="M134:N134"/>
    <mergeCell ref="M135:N135"/>
    <mergeCell ref="M138:N138"/>
    <mergeCell ref="M139:N139"/>
    <mergeCell ref="M126:N126"/>
    <mergeCell ref="M127:N127"/>
    <mergeCell ref="M128:N128"/>
    <mergeCell ref="M129:N129"/>
    <mergeCell ref="M130:N130"/>
    <mergeCell ref="M131:N131"/>
    <mergeCell ref="M146:N146"/>
    <mergeCell ref="M150:N150"/>
    <mergeCell ref="M151:N151"/>
    <mergeCell ref="M152:N152"/>
    <mergeCell ref="M153:N153"/>
    <mergeCell ref="M154:N154"/>
    <mergeCell ref="M140:N140"/>
    <mergeCell ref="M141:N141"/>
    <mergeCell ref="M142:N142"/>
    <mergeCell ref="M143:N143"/>
    <mergeCell ref="M144:N144"/>
    <mergeCell ref="M145:N145"/>
    <mergeCell ref="M161:N161"/>
    <mergeCell ref="M162:N162"/>
    <mergeCell ref="M163:N163"/>
    <mergeCell ref="M164:N164"/>
    <mergeCell ref="M165:N165"/>
    <mergeCell ref="M166:N166"/>
    <mergeCell ref="M155:N155"/>
    <mergeCell ref="M156:N156"/>
    <mergeCell ref="M157:N157"/>
    <mergeCell ref="M158:N158"/>
    <mergeCell ref="M159:N159"/>
    <mergeCell ref="M160:N160"/>
    <mergeCell ref="M173:N173"/>
    <mergeCell ref="M174:N174"/>
    <mergeCell ref="M175:N175"/>
    <mergeCell ref="M176:N176"/>
    <mergeCell ref="M177:N177"/>
    <mergeCell ref="M179:N179"/>
    <mergeCell ref="M167:N167"/>
    <mergeCell ref="M168:N168"/>
    <mergeCell ref="M169:N169"/>
    <mergeCell ref="M170:N170"/>
    <mergeCell ref="M171:N171"/>
    <mergeCell ref="M172:N172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180:N180"/>
    <mergeCell ref="M181:N181"/>
    <mergeCell ref="M182:N182"/>
    <mergeCell ref="M183:N183"/>
    <mergeCell ref="M184:N184"/>
    <mergeCell ref="M185:N185"/>
    <mergeCell ref="M192:N192"/>
    <mergeCell ref="M193:N193"/>
    <mergeCell ref="M194:N194"/>
    <mergeCell ref="M195:N195"/>
    <mergeCell ref="A211:A212"/>
    <mergeCell ref="B211:B212"/>
    <mergeCell ref="M211:N211"/>
    <mergeCell ref="M212:N212"/>
    <mergeCell ref="M213:N213"/>
    <mergeCell ref="M204:N204"/>
    <mergeCell ref="M205:N205"/>
    <mergeCell ref="M206:N206"/>
    <mergeCell ref="M207:N207"/>
    <mergeCell ref="A208:A209"/>
    <mergeCell ref="B208:B209"/>
    <mergeCell ref="M208:N208"/>
    <mergeCell ref="M209:N209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M198:N198"/>
    <mergeCell ref="M199:N199"/>
    <mergeCell ref="M200:N200"/>
    <mergeCell ref="M201:N201"/>
    <mergeCell ref="M202:N202"/>
    <mergeCell ref="M203:N20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9"/>
  <sheetViews>
    <sheetView workbookViewId="0">
      <pane xSplit="10" ySplit="15" topLeftCell="K86" activePane="bottomRight" state="frozen"/>
      <selection pane="topRight" activeCell="J1" sqref="J1"/>
      <selection pane="bottomLeft" activeCell="A16" sqref="A16"/>
      <selection pane="bottomRight" activeCell="F89" sqref="F89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7" width="12.5703125" customWidth="1"/>
    <col min="8" max="8" width="15" customWidth="1"/>
    <col min="9" max="9" width="14.7109375" style="60" customWidth="1"/>
    <col min="10" max="10" width="15.85546875" customWidth="1"/>
    <col min="11" max="11" width="12.140625" customWidth="1"/>
    <col min="12" max="12" width="10.7109375" customWidth="1"/>
    <col min="13" max="13" width="14.85546875" hidden="1" customWidth="1"/>
    <col min="14" max="14" width="15.5703125" hidden="1" customWidth="1"/>
    <col min="15" max="15" width="20" customWidth="1"/>
    <col min="16" max="16" width="17.28515625" customWidth="1"/>
    <col min="17" max="17" width="13.28515625" customWidth="1"/>
    <col min="18" max="18" width="11.140625" customWidth="1"/>
    <col min="19" max="19" width="11.85546875" customWidth="1"/>
  </cols>
  <sheetData>
    <row r="1" spans="1:15" ht="54" customHeight="1">
      <c r="A1" s="131" t="s">
        <v>226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42.75" customHeight="1">
      <c r="A2" s="132" t="s">
        <v>314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1.5" customHeight="1">
      <c r="A3" s="133"/>
      <c r="B3" s="133"/>
      <c r="C3" s="133"/>
      <c r="D3" s="51"/>
      <c r="E3" s="51"/>
      <c r="F3" s="56"/>
      <c r="G3" s="51"/>
      <c r="H3" s="29"/>
      <c r="I3" s="29"/>
      <c r="J3" s="29"/>
      <c r="K3" s="29"/>
      <c r="L3" s="29"/>
      <c r="M3" s="29"/>
      <c r="N3" s="29"/>
    </row>
    <row r="4" spans="1:15" ht="18.75">
      <c r="A4" s="134" t="s">
        <v>0</v>
      </c>
      <c r="B4" s="137" t="s">
        <v>1</v>
      </c>
      <c r="C4" s="134" t="s">
        <v>217</v>
      </c>
      <c r="D4" s="140" t="s">
        <v>304</v>
      </c>
      <c r="E4" s="141"/>
      <c r="F4" s="141"/>
      <c r="G4" s="142"/>
      <c r="H4" s="140" t="s">
        <v>227</v>
      </c>
      <c r="I4" s="141"/>
      <c r="J4" s="141"/>
      <c r="K4" s="141"/>
      <c r="L4" s="142"/>
      <c r="M4" s="143" t="s">
        <v>239</v>
      </c>
      <c r="N4" s="144"/>
    </row>
    <row r="5" spans="1:15" ht="15" customHeight="1">
      <c r="A5" s="135"/>
      <c r="B5" s="138"/>
      <c r="C5" s="135"/>
      <c r="D5" s="127" t="s">
        <v>305</v>
      </c>
      <c r="E5" s="127" t="s">
        <v>306</v>
      </c>
      <c r="F5" s="127" t="s">
        <v>229</v>
      </c>
      <c r="G5" s="127" t="s">
        <v>219</v>
      </c>
      <c r="H5" s="127" t="s">
        <v>305</v>
      </c>
      <c r="I5" s="127" t="s">
        <v>306</v>
      </c>
      <c r="J5" s="127" t="s">
        <v>229</v>
      </c>
      <c r="K5" s="127" t="s">
        <v>219</v>
      </c>
      <c r="L5" s="127" t="s">
        <v>236</v>
      </c>
      <c r="M5" s="145"/>
      <c r="N5" s="146"/>
    </row>
    <row r="6" spans="1:15" ht="41.25" customHeight="1">
      <c r="A6" s="136"/>
      <c r="B6" s="139"/>
      <c r="C6" s="136"/>
      <c r="D6" s="128"/>
      <c r="E6" s="128"/>
      <c r="F6" s="128"/>
      <c r="G6" s="128"/>
      <c r="H6" s="128"/>
      <c r="I6" s="128"/>
      <c r="J6" s="128"/>
      <c r="K6" s="128"/>
      <c r="L6" s="128"/>
      <c r="M6" s="147"/>
      <c r="N6" s="148"/>
    </row>
    <row r="7" spans="1:15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129">
        <v>8</v>
      </c>
      <c r="N7" s="130"/>
    </row>
    <row r="8" spans="1:15" ht="39" customHeight="1">
      <c r="A8" s="47" t="s">
        <v>2</v>
      </c>
      <c r="B8" s="6" t="s">
        <v>3</v>
      </c>
      <c r="C8" s="47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71512.053999999989</v>
      </c>
      <c r="G8" s="7">
        <f>F8-E8</f>
        <v>3414.4709999999905</v>
      </c>
      <c r="H8" s="7">
        <f>H9+H87+H93+H95+H97</f>
        <v>146340.23000000001</v>
      </c>
      <c r="I8" s="21">
        <f>I9+I87+I93+I95+I97</f>
        <v>136195.166</v>
      </c>
      <c r="J8" s="7">
        <f>J9+J87+J93+J95+J97</f>
        <v>137664.95999999999</v>
      </c>
      <c r="K8" s="7">
        <f>J8-I8</f>
        <v>1469.7939999999944</v>
      </c>
      <c r="L8" s="21">
        <f>K8/I8*100</f>
        <v>1.0791822082730855</v>
      </c>
      <c r="M8" s="110"/>
      <c r="N8" s="111"/>
      <c r="O8" s="30">
        <f>F8+ян!J8</f>
        <v>137664.95999999999</v>
      </c>
    </row>
    <row r="9" spans="1:15" ht="17.25" customHeight="1">
      <c r="A9" s="47" t="s">
        <v>5</v>
      </c>
      <c r="B9" s="6" t="s">
        <v>6</v>
      </c>
      <c r="C9" s="47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38537.226999999999</v>
      </c>
      <c r="G9" s="7">
        <f>F9-E9</f>
        <v>6402.1429999999964</v>
      </c>
      <c r="H9" s="7">
        <f>H10+H37+H72</f>
        <v>71464.212</v>
      </c>
      <c r="I9" s="21">
        <f>I10+I37+I72</f>
        <v>64270.168000000005</v>
      </c>
      <c r="J9" s="7">
        <f>J10+J37+J72</f>
        <v>73869.754000000001</v>
      </c>
      <c r="K9" s="21">
        <f>J9-I9</f>
        <v>9599.5859999999957</v>
      </c>
      <c r="L9" s="21">
        <f>K9/I9*100</f>
        <v>14.936301395695736</v>
      </c>
      <c r="M9" s="110"/>
      <c r="N9" s="111"/>
    </row>
    <row r="10" spans="1:15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12717.638000000001</v>
      </c>
      <c r="G10" s="10">
        <f>F10-E10</f>
        <v>6822.304000000001</v>
      </c>
      <c r="H10" s="10">
        <f>H11+H30+H35</f>
        <v>15202.088000000002</v>
      </c>
      <c r="I10" s="10">
        <f>I11+I30+I35</f>
        <v>11790.668</v>
      </c>
      <c r="J10" s="10">
        <f>J11+J30+J35</f>
        <v>16883.266</v>
      </c>
      <c r="K10" s="10">
        <f>J10-I10</f>
        <v>5092.598</v>
      </c>
      <c r="L10" s="16">
        <f>K10/I10*100</f>
        <v>43.191768269617974</v>
      </c>
      <c r="M10" s="110"/>
      <c r="N10" s="111"/>
    </row>
    <row r="11" spans="1:15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4240.8809999999994</v>
      </c>
      <c r="G11" s="10">
        <f t="shared" ref="G11:G74" si="0">F11-E11</f>
        <v>-729.20200000000023</v>
      </c>
      <c r="H11" s="10">
        <f>H12+H15+H18+H21+H24+H27</f>
        <v>10064.490000000002</v>
      </c>
      <c r="I11" s="8">
        <f>E11+ян!I11</f>
        <v>9940.1659999999993</v>
      </c>
      <c r="J11" s="10">
        <f>J12+J15+J18+J21+J24+J27</f>
        <v>7264.86</v>
      </c>
      <c r="K11" s="10">
        <f t="shared" ref="K11:K74" si="1">J11-I11</f>
        <v>-2675.3059999999996</v>
      </c>
      <c r="L11" s="16">
        <f t="shared" ref="L11:L72" si="2">K11/I11*100</f>
        <v>-26.914097812853427</v>
      </c>
      <c r="M11" s="110"/>
      <c r="N11" s="111"/>
    </row>
    <row r="12" spans="1:15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5">
        <v>607.14300000000003</v>
      </c>
      <c r="G12" s="10">
        <f t="shared" si="0"/>
        <v>607.14300000000003</v>
      </c>
      <c r="H12" s="10">
        <f>D12+ян!H12</f>
        <v>1704.2639999999999</v>
      </c>
      <c r="I12" s="8"/>
      <c r="J12" s="8">
        <f>F12+ян!J12</f>
        <v>1125.0360000000001</v>
      </c>
      <c r="K12" s="10">
        <f t="shared" si="1"/>
        <v>1125.0360000000001</v>
      </c>
      <c r="L12" s="16"/>
      <c r="M12" s="112" t="s">
        <v>297</v>
      </c>
      <c r="N12" s="113"/>
    </row>
    <row r="13" spans="1:15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2000</v>
      </c>
      <c r="G13" s="10">
        <f t="shared" si="0"/>
        <v>2000</v>
      </c>
      <c r="H13" s="10">
        <f>D13+ян!H13</f>
        <v>7334</v>
      </c>
      <c r="I13" s="8"/>
      <c r="J13" s="8">
        <f>F13+ян!J13</f>
        <v>3706</v>
      </c>
      <c r="K13" s="10">
        <f t="shared" si="1"/>
        <v>3706</v>
      </c>
      <c r="L13" s="16"/>
      <c r="M13" s="110"/>
      <c r="N13" s="111"/>
    </row>
    <row r="14" spans="1:15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3">F12/F13*1000</f>
        <v>303.57150000000001</v>
      </c>
      <c r="G14" s="10">
        <f t="shared" si="0"/>
        <v>303.57150000000001</v>
      </c>
      <c r="H14" s="16">
        <f>H12/H13*1000</f>
        <v>232.37851104445048</v>
      </c>
      <c r="I14" s="16"/>
      <c r="J14" s="16">
        <f t="shared" ref="J14" si="4">J12/J13*1000</f>
        <v>303.57150566648676</v>
      </c>
      <c r="K14" s="10">
        <f t="shared" si="1"/>
        <v>303.57150566648676</v>
      </c>
      <c r="L14" s="16"/>
      <c r="M14" s="110"/>
      <c r="N14" s="111"/>
    </row>
    <row r="15" spans="1:15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2358.1179999999999</v>
      </c>
      <c r="G15" s="10">
        <f t="shared" si="0"/>
        <v>2358.1179999999999</v>
      </c>
      <c r="H15" s="10">
        <f>D15+ян!H15</f>
        <v>5617.152</v>
      </c>
      <c r="I15" s="8"/>
      <c r="J15" s="8">
        <f>F15+ян!J15</f>
        <v>3894.0039999999999</v>
      </c>
      <c r="K15" s="10">
        <f t="shared" si="1"/>
        <v>3894.0039999999999</v>
      </c>
      <c r="L15" s="16"/>
      <c r="M15" s="110"/>
      <c r="N15" s="111"/>
    </row>
    <row r="16" spans="1:15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18656</v>
      </c>
      <c r="G16" s="10">
        <f t="shared" si="0"/>
        <v>18656</v>
      </c>
      <c r="H16" s="10">
        <f>D16+ян!H16</f>
        <v>30000</v>
      </c>
      <c r="I16" s="8"/>
      <c r="J16" s="8">
        <f>F16+ян!J16</f>
        <v>30807</v>
      </c>
      <c r="K16" s="10">
        <f t="shared" si="1"/>
        <v>30807</v>
      </c>
      <c r="L16" s="16"/>
      <c r="M16" s="110"/>
      <c r="N16" s="111"/>
    </row>
    <row r="17" spans="1:14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5">F15/F16*1000</f>
        <v>126.39997855917667</v>
      </c>
      <c r="G17" s="10">
        <f t="shared" si="0"/>
        <v>126.39997855917667</v>
      </c>
      <c r="H17" s="16">
        <f>H15/H16*1000</f>
        <v>187.23840000000001</v>
      </c>
      <c r="I17" s="8"/>
      <c r="J17" s="13"/>
      <c r="K17" s="10">
        <f t="shared" si="1"/>
        <v>0</v>
      </c>
      <c r="L17" s="16"/>
      <c r="M17" s="110"/>
      <c r="N17" s="111"/>
    </row>
    <row r="18" spans="1:14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10"/>
      <c r="G18" s="10">
        <f t="shared" si="0"/>
        <v>0</v>
      </c>
      <c r="H18" s="10">
        <f>D18+ян!H18</f>
        <v>483.29199999999997</v>
      </c>
      <c r="I18" s="8"/>
      <c r="J18" s="10">
        <f>F18+ян!J18</f>
        <v>88</v>
      </c>
      <c r="K18" s="10">
        <f t="shared" si="1"/>
        <v>88</v>
      </c>
      <c r="L18" s="16"/>
      <c r="M18" s="110"/>
      <c r="N18" s="111"/>
    </row>
    <row r="19" spans="1:14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0"/>
        <v>0</v>
      </c>
      <c r="H19" s="10">
        <f>D19+ян!H19</f>
        <v>2050</v>
      </c>
      <c r="I19" s="8"/>
      <c r="J19" s="14">
        <f>F19+ян!J19</f>
        <v>200</v>
      </c>
      <c r="K19" s="10">
        <f t="shared" si="1"/>
        <v>200</v>
      </c>
      <c r="L19" s="16"/>
      <c r="M19" s="110"/>
      <c r="N19" s="111"/>
    </row>
    <row r="20" spans="1:14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3"/>
      <c r="F20" s="8"/>
      <c r="G20" s="10">
        <f t="shared" si="0"/>
        <v>0</v>
      </c>
      <c r="H20" s="16">
        <f>H18/H19*1000</f>
        <v>235.75219512195119</v>
      </c>
      <c r="I20" s="8"/>
      <c r="J20" s="58"/>
      <c r="K20" s="10">
        <f t="shared" si="1"/>
        <v>0</v>
      </c>
      <c r="L20" s="16"/>
      <c r="M20" s="110"/>
      <c r="N20" s="111"/>
    </row>
    <row r="21" spans="1:14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1275.6199999999999</v>
      </c>
      <c r="G21" s="10">
        <f t="shared" si="0"/>
        <v>1275.6199999999999</v>
      </c>
      <c r="H21" s="10">
        <f>D21+ян!H21</f>
        <v>1501.46</v>
      </c>
      <c r="I21" s="8"/>
      <c r="J21" s="10">
        <f>F21+ян!J21</f>
        <v>2157.8199999999997</v>
      </c>
      <c r="K21" s="10">
        <f t="shared" si="1"/>
        <v>2157.8199999999997</v>
      </c>
      <c r="L21" s="16"/>
      <c r="M21" s="110"/>
      <c r="N21" s="111"/>
    </row>
    <row r="22" spans="1:14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7390</v>
      </c>
      <c r="G22" s="10">
        <f t="shared" si="0"/>
        <v>7390</v>
      </c>
      <c r="H22" s="10">
        <f>D22+ян!H22</f>
        <v>11766</v>
      </c>
      <c r="I22" s="8"/>
      <c r="J22" s="14">
        <f>F22+ян!J22</f>
        <v>12290</v>
      </c>
      <c r="K22" s="10">
        <f t="shared" si="1"/>
        <v>12290</v>
      </c>
      <c r="L22" s="16"/>
      <c r="M22" s="110"/>
      <c r="N22" s="111"/>
    </row>
    <row r="23" spans="1:14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6">E21/E22*1000</f>
        <v>#DIV/0!</v>
      </c>
      <c r="F23" s="16">
        <f t="shared" si="6"/>
        <v>172.61434370771312</v>
      </c>
      <c r="G23" s="10" t="e">
        <f t="shared" si="0"/>
        <v>#DIV/0!</v>
      </c>
      <c r="H23" s="16">
        <f>H21/H22*1000</f>
        <v>127.61006289308177</v>
      </c>
      <c r="I23" s="8"/>
      <c r="J23" s="13"/>
      <c r="K23" s="10">
        <f t="shared" si="1"/>
        <v>0</v>
      </c>
      <c r="L23" s="16"/>
      <c r="M23" s="110"/>
      <c r="N23" s="111"/>
    </row>
    <row r="24" spans="1:14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8"/>
      <c r="G24" s="10">
        <f t="shared" si="0"/>
        <v>0</v>
      </c>
      <c r="H24" s="10">
        <f>D24+ян!H24</f>
        <v>330.01</v>
      </c>
      <c r="I24" s="8"/>
      <c r="J24" s="8">
        <f>F24+ян!J24</f>
        <v>0</v>
      </c>
      <c r="K24" s="10">
        <f t="shared" si="1"/>
        <v>0</v>
      </c>
      <c r="L24" s="16"/>
      <c r="M24" s="110"/>
      <c r="N24" s="111"/>
    </row>
    <row r="25" spans="1:14" ht="17.25" customHeight="1">
      <c r="A25" s="8"/>
      <c r="B25" s="12" t="s">
        <v>13</v>
      </c>
      <c r="C25" s="13" t="s">
        <v>14</v>
      </c>
      <c r="D25" s="14">
        <v>251</v>
      </c>
      <c r="E25" s="13"/>
      <c r="F25" s="8"/>
      <c r="G25" s="10">
        <f t="shared" si="0"/>
        <v>0</v>
      </c>
      <c r="H25" s="10">
        <f>D25+ян!H25</f>
        <v>502</v>
      </c>
      <c r="I25" s="8"/>
      <c r="J25" s="8">
        <f>F25+ян!J25</f>
        <v>0</v>
      </c>
      <c r="K25" s="10">
        <f t="shared" si="1"/>
        <v>0</v>
      </c>
      <c r="L25" s="16"/>
      <c r="M25" s="110"/>
      <c r="N25" s="111"/>
    </row>
    <row r="26" spans="1:14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/>
      <c r="F26" s="16"/>
      <c r="G26" s="10">
        <f t="shared" si="0"/>
        <v>0</v>
      </c>
      <c r="H26" s="16">
        <f>H24/H25*1000</f>
        <v>657.39043824701196</v>
      </c>
      <c r="I26" s="16"/>
      <c r="J26" s="16"/>
      <c r="K26" s="10"/>
      <c r="L26" s="16"/>
      <c r="M26" s="110"/>
      <c r="N26" s="111"/>
    </row>
    <row r="27" spans="1:14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0"/>
        <v>0</v>
      </c>
      <c r="H27" s="10">
        <f>D27+ян!H27</f>
        <v>428.31200000000001</v>
      </c>
      <c r="I27" s="8"/>
      <c r="J27" s="8">
        <f>F27+ян!J27</f>
        <v>0</v>
      </c>
      <c r="K27" s="10">
        <f t="shared" si="1"/>
        <v>0</v>
      </c>
      <c r="L27" s="16"/>
      <c r="M27" s="110"/>
      <c r="N27" s="111"/>
    </row>
    <row r="28" spans="1:14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0"/>
        <v>0</v>
      </c>
      <c r="H28" s="10">
        <f>D28+ян!H28</f>
        <v>476</v>
      </c>
      <c r="I28" s="8"/>
      <c r="J28" s="8">
        <f>F28+ян!J28</f>
        <v>0</v>
      </c>
      <c r="K28" s="10">
        <f t="shared" si="1"/>
        <v>0</v>
      </c>
      <c r="L28" s="16"/>
      <c r="M28" s="110"/>
      <c r="N28" s="111"/>
    </row>
    <row r="29" spans="1:14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0"/>
        <v>0</v>
      </c>
      <c r="H29" s="16">
        <f>H27/H28*1000</f>
        <v>899.81512605042019</v>
      </c>
      <c r="I29" s="8"/>
      <c r="J29" s="13"/>
      <c r="K29" s="10">
        <f t="shared" si="1"/>
        <v>0</v>
      </c>
      <c r="L29" s="16"/>
      <c r="M29" s="110"/>
      <c r="N29" s="111"/>
    </row>
    <row r="30" spans="1:14" ht="17.25" customHeight="1">
      <c r="A30" s="18" t="s">
        <v>26</v>
      </c>
      <c r="B30" s="9" t="s">
        <v>27</v>
      </c>
      <c r="C30" s="8" t="s">
        <v>4</v>
      </c>
      <c r="D30" s="10">
        <f t="shared" ref="D30:F30" si="7">D31+D32+D33+D34</f>
        <v>2406.0839999999998</v>
      </c>
      <c r="E30" s="8">
        <v>762.50099999999998</v>
      </c>
      <c r="F30" s="10">
        <f t="shared" si="7"/>
        <v>7883.6410000000005</v>
      </c>
      <c r="G30" s="10">
        <f t="shared" si="0"/>
        <v>7121.14</v>
      </c>
      <c r="H30" s="10">
        <f t="shared" ref="H30" si="8">H31+H32+H33+H34</f>
        <v>4812.1679999999997</v>
      </c>
      <c r="I30" s="8">
        <f>E30+ян!I30</f>
        <v>1525.002</v>
      </c>
      <c r="J30" s="10">
        <f t="shared" ref="J30" si="9">J31+J32+J33+J34</f>
        <v>8261.9940000000006</v>
      </c>
      <c r="K30" s="10">
        <f t="shared" si="1"/>
        <v>6736.9920000000002</v>
      </c>
      <c r="L30" s="16">
        <f t="shared" si="2"/>
        <v>441.76938784342576</v>
      </c>
      <c r="M30" s="110"/>
      <c r="N30" s="111"/>
    </row>
    <row r="31" spans="1:14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70">
        <f>7803.226+1.113</f>
        <v>7804.3389999999999</v>
      </c>
      <c r="G31" s="10">
        <f t="shared" si="0"/>
        <v>7804.3389999999999</v>
      </c>
      <c r="H31" s="10">
        <f>D31+ян!H31</f>
        <v>4577.0439999999999</v>
      </c>
      <c r="I31" s="8"/>
      <c r="J31" s="8">
        <f>F31+ян!J31</f>
        <v>8052.9780000000001</v>
      </c>
      <c r="K31" s="10">
        <f t="shared" si="1"/>
        <v>8052.9780000000001</v>
      </c>
      <c r="L31" s="16"/>
      <c r="M31" s="110"/>
      <c r="N31" s="111"/>
    </row>
    <row r="32" spans="1:14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62">
        <v>42.72</v>
      </c>
      <c r="G32" s="10">
        <f t="shared" si="0"/>
        <v>42.72</v>
      </c>
      <c r="H32" s="10">
        <f>D32+ян!H32</f>
        <v>120.67400000000001</v>
      </c>
      <c r="I32" s="8"/>
      <c r="J32" s="8">
        <f>F32+ян!J32</f>
        <v>130.16</v>
      </c>
      <c r="K32" s="10">
        <f t="shared" si="1"/>
        <v>130.16</v>
      </c>
      <c r="L32" s="16"/>
      <c r="M32" s="112" t="s">
        <v>285</v>
      </c>
      <c r="N32" s="113"/>
    </row>
    <row r="33" spans="1:14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70">
        <v>11.086</v>
      </c>
      <c r="G33" s="10">
        <f t="shared" si="0"/>
        <v>11.086</v>
      </c>
      <c r="H33" s="10">
        <f>D33+ян!H33</f>
        <v>39.473999999999997</v>
      </c>
      <c r="I33" s="8"/>
      <c r="J33" s="8">
        <f>F33+ян!J33</f>
        <v>15.722000000000001</v>
      </c>
      <c r="K33" s="10">
        <f t="shared" si="1"/>
        <v>15.722000000000001</v>
      </c>
      <c r="L33" s="16"/>
      <c r="M33" s="110"/>
      <c r="N33" s="111"/>
    </row>
    <row r="34" spans="1:14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70">
        <v>25.495999999999999</v>
      </c>
      <c r="G34" s="10">
        <f t="shared" si="0"/>
        <v>25.495999999999999</v>
      </c>
      <c r="H34" s="10">
        <f>D34+ян!H34</f>
        <v>74.975999999999999</v>
      </c>
      <c r="I34" s="8"/>
      <c r="J34" s="8">
        <f>F34+ян!J34</f>
        <v>63.134</v>
      </c>
      <c r="K34" s="10">
        <f t="shared" si="1"/>
        <v>63.134</v>
      </c>
      <c r="L34" s="16"/>
      <c r="M34" s="110"/>
      <c r="N34" s="111"/>
    </row>
    <row r="35" spans="1:14" ht="17.25" customHeight="1">
      <c r="A35" s="18" t="s">
        <v>36</v>
      </c>
      <c r="B35" s="9" t="s">
        <v>37</v>
      </c>
      <c r="C35" s="8" t="s">
        <v>4</v>
      </c>
      <c r="D35" s="10">
        <f t="shared" ref="D35:J35" si="10">D36</f>
        <v>162.715</v>
      </c>
      <c r="E35" s="10">
        <f t="shared" si="10"/>
        <v>162.75</v>
      </c>
      <c r="F35" s="10">
        <f t="shared" si="10"/>
        <v>593.11599999999999</v>
      </c>
      <c r="G35" s="10">
        <f t="shared" si="0"/>
        <v>430.36599999999999</v>
      </c>
      <c r="H35" s="10">
        <f t="shared" si="10"/>
        <v>325.43</v>
      </c>
      <c r="I35" s="10">
        <f t="shared" si="10"/>
        <v>325.5</v>
      </c>
      <c r="J35" s="10">
        <f t="shared" si="10"/>
        <v>1356.412</v>
      </c>
      <c r="K35" s="10">
        <f t="shared" si="1"/>
        <v>1030.912</v>
      </c>
      <c r="L35" s="16">
        <f t="shared" si="2"/>
        <v>316.71643625192013</v>
      </c>
      <c r="M35" s="110"/>
      <c r="N35" s="111"/>
    </row>
    <row r="36" spans="1:14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8">
        <v>593.11599999999999</v>
      </c>
      <c r="G36" s="10">
        <f t="shared" si="0"/>
        <v>430.36599999999999</v>
      </c>
      <c r="H36" s="10">
        <f>D36+ян!H36</f>
        <v>325.43</v>
      </c>
      <c r="I36" s="8">
        <f>E36+ян!I36</f>
        <v>325.5</v>
      </c>
      <c r="J36" s="8">
        <f>F36+ян!J36</f>
        <v>1356.412</v>
      </c>
      <c r="K36" s="10">
        <f t="shared" si="1"/>
        <v>1030.912</v>
      </c>
      <c r="L36" s="16">
        <f t="shared" si="2"/>
        <v>316.71643625192013</v>
      </c>
      <c r="M36" s="110"/>
      <c r="N36" s="111"/>
    </row>
    <row r="37" spans="1:14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2568.9139999999998</v>
      </c>
      <c r="G37" s="10">
        <f t="shared" si="0"/>
        <v>635.83099999999968</v>
      </c>
      <c r="H37" s="10">
        <f>H38+H41+H48+H51</f>
        <v>3226.7819999999997</v>
      </c>
      <c r="I37" s="8">
        <f>E37+ян!I37</f>
        <v>3866.1660000000002</v>
      </c>
      <c r="J37" s="10">
        <f>J38+J41+J48+J51</f>
        <v>5406.8200000000006</v>
      </c>
      <c r="K37" s="10">
        <f t="shared" si="1"/>
        <v>1540.6540000000005</v>
      </c>
      <c r="L37" s="16">
        <f t="shared" si="2"/>
        <v>39.849659843886691</v>
      </c>
      <c r="M37" s="110"/>
      <c r="N37" s="111"/>
    </row>
    <row r="38" spans="1:14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70">
        <v>1612.5340000000001</v>
      </c>
      <c r="G38" s="10">
        <f t="shared" si="0"/>
        <v>905.20100000000014</v>
      </c>
      <c r="H38" s="10">
        <f>D38+ян!H38</f>
        <v>1414.65</v>
      </c>
      <c r="I38" s="8">
        <f>E38+ян!I38</f>
        <v>1414.6659999999999</v>
      </c>
      <c r="J38" s="8">
        <f>F38+ян!J38</f>
        <v>3225.0680000000002</v>
      </c>
      <c r="K38" s="10">
        <f t="shared" si="1"/>
        <v>1810.4020000000003</v>
      </c>
      <c r="L38" s="16">
        <f t="shared" si="2"/>
        <v>127.97381148624483</v>
      </c>
      <c r="M38" s="110"/>
      <c r="N38" s="111"/>
    </row>
    <row r="39" spans="1:14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259</v>
      </c>
      <c r="G39" s="10">
        <f t="shared" si="0"/>
        <v>259</v>
      </c>
      <c r="H39" s="10">
        <f>D39+ян!H39</f>
        <v>174</v>
      </c>
      <c r="I39" s="8"/>
      <c r="J39" s="8">
        <f>F39+ян!J39</f>
        <v>518</v>
      </c>
      <c r="K39" s="10">
        <f t="shared" si="1"/>
        <v>518</v>
      </c>
      <c r="L39" s="16"/>
      <c r="M39" s="110"/>
      <c r="N39" s="111"/>
    </row>
    <row r="40" spans="1:14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1">F38/F39*1000</f>
        <v>6226</v>
      </c>
      <c r="G40" s="10">
        <f t="shared" si="0"/>
        <v>6226</v>
      </c>
      <c r="H40" s="16">
        <f>H38/H39*1000</f>
        <v>8130.1724137931051</v>
      </c>
      <c r="I40" s="16"/>
      <c r="J40" s="16">
        <f t="shared" ref="J40" si="12">J38/J39*1000</f>
        <v>6226</v>
      </c>
      <c r="K40" s="10">
        <f t="shared" si="1"/>
        <v>6226</v>
      </c>
      <c r="L40" s="16"/>
      <c r="M40" s="110"/>
      <c r="N40" s="111"/>
    </row>
    <row r="41" spans="1:14" ht="17.25" customHeight="1">
      <c r="A41" s="18" t="s">
        <v>45</v>
      </c>
      <c r="B41" s="9" t="s">
        <v>46</v>
      </c>
      <c r="C41" s="8" t="s">
        <v>4</v>
      </c>
      <c r="D41" s="10">
        <f t="shared" ref="D41:F41" si="13">D42+D45</f>
        <v>315.00200000000001</v>
      </c>
      <c r="E41" s="10">
        <f t="shared" si="13"/>
        <v>0</v>
      </c>
      <c r="F41" s="10">
        <f t="shared" si="13"/>
        <v>393.98599999999999</v>
      </c>
      <c r="G41" s="10">
        <f t="shared" si="0"/>
        <v>393.98599999999999</v>
      </c>
      <c r="H41" s="10">
        <f t="shared" ref="H41:J41" si="14">H42+H45</f>
        <v>630.00400000000002</v>
      </c>
      <c r="I41" s="10">
        <f t="shared" si="14"/>
        <v>0</v>
      </c>
      <c r="J41" s="10">
        <f t="shared" si="14"/>
        <v>820.59999999999991</v>
      </c>
      <c r="K41" s="10">
        <f t="shared" si="1"/>
        <v>820.59999999999991</v>
      </c>
      <c r="L41" s="16"/>
      <c r="M41" s="110"/>
      <c r="N41" s="111"/>
    </row>
    <row r="42" spans="1:14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0"/>
        <v>0</v>
      </c>
      <c r="H42" s="10">
        <f>D42+ян!H42</f>
        <v>304.596</v>
      </c>
      <c r="I42" s="8"/>
      <c r="J42" s="8">
        <f>F42+ян!J42</f>
        <v>0</v>
      </c>
      <c r="K42" s="10">
        <f t="shared" si="1"/>
        <v>0</v>
      </c>
      <c r="L42" s="16"/>
      <c r="M42" s="123" t="s">
        <v>286</v>
      </c>
      <c r="N42" s="124"/>
    </row>
    <row r="43" spans="1:14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0"/>
        <v>0</v>
      </c>
      <c r="H43" s="10">
        <f>D43+ян!H43</f>
        <v>3834</v>
      </c>
      <c r="I43" s="8"/>
      <c r="J43" s="8">
        <f>F43+ян!J43</f>
        <v>0</v>
      </c>
      <c r="K43" s="10">
        <f t="shared" si="1"/>
        <v>0</v>
      </c>
      <c r="L43" s="16"/>
      <c r="M43" s="125"/>
      <c r="N43" s="126"/>
    </row>
    <row r="44" spans="1:14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0"/>
        <v>0</v>
      </c>
      <c r="H44" s="16">
        <f>H42/H43*1000</f>
        <v>79.44600938967136</v>
      </c>
      <c r="I44" s="8"/>
      <c r="J44" s="13"/>
      <c r="K44" s="10">
        <f t="shared" si="1"/>
        <v>0</v>
      </c>
      <c r="L44" s="16"/>
      <c r="M44" s="110"/>
      <c r="N44" s="111"/>
    </row>
    <row r="45" spans="1:14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86">
        <v>393.98599999999999</v>
      </c>
      <c r="G45" s="10">
        <f t="shared" si="0"/>
        <v>393.98599999999999</v>
      </c>
      <c r="H45" s="10">
        <f>D45+ян!H45</f>
        <v>325.40800000000002</v>
      </c>
      <c r="I45" s="8">
        <f>E45+ян!I45</f>
        <v>0</v>
      </c>
      <c r="J45" s="8">
        <f>F45+ян!J45</f>
        <v>820.59999999999991</v>
      </c>
      <c r="K45" s="10">
        <f t="shared" si="1"/>
        <v>820.59999999999991</v>
      </c>
      <c r="L45" s="16"/>
      <c r="M45" s="110"/>
      <c r="N45" s="111"/>
    </row>
    <row r="46" spans="1:14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2790</v>
      </c>
      <c r="G46" s="10">
        <f t="shared" si="0"/>
        <v>2790</v>
      </c>
      <c r="H46" s="10">
        <f>D46+ян!H46</f>
        <v>2834</v>
      </c>
      <c r="I46" s="8"/>
      <c r="J46" s="8">
        <f>F46+ян!J46</f>
        <v>5703</v>
      </c>
      <c r="K46" s="10">
        <f t="shared" si="1"/>
        <v>5703</v>
      </c>
      <c r="L46" s="16"/>
      <c r="M46" s="110"/>
      <c r="N46" s="111"/>
    </row>
    <row r="47" spans="1:14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15">F45/F46*1000</f>
        <v>141.21362007168457</v>
      </c>
      <c r="G47" s="10">
        <f t="shared" si="0"/>
        <v>141.21362007168457</v>
      </c>
      <c r="H47" s="16">
        <f>H45/H46*1000</f>
        <v>114.82286520818631</v>
      </c>
      <c r="I47" s="8"/>
      <c r="J47" s="13"/>
      <c r="K47" s="10">
        <f t="shared" si="1"/>
        <v>0</v>
      </c>
      <c r="L47" s="16"/>
      <c r="M47" s="110"/>
      <c r="N47" s="111"/>
    </row>
    <row r="48" spans="1:14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334.82+227.574</f>
        <v>562.39400000000001</v>
      </c>
      <c r="G48" s="10">
        <f t="shared" si="0"/>
        <v>562.39400000000001</v>
      </c>
      <c r="H48" s="10">
        <f>D48+ян!H48</f>
        <v>1031.2159999999999</v>
      </c>
      <c r="I48" s="8"/>
      <c r="J48" s="8">
        <f>F48+ян!J48</f>
        <v>1349.8920000000001</v>
      </c>
      <c r="K48" s="10">
        <f t="shared" si="1"/>
        <v>1349.8920000000001</v>
      </c>
      <c r="L48" s="16"/>
      <c r="M48" s="110"/>
      <c r="N48" s="111"/>
    </row>
    <row r="49" spans="1:14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3345</v>
      </c>
      <c r="G49" s="10">
        <f t="shared" si="0"/>
        <v>3345</v>
      </c>
      <c r="H49" s="10">
        <f>D49+ян!H49</f>
        <v>11666</v>
      </c>
      <c r="I49" s="8"/>
      <c r="J49" s="8">
        <f>F49+ян!J49</f>
        <v>8499</v>
      </c>
      <c r="K49" s="10">
        <f t="shared" si="1"/>
        <v>8499</v>
      </c>
      <c r="L49" s="16"/>
      <c r="M49" s="110"/>
      <c r="N49" s="111"/>
    </row>
    <row r="50" spans="1:14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16">F48/F49*1000</f>
        <v>168.12974588938715</v>
      </c>
      <c r="G50" s="10">
        <f t="shared" si="0"/>
        <v>168.12974588938715</v>
      </c>
      <c r="H50" s="16">
        <f>H48/H49*1000</f>
        <v>88.394993999657117</v>
      </c>
      <c r="I50" s="8"/>
      <c r="J50" s="13"/>
      <c r="K50" s="10">
        <f t="shared" si="1"/>
        <v>0</v>
      </c>
      <c r="L50" s="16"/>
      <c r="M50" s="110"/>
      <c r="N50" s="111"/>
    </row>
    <row r="51" spans="1:14" ht="17.25" customHeight="1">
      <c r="A51" s="18" t="s">
        <v>54</v>
      </c>
      <c r="B51" s="20" t="s">
        <v>55</v>
      </c>
      <c r="C51" s="8" t="s">
        <v>4</v>
      </c>
      <c r="D51" s="10">
        <f t="shared" ref="D51:F52" si="17">D54+D57+D60+D63+D66+D69</f>
        <v>75.456000000000003</v>
      </c>
      <c r="E51" s="10"/>
      <c r="F51" s="10">
        <f t="shared" si="17"/>
        <v>0</v>
      </c>
      <c r="G51" s="10">
        <f t="shared" si="0"/>
        <v>0</v>
      </c>
      <c r="H51" s="10">
        <f t="shared" ref="H51:H52" si="18">H54+H57+H60+H63+H66+H69</f>
        <v>150.91200000000001</v>
      </c>
      <c r="I51" s="10"/>
      <c r="J51" s="10">
        <f t="shared" ref="J51" si="19">J54+J57+J60+J63+J66+J69</f>
        <v>11.26</v>
      </c>
      <c r="K51" s="10">
        <f t="shared" si="1"/>
        <v>11.26</v>
      </c>
      <c r="L51" s="16"/>
      <c r="M51" s="110"/>
      <c r="N51" s="111"/>
    </row>
    <row r="52" spans="1:14" ht="17.25" customHeight="1">
      <c r="A52" s="8"/>
      <c r="B52" s="19" t="s">
        <v>13</v>
      </c>
      <c r="C52" s="13" t="s">
        <v>49</v>
      </c>
      <c r="D52" s="14">
        <f t="shared" si="17"/>
        <v>177</v>
      </c>
      <c r="E52" s="13"/>
      <c r="F52" s="8"/>
      <c r="G52" s="10">
        <f t="shared" si="0"/>
        <v>0</v>
      </c>
      <c r="H52" s="14">
        <f t="shared" si="18"/>
        <v>354</v>
      </c>
      <c r="I52" s="8"/>
      <c r="J52" s="13"/>
      <c r="K52" s="10">
        <f t="shared" si="1"/>
        <v>0</v>
      </c>
      <c r="L52" s="16"/>
      <c r="M52" s="110"/>
      <c r="N52" s="111"/>
    </row>
    <row r="53" spans="1:14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3"/>
      <c r="F53" s="8"/>
      <c r="G53" s="10">
        <f t="shared" si="0"/>
        <v>0</v>
      </c>
      <c r="H53" s="16">
        <f>H51/H52*1000</f>
        <v>426.30508474576271</v>
      </c>
      <c r="I53" s="8"/>
      <c r="J53" s="13"/>
      <c r="K53" s="10">
        <f t="shared" si="1"/>
        <v>0</v>
      </c>
      <c r="L53" s="16"/>
      <c r="M53" s="110"/>
      <c r="N53" s="111"/>
    </row>
    <row r="54" spans="1:14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/>
      <c r="G54" s="10">
        <f t="shared" si="0"/>
        <v>0</v>
      </c>
      <c r="H54" s="10">
        <f>D54+ян!H54</f>
        <v>15.616</v>
      </c>
      <c r="I54" s="8"/>
      <c r="J54" s="8">
        <f>F54+ян!J54</f>
        <v>11.26</v>
      </c>
      <c r="K54" s="10">
        <f t="shared" si="1"/>
        <v>11.26</v>
      </c>
      <c r="L54" s="16"/>
      <c r="M54" s="110"/>
      <c r="N54" s="111"/>
    </row>
    <row r="55" spans="1:14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0"/>
        <v>0</v>
      </c>
      <c r="H55" s="10">
        <f>D55+ян!H55</f>
        <v>62</v>
      </c>
      <c r="I55" s="8"/>
      <c r="J55" s="8">
        <f>F55+ян!J55</f>
        <v>20</v>
      </c>
      <c r="K55" s="10">
        <f t="shared" si="1"/>
        <v>20</v>
      </c>
      <c r="L55" s="16"/>
      <c r="M55" s="110"/>
      <c r="N55" s="111"/>
    </row>
    <row r="56" spans="1:14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3"/>
      <c r="F56" s="8"/>
      <c r="G56" s="10">
        <f t="shared" si="0"/>
        <v>0</v>
      </c>
      <c r="H56" s="16">
        <f>H54/H55*1000</f>
        <v>251.87096774193546</v>
      </c>
      <c r="I56" s="8"/>
      <c r="J56" s="13"/>
      <c r="K56" s="10">
        <f t="shared" si="1"/>
        <v>0</v>
      </c>
      <c r="L56" s="16"/>
      <c r="M56" s="110"/>
      <c r="N56" s="111"/>
    </row>
    <row r="57" spans="1:14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0"/>
        <v>0</v>
      </c>
      <c r="H57" s="10">
        <f>D57+ян!H57</f>
        <v>27.92</v>
      </c>
      <c r="I57" s="8"/>
      <c r="J57" s="8">
        <f>F57+ян!J57</f>
        <v>0</v>
      </c>
      <c r="K57" s="10">
        <f t="shared" si="1"/>
        <v>0</v>
      </c>
      <c r="L57" s="16"/>
      <c r="M57" s="123" t="s">
        <v>291</v>
      </c>
      <c r="N57" s="124"/>
    </row>
    <row r="58" spans="1:14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0"/>
        <v>0</v>
      </c>
      <c r="H58" s="10">
        <f>D58+ян!H58</f>
        <v>66</v>
      </c>
      <c r="I58" s="8"/>
      <c r="J58" s="8">
        <f>F58+ян!J58</f>
        <v>0</v>
      </c>
      <c r="K58" s="10">
        <f t="shared" si="1"/>
        <v>0</v>
      </c>
      <c r="L58" s="16"/>
      <c r="M58" s="125"/>
      <c r="N58" s="126"/>
    </row>
    <row r="59" spans="1:14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0"/>
        <v>0</v>
      </c>
      <c r="H59" s="16">
        <f>H57/H58*1000</f>
        <v>423.03030303030306</v>
      </c>
      <c r="I59" s="8"/>
      <c r="J59" s="13"/>
      <c r="K59" s="10">
        <f t="shared" si="1"/>
        <v>0</v>
      </c>
      <c r="L59" s="16"/>
      <c r="M59" s="110"/>
      <c r="N59" s="111"/>
    </row>
    <row r="60" spans="1:14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/>
      <c r="G60" s="10">
        <f t="shared" si="0"/>
        <v>0</v>
      </c>
      <c r="H60" s="10">
        <f>D60+ян!H60</f>
        <v>57.17</v>
      </c>
      <c r="I60" s="8"/>
      <c r="J60" s="8">
        <f>F60+ян!J60</f>
        <v>0</v>
      </c>
      <c r="K60" s="10">
        <f t="shared" si="1"/>
        <v>0</v>
      </c>
      <c r="L60" s="16"/>
      <c r="M60" s="123" t="s">
        <v>291</v>
      </c>
      <c r="N60" s="124"/>
    </row>
    <row r="61" spans="1:14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0"/>
        <v>0</v>
      </c>
      <c r="H61" s="10">
        <f>D61+ян!H61</f>
        <v>140</v>
      </c>
      <c r="I61" s="8"/>
      <c r="J61" s="8">
        <f>F61+ян!J61</f>
        <v>0</v>
      </c>
      <c r="K61" s="10">
        <f t="shared" si="1"/>
        <v>0</v>
      </c>
      <c r="L61" s="16"/>
      <c r="M61" s="125"/>
      <c r="N61" s="126"/>
    </row>
    <row r="62" spans="1:14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3"/>
      <c r="F62" s="8"/>
      <c r="G62" s="10">
        <f t="shared" si="0"/>
        <v>0</v>
      </c>
      <c r="H62" s="16">
        <f>H60/H61*1000</f>
        <v>408.35714285714289</v>
      </c>
      <c r="I62" s="8"/>
      <c r="J62" s="13"/>
      <c r="K62" s="10">
        <f t="shared" si="1"/>
        <v>0</v>
      </c>
      <c r="L62" s="16"/>
      <c r="M62" s="110"/>
      <c r="N62" s="111"/>
    </row>
    <row r="63" spans="1:14" ht="17.25" customHeight="1">
      <c r="A63" s="8"/>
      <c r="B63" s="20" t="s">
        <v>220</v>
      </c>
      <c r="C63" s="8" t="s">
        <v>4</v>
      </c>
      <c r="D63" s="10">
        <v>12.234</v>
      </c>
      <c r="E63" s="8"/>
      <c r="F63" s="8"/>
      <c r="G63" s="10">
        <f t="shared" si="0"/>
        <v>0</v>
      </c>
      <c r="H63" s="10">
        <f>D63+ян!H63</f>
        <v>24.468</v>
      </c>
      <c r="I63" s="8"/>
      <c r="J63" s="8">
        <f>F63+ян!J63</f>
        <v>0</v>
      </c>
      <c r="K63" s="10">
        <f t="shared" si="1"/>
        <v>0</v>
      </c>
      <c r="L63" s="16"/>
      <c r="M63" s="110"/>
      <c r="N63" s="111"/>
    </row>
    <row r="64" spans="1:14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0"/>
        <v>0</v>
      </c>
      <c r="H64" s="10">
        <f>D64+ян!H64</f>
        <v>46</v>
      </c>
      <c r="I64" s="8"/>
      <c r="J64" s="8">
        <f>F64+ян!J64</f>
        <v>0</v>
      </c>
      <c r="K64" s="10">
        <f t="shared" si="1"/>
        <v>0</v>
      </c>
      <c r="L64" s="16"/>
      <c r="M64" s="110"/>
      <c r="N64" s="111"/>
    </row>
    <row r="65" spans="1:14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3"/>
      <c r="F65" s="8"/>
      <c r="G65" s="10">
        <f t="shared" si="0"/>
        <v>0</v>
      </c>
      <c r="H65" s="16">
        <f>H63/H64*1000</f>
        <v>531.91304347826087</v>
      </c>
      <c r="I65" s="8"/>
      <c r="J65" s="13"/>
      <c r="K65" s="10">
        <f t="shared" si="1"/>
        <v>0</v>
      </c>
      <c r="L65" s="16"/>
      <c r="M65" s="110"/>
      <c r="N65" s="111"/>
    </row>
    <row r="66" spans="1:14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0"/>
        <v>0</v>
      </c>
      <c r="H66" s="10">
        <f>D66+ян!H66</f>
        <v>5.7220000000000004</v>
      </c>
      <c r="I66" s="8"/>
      <c r="J66" s="8">
        <f>F66+ян!J66</f>
        <v>0</v>
      </c>
      <c r="K66" s="10">
        <f t="shared" si="1"/>
        <v>0</v>
      </c>
      <c r="L66" s="16"/>
      <c r="M66" s="110"/>
      <c r="N66" s="111"/>
    </row>
    <row r="67" spans="1:14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0"/>
        <v>0</v>
      </c>
      <c r="H67" s="10">
        <f>D67+ян!H67</f>
        <v>4</v>
      </c>
      <c r="I67" s="8"/>
      <c r="J67" s="8">
        <f>F67+ян!J67</f>
        <v>0</v>
      </c>
      <c r="K67" s="10">
        <f t="shared" si="1"/>
        <v>0</v>
      </c>
      <c r="L67" s="16"/>
      <c r="M67" s="110"/>
      <c r="N67" s="111"/>
    </row>
    <row r="68" spans="1:14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0"/>
        <v>0</v>
      </c>
      <c r="H68" s="16">
        <f>H66/H67*1000</f>
        <v>1430.5</v>
      </c>
      <c r="I68" s="8"/>
      <c r="J68" s="13"/>
      <c r="K68" s="10">
        <f t="shared" si="1"/>
        <v>0</v>
      </c>
      <c r="L68" s="16"/>
      <c r="M68" s="110"/>
      <c r="N68" s="111"/>
    </row>
    <row r="69" spans="1:14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8"/>
      <c r="G69" s="10">
        <f t="shared" si="0"/>
        <v>0</v>
      </c>
      <c r="H69" s="10">
        <f>D69+ян!H69</f>
        <v>20.015999999999998</v>
      </c>
      <c r="I69" s="8"/>
      <c r="J69" s="8">
        <f>F69+ян!J69</f>
        <v>0</v>
      </c>
      <c r="K69" s="10">
        <f t="shared" si="1"/>
        <v>0</v>
      </c>
      <c r="L69" s="16"/>
      <c r="M69" s="123" t="s">
        <v>292</v>
      </c>
      <c r="N69" s="124"/>
    </row>
    <row r="70" spans="1:14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0"/>
        <v>0</v>
      </c>
      <c r="H70" s="10">
        <f>D70+ян!H70</f>
        <v>36</v>
      </c>
      <c r="I70" s="8"/>
      <c r="J70" s="8">
        <f>F70+ян!J70</f>
        <v>0</v>
      </c>
      <c r="K70" s="10">
        <f t="shared" si="1"/>
        <v>0</v>
      </c>
      <c r="L70" s="16"/>
      <c r="M70" s="125"/>
      <c r="N70" s="126"/>
    </row>
    <row r="71" spans="1:14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3"/>
      <c r="F71" s="8"/>
      <c r="G71" s="10">
        <f t="shared" si="0"/>
        <v>0</v>
      </c>
      <c r="H71" s="16">
        <f>H69/H70*1000</f>
        <v>555.99999999999989</v>
      </c>
      <c r="I71" s="8"/>
      <c r="J71" s="13"/>
      <c r="K71" s="10">
        <f t="shared" si="1"/>
        <v>0</v>
      </c>
      <c r="L71" s="16"/>
      <c r="M71" s="110"/>
      <c r="N71" s="111"/>
    </row>
    <row r="72" spans="1:14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23250.674999999999</v>
      </c>
      <c r="G72" s="10">
        <f t="shared" si="0"/>
        <v>-1055.992000000002</v>
      </c>
      <c r="H72" s="10">
        <f>H73</f>
        <v>53035.342000000004</v>
      </c>
      <c r="I72" s="8">
        <f>E72+ян!I72</f>
        <v>48613.334000000003</v>
      </c>
      <c r="J72" s="8">
        <f>F72+ян!J72</f>
        <v>51579.667999999998</v>
      </c>
      <c r="K72" s="10">
        <f t="shared" si="1"/>
        <v>2966.3339999999953</v>
      </c>
      <c r="L72" s="16">
        <f t="shared" si="2"/>
        <v>6.1018937726015565</v>
      </c>
      <c r="M72" s="110"/>
      <c r="N72" s="111"/>
    </row>
    <row r="73" spans="1:14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20">E75+E78+E81+E84</f>
        <v>0</v>
      </c>
      <c r="F73" s="62">
        <f t="shared" si="20"/>
        <v>23250.674999999999</v>
      </c>
      <c r="G73" s="10">
        <f t="shared" si="0"/>
        <v>23250.674999999999</v>
      </c>
      <c r="H73" s="10">
        <f>H75+H78+H81+H84</f>
        <v>53035.342000000004</v>
      </c>
      <c r="I73" s="10">
        <f t="shared" ref="I73:J73" si="21">I75+I78+I81+I84</f>
        <v>0</v>
      </c>
      <c r="J73" s="10">
        <f t="shared" si="21"/>
        <v>51579.67</v>
      </c>
      <c r="K73" s="10">
        <f t="shared" si="1"/>
        <v>51579.67</v>
      </c>
      <c r="L73" s="16"/>
      <c r="M73" s="110"/>
      <c r="N73" s="111"/>
    </row>
    <row r="74" spans="1:14" ht="17.25" customHeight="1">
      <c r="A74" s="8"/>
      <c r="B74" s="28" t="s">
        <v>65</v>
      </c>
      <c r="C74" s="22" t="s">
        <v>66</v>
      </c>
      <c r="D74" s="14">
        <f t="shared" ref="D74:F74" si="22">D76+D79+D82+D85</f>
        <v>1280770</v>
      </c>
      <c r="E74" s="14">
        <f t="shared" si="22"/>
        <v>0</v>
      </c>
      <c r="F74" s="14">
        <f t="shared" si="22"/>
        <v>1130570.46</v>
      </c>
      <c r="G74" s="14">
        <f t="shared" si="0"/>
        <v>1130570.46</v>
      </c>
      <c r="H74" s="14">
        <f t="shared" ref="H74" si="23">H76+H79+H82+H85</f>
        <v>2561540</v>
      </c>
      <c r="I74" s="59"/>
      <c r="J74" s="22"/>
      <c r="K74" s="10">
        <f t="shared" si="1"/>
        <v>0</v>
      </c>
      <c r="L74" s="16"/>
      <c r="M74" s="110"/>
      <c r="N74" s="111"/>
    </row>
    <row r="75" spans="1:14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>
        <f>2164.728-F142</f>
        <v>2164.7280000000001</v>
      </c>
      <c r="G75" s="10">
        <f t="shared" ref="G75:G138" si="24">F75-E75</f>
        <v>2164.7280000000001</v>
      </c>
      <c r="H75" s="10">
        <f>D75+ян!H75</f>
        <v>2676.9659999999999</v>
      </c>
      <c r="I75" s="8"/>
      <c r="J75" s="8">
        <f>F75+ян!J75</f>
        <v>4546.2950000000001</v>
      </c>
      <c r="K75" s="10">
        <f t="shared" ref="K75:K139" si="25">J75-I75</f>
        <v>4546.2950000000001</v>
      </c>
      <c r="L75" s="16"/>
      <c r="M75" s="110"/>
      <c r="N75" s="111"/>
    </row>
    <row r="76" spans="1:14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f>109606.46-F143</f>
        <v>109606.46</v>
      </c>
      <c r="G76" s="14">
        <f t="shared" si="24"/>
        <v>109606.46</v>
      </c>
      <c r="H76" s="10">
        <f>D76+ян!H76</f>
        <v>136930</v>
      </c>
      <c r="I76" s="59"/>
      <c r="J76" s="8">
        <f>F76+ян!J76</f>
        <v>240074.25</v>
      </c>
      <c r="K76" s="10">
        <f t="shared" si="25"/>
        <v>240074.25</v>
      </c>
      <c r="L76" s="16"/>
      <c r="M76" s="110"/>
      <c r="N76" s="111"/>
    </row>
    <row r="77" spans="1:14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26">F75/F76*1000</f>
        <v>19.750003786273179</v>
      </c>
      <c r="G77" s="10">
        <f t="shared" si="24"/>
        <v>19.750003786273179</v>
      </c>
      <c r="H77" s="16">
        <f>H75/H76*1000</f>
        <v>19.54988680347623</v>
      </c>
      <c r="I77" s="8"/>
      <c r="J77" s="13"/>
      <c r="K77" s="10">
        <f t="shared" si="25"/>
        <v>0</v>
      </c>
      <c r="L77" s="16"/>
      <c r="M77" s="110"/>
      <c r="N77" s="111"/>
    </row>
    <row r="78" spans="1:14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8">
        <v>1568.11</v>
      </c>
      <c r="G78" s="10">
        <f t="shared" si="24"/>
        <v>1568.11</v>
      </c>
      <c r="H78" s="10">
        <f>D78+ян!H78</f>
        <v>2507.2939999999999</v>
      </c>
      <c r="I78" s="8"/>
      <c r="J78" s="8">
        <f>F78+ян!J78</f>
        <v>3265.6639999999998</v>
      </c>
      <c r="K78" s="10">
        <f t="shared" si="25"/>
        <v>3265.6639999999998</v>
      </c>
      <c r="L78" s="16"/>
      <c r="M78" s="110"/>
      <c r="N78" s="111"/>
    </row>
    <row r="79" spans="1:14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79398</v>
      </c>
      <c r="G79" s="10">
        <f t="shared" si="24"/>
        <v>79398</v>
      </c>
      <c r="H79" s="10">
        <f>D79+ян!H79</f>
        <v>127598</v>
      </c>
      <c r="I79" s="59"/>
      <c r="J79" s="8">
        <f>F79+ян!J79</f>
        <v>165438</v>
      </c>
      <c r="K79" s="10">
        <f t="shared" si="25"/>
        <v>165438</v>
      </c>
      <c r="L79" s="16"/>
      <c r="M79" s="110"/>
      <c r="N79" s="111"/>
    </row>
    <row r="80" spans="1:14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27">F78/F79*1000</f>
        <v>19.749993702612155</v>
      </c>
      <c r="G80" s="10">
        <f t="shared" si="24"/>
        <v>19.749993702612155</v>
      </c>
      <c r="H80" s="16">
        <f>H78/H79*1000</f>
        <v>19.649947491339987</v>
      </c>
      <c r="I80" s="8"/>
      <c r="J80" s="13"/>
      <c r="K80" s="10">
        <f t="shared" si="25"/>
        <v>0</v>
      </c>
      <c r="L80" s="16"/>
      <c r="M80" s="110"/>
      <c r="N80" s="111"/>
    </row>
    <row r="81" spans="1:14" ht="36" customHeight="1">
      <c r="A81" s="8"/>
      <c r="B81" s="12" t="s">
        <v>70</v>
      </c>
      <c r="C81" s="8" t="s">
        <v>4</v>
      </c>
      <c r="D81" s="10">
        <v>3651.203</v>
      </c>
      <c r="E81" s="8"/>
      <c r="F81" s="8">
        <v>3165.6880000000001</v>
      </c>
      <c r="G81" s="10">
        <f t="shared" si="24"/>
        <v>3165.6880000000001</v>
      </c>
      <c r="H81" s="10">
        <f>D81+ян!H81</f>
        <v>7302.4059999999999</v>
      </c>
      <c r="I81" s="8"/>
      <c r="J81" s="8">
        <f>F81+ян!J81</f>
        <v>7464.0389999999998</v>
      </c>
      <c r="K81" s="10">
        <f t="shared" si="25"/>
        <v>7464.0389999999998</v>
      </c>
      <c r="L81" s="16"/>
      <c r="M81" s="110"/>
      <c r="N81" s="111"/>
    </row>
    <row r="82" spans="1:14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160288</v>
      </c>
      <c r="G82" s="14">
        <f t="shared" si="24"/>
        <v>160288</v>
      </c>
      <c r="H82" s="10">
        <f>D82+ян!H82</f>
        <v>371624</v>
      </c>
      <c r="I82" s="59"/>
      <c r="J82" s="8">
        <f>F82+ян!J82</f>
        <v>377926</v>
      </c>
      <c r="K82" s="10">
        <f t="shared" si="25"/>
        <v>377926</v>
      </c>
      <c r="L82" s="16"/>
      <c r="M82" s="110"/>
      <c r="N82" s="111"/>
    </row>
    <row r="83" spans="1:14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28">F81/F82*1000</f>
        <v>19.75</v>
      </c>
      <c r="G83" s="10">
        <f t="shared" si="24"/>
        <v>19.75</v>
      </c>
      <c r="H83" s="16">
        <f>H81/H82*1000</f>
        <v>19.64998493100553</v>
      </c>
      <c r="I83" s="8"/>
      <c r="J83" s="13"/>
      <c r="K83" s="10">
        <f t="shared" si="25"/>
        <v>0</v>
      </c>
      <c r="L83" s="16"/>
      <c r="M83" s="110"/>
      <c r="N83" s="111"/>
    </row>
    <row r="84" spans="1:14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16352.148999999999</v>
      </c>
      <c r="G84" s="10">
        <f t="shared" si="24"/>
        <v>16352.148999999999</v>
      </c>
      <c r="H84" s="10">
        <f>D84+ян!H84</f>
        <v>40548.675999999999</v>
      </c>
      <c r="I84" s="8"/>
      <c r="J84" s="8">
        <f>F84+ян!J84</f>
        <v>36303.671999999999</v>
      </c>
      <c r="K84" s="10">
        <f t="shared" si="25"/>
        <v>36303.671999999999</v>
      </c>
      <c r="L84" s="16"/>
      <c r="M84" s="123" t="s">
        <v>297</v>
      </c>
      <c r="N84" s="124"/>
    </row>
    <row r="85" spans="1:14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781278</v>
      </c>
      <c r="G85" s="14">
        <f t="shared" si="24"/>
        <v>781278</v>
      </c>
      <c r="H85" s="10">
        <f>D85+ян!H85</f>
        <v>1925388</v>
      </c>
      <c r="I85" s="59"/>
      <c r="J85" s="8">
        <f>F85+ян!J85</f>
        <v>1734528</v>
      </c>
      <c r="K85" s="10">
        <f t="shared" si="25"/>
        <v>1734528</v>
      </c>
      <c r="L85" s="16"/>
      <c r="M85" s="125"/>
      <c r="N85" s="126"/>
    </row>
    <row r="86" spans="1:14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29">F84/F85*1000</f>
        <v>20.930000588778899</v>
      </c>
      <c r="G86" s="10">
        <f t="shared" si="24"/>
        <v>20.930000588778899</v>
      </c>
      <c r="H86" s="16">
        <f>H84/H85*1000</f>
        <v>21.06000245145394</v>
      </c>
      <c r="I86" s="8"/>
      <c r="J86" s="13"/>
      <c r="K86" s="10">
        <f t="shared" si="25"/>
        <v>0</v>
      </c>
      <c r="L86" s="16"/>
      <c r="M86" s="110"/>
      <c r="N86" s="111"/>
    </row>
    <row r="87" spans="1:14" ht="17.25" customHeight="1">
      <c r="A87" s="47" t="s">
        <v>72</v>
      </c>
      <c r="B87" s="6" t="s">
        <v>73</v>
      </c>
      <c r="C87" s="47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19750.553</v>
      </c>
      <c r="G87" s="10">
        <f t="shared" si="24"/>
        <v>-1138.1959999999963</v>
      </c>
      <c r="H87" s="7">
        <f>H88+H89+H90</f>
        <v>44031.490000000005</v>
      </c>
      <c r="I87" s="7">
        <f>I88+I89+I90+I91</f>
        <v>41777.497999999992</v>
      </c>
      <c r="J87" s="7">
        <f>J88+J89+J90+J91+J92</f>
        <v>37852.911000000007</v>
      </c>
      <c r="K87" s="10">
        <f t="shared" si="25"/>
        <v>-3924.586999999985</v>
      </c>
      <c r="L87" s="16">
        <f t="shared" ref="L87:L151" si="30">K87/I87*100</f>
        <v>-9.3940211546416332</v>
      </c>
      <c r="M87" s="110"/>
      <c r="N87" s="111"/>
    </row>
    <row r="88" spans="1:14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86">
        <f>18490.93-F92-F98</f>
        <v>17711.59</v>
      </c>
      <c r="G88" s="10">
        <f t="shared" si="24"/>
        <v>-1039.4929999999986</v>
      </c>
      <c r="H88" s="10">
        <f>D88+ян!H88</f>
        <v>40065.050000000003</v>
      </c>
      <c r="I88" s="8">
        <f>E88+ян!I88</f>
        <v>37502.165999999997</v>
      </c>
      <c r="J88" s="8">
        <f>F88+ян!J88</f>
        <v>33995.061000000002</v>
      </c>
      <c r="K88" s="10">
        <f t="shared" si="25"/>
        <v>-3507.1049999999959</v>
      </c>
      <c r="L88" s="16">
        <f t="shared" si="30"/>
        <v>-9.3517398435066283</v>
      </c>
      <c r="M88" s="117"/>
      <c r="N88" s="118"/>
    </row>
    <row r="89" spans="1:14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86">
        <v>996.98</v>
      </c>
      <c r="G89" s="10">
        <f t="shared" si="24"/>
        <v>-15.602999999999952</v>
      </c>
      <c r="H89" s="10">
        <f>D89+ян!H89</f>
        <v>2203.576</v>
      </c>
      <c r="I89" s="8">
        <f>E89+ян!I89</f>
        <v>2025.1659999999999</v>
      </c>
      <c r="J89" s="8">
        <f>F89+ян!J89</f>
        <v>1907.192</v>
      </c>
      <c r="K89" s="10">
        <f t="shared" si="25"/>
        <v>-117.97399999999993</v>
      </c>
      <c r="L89" s="16">
        <f t="shared" si="30"/>
        <v>-5.8253990043285313</v>
      </c>
      <c r="M89" s="117"/>
      <c r="N89" s="118"/>
    </row>
    <row r="90" spans="1:14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6">
        <v>550.88400000000001</v>
      </c>
      <c r="G90" s="10">
        <f t="shared" si="24"/>
        <v>-292.94899999999996</v>
      </c>
      <c r="H90" s="10">
        <f>D90+ян!H90</f>
        <v>1762.864</v>
      </c>
      <c r="I90" s="8">
        <f>E90+ян!I90</f>
        <v>1687.6659999999999</v>
      </c>
      <c r="J90" s="8">
        <f>F90+ян!J90</f>
        <v>1058.268</v>
      </c>
      <c r="K90" s="10">
        <f t="shared" si="25"/>
        <v>-629.39799999999991</v>
      </c>
      <c r="L90" s="16">
        <f t="shared" si="30"/>
        <v>-37.293990635587839</v>
      </c>
      <c r="M90" s="49"/>
      <c r="N90" s="50"/>
    </row>
    <row r="91" spans="1:14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7">
        <v>260.58</v>
      </c>
      <c r="G91" s="10">
        <f t="shared" si="24"/>
        <v>-20.670000000000016</v>
      </c>
      <c r="H91" s="10">
        <f>D91+ян!H91</f>
        <v>0</v>
      </c>
      <c r="I91" s="10">
        <f>E91+ян!I91</f>
        <v>562.5</v>
      </c>
      <c r="J91" s="8">
        <f>F91+ян!J91</f>
        <v>499.34100000000001</v>
      </c>
      <c r="K91" s="10">
        <f t="shared" si="25"/>
        <v>-63.158999999999992</v>
      </c>
      <c r="L91" s="16">
        <f t="shared" si="30"/>
        <v>-11.228266666666666</v>
      </c>
      <c r="M91" s="49"/>
      <c r="N91" s="50"/>
    </row>
    <row r="92" spans="1:14" ht="17.25" customHeight="1">
      <c r="A92" s="8"/>
      <c r="B92" s="9" t="s">
        <v>316</v>
      </c>
      <c r="C92" s="8" t="s">
        <v>4</v>
      </c>
      <c r="D92" s="10"/>
      <c r="E92" s="8"/>
      <c r="F92" s="55">
        <v>230.51900000000001</v>
      </c>
      <c r="G92" s="10"/>
      <c r="H92" s="10">
        <f>D92+ян!H92</f>
        <v>0</v>
      </c>
      <c r="I92" s="8">
        <f>E92+ян!I92</f>
        <v>0</v>
      </c>
      <c r="J92" s="8">
        <f>F92+ян!J92</f>
        <v>393.04899999999998</v>
      </c>
      <c r="K92" s="10"/>
      <c r="L92" s="16"/>
      <c r="M92" s="52"/>
      <c r="N92" s="53"/>
    </row>
    <row r="93" spans="1:14" ht="17.25" customHeight="1">
      <c r="A93" s="47" t="s">
        <v>78</v>
      </c>
      <c r="B93" s="6" t="s">
        <v>79</v>
      </c>
      <c r="C93" s="47" t="s">
        <v>4</v>
      </c>
      <c r="D93" s="7">
        <f>D94</f>
        <v>12258.85</v>
      </c>
      <c r="E93" s="21">
        <f>E94</f>
        <v>12219.75</v>
      </c>
      <c r="F93" s="7">
        <f>F94</f>
        <v>11186.638999999999</v>
      </c>
      <c r="G93" s="10">
        <f t="shared" si="24"/>
        <v>-1033.1110000000008</v>
      </c>
      <c r="H93" s="7">
        <f>H94</f>
        <v>24517.7</v>
      </c>
      <c r="I93" s="21">
        <f>I94</f>
        <v>24439.5</v>
      </c>
      <c r="J93" s="7">
        <f>J94</f>
        <v>22001.254000000001</v>
      </c>
      <c r="K93" s="10">
        <f t="shared" si="25"/>
        <v>-2438.2459999999992</v>
      </c>
      <c r="L93" s="16">
        <f t="shared" si="30"/>
        <v>-9.9766607336483926</v>
      </c>
      <c r="M93" s="110"/>
      <c r="N93" s="111"/>
    </row>
    <row r="94" spans="1:14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6">
        <v>11186.638999999999</v>
      </c>
      <c r="G94" s="10">
        <f t="shared" si="24"/>
        <v>-1033.1110000000008</v>
      </c>
      <c r="H94" s="10">
        <f>D94+ян!H94</f>
        <v>24517.7</v>
      </c>
      <c r="I94" s="10">
        <f>E94+ян!I94</f>
        <v>24439.5</v>
      </c>
      <c r="J94" s="8">
        <f>F94+ян!J94</f>
        <v>22001.254000000001</v>
      </c>
      <c r="K94" s="10">
        <f t="shared" si="25"/>
        <v>-2438.2459999999992</v>
      </c>
      <c r="L94" s="16">
        <f t="shared" si="30"/>
        <v>-9.9766607336483926</v>
      </c>
      <c r="M94" s="110"/>
      <c r="N94" s="111"/>
    </row>
    <row r="95" spans="1:14" ht="17.25" customHeight="1">
      <c r="A95" s="47" t="s">
        <v>82</v>
      </c>
      <c r="B95" s="6" t="s">
        <v>83</v>
      </c>
      <c r="C95" s="47" t="s">
        <v>4</v>
      </c>
      <c r="D95" s="7">
        <f t="shared" ref="D95:J95" si="31">D96</f>
        <v>588.22500000000002</v>
      </c>
      <c r="E95" s="7">
        <f t="shared" si="31"/>
        <v>291.66699999999997</v>
      </c>
      <c r="F95" s="7">
        <f t="shared" si="31"/>
        <v>0</v>
      </c>
      <c r="G95" s="10">
        <f t="shared" si="24"/>
        <v>-291.66699999999997</v>
      </c>
      <c r="H95" s="7">
        <f t="shared" si="31"/>
        <v>1176.45</v>
      </c>
      <c r="I95" s="7">
        <f t="shared" si="31"/>
        <v>583.33399999999995</v>
      </c>
      <c r="J95" s="7">
        <f t="shared" si="31"/>
        <v>0.76800000000000002</v>
      </c>
      <c r="K95" s="10">
        <f t="shared" si="25"/>
        <v>-582.56599999999992</v>
      </c>
      <c r="L95" s="16">
        <f t="shared" si="30"/>
        <v>-99.86834300760799</v>
      </c>
      <c r="M95" s="110"/>
      <c r="N95" s="111"/>
    </row>
    <row r="96" spans="1:14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/>
      <c r="G96" s="10">
        <f t="shared" si="24"/>
        <v>-291.66699999999997</v>
      </c>
      <c r="H96" s="10">
        <f>D96+ян!H96</f>
        <v>1176.45</v>
      </c>
      <c r="I96" s="8">
        <f>E96+ян!I96</f>
        <v>583.33399999999995</v>
      </c>
      <c r="J96" s="8">
        <f>F96+ян!J96</f>
        <v>0.76800000000000002</v>
      </c>
      <c r="K96" s="10">
        <f t="shared" si="25"/>
        <v>-582.56599999999992</v>
      </c>
      <c r="L96" s="16">
        <f t="shared" si="30"/>
        <v>-99.86834300760799</v>
      </c>
      <c r="M96" s="117" t="s">
        <v>299</v>
      </c>
      <c r="N96" s="118"/>
    </row>
    <row r="97" spans="1:14" ht="17.25" customHeight="1">
      <c r="A97" s="47" t="s">
        <v>86</v>
      </c>
      <c r="B97" s="6" t="s">
        <v>87</v>
      </c>
      <c r="C97" s="47" t="s">
        <v>4</v>
      </c>
      <c r="D97" s="7">
        <f t="shared" ref="D97" si="32">D98+D99+D103+D104+D109+D110</f>
        <v>2575.1889999999999</v>
      </c>
      <c r="E97" s="7">
        <f>E98+E99+E103+E104+E109+E110</f>
        <v>2562.3330000000001</v>
      </c>
      <c r="F97" s="7">
        <f>F98+F99+F103+F104+F109+F110</f>
        <v>2037.635</v>
      </c>
      <c r="G97" s="10">
        <f t="shared" si="24"/>
        <v>-524.69800000000009</v>
      </c>
      <c r="H97" s="7">
        <f t="shared" ref="H97" si="33">H98+H99+H103+H104+H109+H110</f>
        <v>5150.3779999999997</v>
      </c>
      <c r="I97" s="7">
        <f>I98+I99+I103+I104+I109+I110</f>
        <v>5124.6660000000002</v>
      </c>
      <c r="J97" s="7">
        <f>J98+J99+J103+J104+J109+J110</f>
        <v>3940.2730000000001</v>
      </c>
      <c r="K97" s="10">
        <f t="shared" si="25"/>
        <v>-1184.393</v>
      </c>
      <c r="L97" s="16">
        <f t="shared" si="30"/>
        <v>-23.111613517837064</v>
      </c>
      <c r="M97" s="110"/>
      <c r="N97" s="111"/>
    </row>
    <row r="98" spans="1:14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70">
        <v>548.82100000000003</v>
      </c>
      <c r="G98" s="10">
        <f t="shared" si="24"/>
        <v>5.7380000000000564</v>
      </c>
      <c r="H98" s="10">
        <f>D98+ян!H98</f>
        <v>1252.8340000000001</v>
      </c>
      <c r="I98" s="8">
        <f>E98+ян!I98</f>
        <v>1086.1659999999999</v>
      </c>
      <c r="J98" s="8">
        <f>F98+ян!J98</f>
        <v>1165.8240000000001</v>
      </c>
      <c r="K98" s="10">
        <f t="shared" si="25"/>
        <v>79.658000000000129</v>
      </c>
      <c r="L98" s="16">
        <f t="shared" si="30"/>
        <v>7.3338697768112917</v>
      </c>
      <c r="M98" s="117" t="s">
        <v>298</v>
      </c>
      <c r="N98" s="118"/>
    </row>
    <row r="99" spans="1:14" ht="53.25" customHeight="1">
      <c r="A99" s="8" t="s">
        <v>90</v>
      </c>
      <c r="B99" s="20" t="s">
        <v>242</v>
      </c>
      <c r="C99" s="8" t="s">
        <v>4</v>
      </c>
      <c r="D99" s="10">
        <f t="shared" ref="D99:F99" si="34">D100+D101+D102</f>
        <v>107.703</v>
      </c>
      <c r="E99" s="8">
        <v>107.667</v>
      </c>
      <c r="F99" s="10">
        <f t="shared" si="34"/>
        <v>0</v>
      </c>
      <c r="G99" s="10">
        <f t="shared" si="24"/>
        <v>-107.667</v>
      </c>
      <c r="H99" s="10">
        <f t="shared" ref="H99" si="35">H100+H101+H102</f>
        <v>215.40600000000001</v>
      </c>
      <c r="I99" s="8">
        <f>E99+ян!I99</f>
        <v>215.334</v>
      </c>
      <c r="J99" s="10">
        <f t="shared" ref="J99" si="36">J100+J101+J102</f>
        <v>0</v>
      </c>
      <c r="K99" s="10">
        <f t="shared" si="25"/>
        <v>-215.334</v>
      </c>
      <c r="L99" s="16">
        <f t="shared" si="30"/>
        <v>-100</v>
      </c>
      <c r="M99" s="110"/>
      <c r="N99" s="111"/>
    </row>
    <row r="100" spans="1:14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24"/>
        <v>0</v>
      </c>
      <c r="H100" s="10">
        <f>D100+ян!H100</f>
        <v>90.897999999999996</v>
      </c>
      <c r="I100" s="8"/>
      <c r="J100" s="8">
        <f>F100+ян!J100</f>
        <v>0</v>
      </c>
      <c r="K100" s="10">
        <f t="shared" si="25"/>
        <v>0</v>
      </c>
      <c r="L100" s="16"/>
      <c r="M100" s="110"/>
      <c r="N100" s="111"/>
    </row>
    <row r="101" spans="1:14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24"/>
        <v>0</v>
      </c>
      <c r="H101" s="10">
        <f>D101+ян!H101</f>
        <v>124.508</v>
      </c>
      <c r="I101" s="8"/>
      <c r="J101" s="8">
        <f>F101+ян!J101</f>
        <v>0</v>
      </c>
      <c r="K101" s="10">
        <f t="shared" si="25"/>
        <v>0</v>
      </c>
      <c r="L101" s="16"/>
      <c r="M101" s="110"/>
      <c r="N101" s="111"/>
    </row>
    <row r="102" spans="1:14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24"/>
        <v>0</v>
      </c>
      <c r="H102" s="10">
        <f>D102+ян!H102</f>
        <v>0</v>
      </c>
      <c r="I102" s="8"/>
      <c r="J102" s="8">
        <f>F102+ян!J102</f>
        <v>0</v>
      </c>
      <c r="K102" s="10">
        <f t="shared" si="25"/>
        <v>0</v>
      </c>
      <c r="L102" s="16"/>
      <c r="M102" s="110"/>
      <c r="N102" s="111"/>
    </row>
    <row r="103" spans="1:14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24"/>
        <v>-1.333</v>
      </c>
      <c r="H103" s="10">
        <f>D103+ян!H103</f>
        <v>2.6179999999999999</v>
      </c>
      <c r="I103" s="8">
        <f>E103+ян!I103</f>
        <v>2.6659999999999999</v>
      </c>
      <c r="J103" s="8">
        <f>F103+ян!J103</f>
        <v>0</v>
      </c>
      <c r="K103" s="10">
        <f t="shared" si="25"/>
        <v>-2.6659999999999999</v>
      </c>
      <c r="L103" s="16">
        <f t="shared" si="30"/>
        <v>-100</v>
      </c>
      <c r="M103" s="110"/>
      <c r="N103" s="111"/>
    </row>
    <row r="104" spans="1:14" ht="36" customHeight="1">
      <c r="A104" s="18" t="s">
        <v>105</v>
      </c>
      <c r="B104" s="20" t="s">
        <v>99</v>
      </c>
      <c r="C104" s="8" t="s">
        <v>4</v>
      </c>
      <c r="D104" s="10">
        <f t="shared" ref="D104:F104" si="37">D105+D106+D107+D108</f>
        <v>186.095</v>
      </c>
      <c r="E104" s="10">
        <f t="shared" si="37"/>
        <v>152.833</v>
      </c>
      <c r="F104" s="10">
        <f t="shared" si="37"/>
        <v>88.266000000000005</v>
      </c>
      <c r="G104" s="10">
        <f t="shared" si="24"/>
        <v>-64.566999999999993</v>
      </c>
      <c r="H104" s="10">
        <f t="shared" ref="H104:J104" si="38">H105+H106+H107+H108</f>
        <v>372.19</v>
      </c>
      <c r="I104" s="10">
        <f t="shared" si="38"/>
        <v>305.666</v>
      </c>
      <c r="J104" s="10">
        <f t="shared" si="38"/>
        <v>147.66300000000001</v>
      </c>
      <c r="K104" s="10">
        <f t="shared" si="25"/>
        <v>-158.00299999999999</v>
      </c>
      <c r="L104" s="16">
        <f t="shared" si="30"/>
        <v>-51.691388639887982</v>
      </c>
      <c r="M104" s="110"/>
      <c r="N104" s="111"/>
    </row>
    <row r="105" spans="1:14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24"/>
        <v>-43.582999999999998</v>
      </c>
      <c r="H105" s="10">
        <f>D105+ян!H105</f>
        <v>87.141999999999996</v>
      </c>
      <c r="I105" s="8">
        <f>E105+ян!I105</f>
        <v>87.165999999999997</v>
      </c>
      <c r="J105" s="8">
        <f>F105+ян!J105</f>
        <v>0</v>
      </c>
      <c r="K105" s="10">
        <f t="shared" si="25"/>
        <v>-87.165999999999997</v>
      </c>
      <c r="L105" s="16">
        <f t="shared" si="30"/>
        <v>-100</v>
      </c>
      <c r="M105" s="110"/>
      <c r="N105" s="111"/>
    </row>
    <row r="106" spans="1:14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70">
        <v>88.266000000000005</v>
      </c>
      <c r="G106" s="10">
        <f t="shared" si="24"/>
        <v>5.3490000000000038</v>
      </c>
      <c r="H106" s="10">
        <f>D106+ян!H106</f>
        <v>232.41800000000001</v>
      </c>
      <c r="I106" s="8">
        <f>E106+ян!I106</f>
        <v>165.834</v>
      </c>
      <c r="J106" s="8">
        <f>F106+ян!J106</f>
        <v>147.66300000000001</v>
      </c>
      <c r="K106" s="10">
        <f t="shared" si="25"/>
        <v>-18.170999999999992</v>
      </c>
      <c r="L106" s="16">
        <f t="shared" si="30"/>
        <v>-10.957342885053723</v>
      </c>
      <c r="M106" s="112" t="s">
        <v>287</v>
      </c>
      <c r="N106" s="113"/>
    </row>
    <row r="107" spans="1:14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8"/>
      <c r="G107" s="10">
        <f t="shared" si="24"/>
        <v>-26.332999999999998</v>
      </c>
      <c r="H107" s="10">
        <f>D107+ян!H107</f>
        <v>52.63</v>
      </c>
      <c r="I107" s="8">
        <f>E107+ян!I107</f>
        <v>52.665999999999997</v>
      </c>
      <c r="J107" s="8">
        <f>F107+ян!J107</f>
        <v>0</v>
      </c>
      <c r="K107" s="10">
        <f t="shared" si="25"/>
        <v>-52.665999999999997</v>
      </c>
      <c r="L107" s="16">
        <f t="shared" si="30"/>
        <v>-100</v>
      </c>
      <c r="M107" s="110"/>
      <c r="N107" s="111"/>
    </row>
    <row r="108" spans="1:14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24"/>
        <v>0</v>
      </c>
      <c r="H108" s="10">
        <f>D108+ян!H108</f>
        <v>0</v>
      </c>
      <c r="I108" s="8">
        <f>E108+ян!I108</f>
        <v>0</v>
      </c>
      <c r="J108" s="8">
        <f>F108+ян!J108</f>
        <v>0</v>
      </c>
      <c r="K108" s="10">
        <f t="shared" si="25"/>
        <v>0</v>
      </c>
      <c r="L108" s="16" t="e">
        <f t="shared" si="30"/>
        <v>#DIV/0!</v>
      </c>
      <c r="M108" s="110"/>
      <c r="N108" s="111"/>
    </row>
    <row r="109" spans="1:14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6">
        <f>15.207+12.225+0.256+1.801</f>
        <v>29.489000000000001</v>
      </c>
      <c r="G109" s="10">
        <f t="shared" si="24"/>
        <v>-28.678000000000001</v>
      </c>
      <c r="H109" s="10">
        <f>D109+ян!H109</f>
        <v>182.96799999999999</v>
      </c>
      <c r="I109" s="8">
        <f>E109+ян!I109</f>
        <v>116.334</v>
      </c>
      <c r="J109" s="8">
        <f>F109+ян!J109</f>
        <v>64.537999999999997</v>
      </c>
      <c r="K109" s="10">
        <f t="shared" si="25"/>
        <v>-51.796000000000006</v>
      </c>
      <c r="L109" s="16">
        <f t="shared" si="30"/>
        <v>-44.523527085804673</v>
      </c>
      <c r="M109" s="110"/>
      <c r="N109" s="111"/>
    </row>
    <row r="110" spans="1:14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1371.059</v>
      </c>
      <c r="G110" s="10">
        <f t="shared" si="24"/>
        <v>-328.19100000000003</v>
      </c>
      <c r="H110" s="10">
        <f>H111+H115+H119+H123+H124+H125+H126+H127+H128+H129+H130+H131+H132+H133+H134+H135</f>
        <v>3124.3619999999996</v>
      </c>
      <c r="I110" s="10">
        <f>I111+I115+I119+I123+I124+I125+I126+I127+I128+I129+I130+I131+I132+I133+I134+I135+I136+I137</f>
        <v>3398.5</v>
      </c>
      <c r="J110" s="10">
        <f>J111+J115+J119+J123+J124+J125+J126+J127+J128+J129+J130+J131+J132+J133+J134+J135+J136+J137</f>
        <v>2562.248</v>
      </c>
      <c r="K110" s="10">
        <f t="shared" si="25"/>
        <v>-836.25199999999995</v>
      </c>
      <c r="L110" s="16">
        <f t="shared" si="30"/>
        <v>-24.606502868912756</v>
      </c>
      <c r="M110" s="116"/>
      <c r="N110" s="111"/>
    </row>
    <row r="111" spans="1:14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293.84100000000001</v>
      </c>
      <c r="G111" s="10">
        <f t="shared" si="24"/>
        <v>-137.57599999999996</v>
      </c>
      <c r="H111" s="10">
        <f>D111+ян!H111</f>
        <v>862.76199999999994</v>
      </c>
      <c r="I111" s="8">
        <f>E111+ян!I111</f>
        <v>862.83399999999995</v>
      </c>
      <c r="J111" s="10">
        <f>J112+J113+J114</f>
        <v>515.48099999999999</v>
      </c>
      <c r="K111" s="10">
        <f t="shared" si="25"/>
        <v>-347.35299999999995</v>
      </c>
      <c r="L111" s="16">
        <f t="shared" si="30"/>
        <v>-40.25722213079225</v>
      </c>
      <c r="M111" s="121"/>
      <c r="N111" s="122"/>
    </row>
    <row r="112" spans="1:14" ht="17.25" customHeight="1">
      <c r="A112" s="18"/>
      <c r="B112" s="9" t="s">
        <v>221</v>
      </c>
      <c r="C112" s="8" t="s">
        <v>4</v>
      </c>
      <c r="D112" s="10"/>
      <c r="E112" s="8"/>
      <c r="F112" s="62">
        <v>202.02</v>
      </c>
      <c r="G112" s="10">
        <f t="shared" si="24"/>
        <v>202.02</v>
      </c>
      <c r="H112" s="10"/>
      <c r="I112" s="8"/>
      <c r="J112" s="8">
        <f>F112+ян!J112</f>
        <v>413.65999999999997</v>
      </c>
      <c r="K112" s="10">
        <f t="shared" si="25"/>
        <v>413.65999999999997</v>
      </c>
      <c r="L112" s="16"/>
      <c r="M112" s="110"/>
      <c r="N112" s="111"/>
    </row>
    <row r="113" spans="1:14" ht="36" customHeight="1">
      <c r="A113" s="18"/>
      <c r="B113" s="9" t="s">
        <v>222</v>
      </c>
      <c r="C113" s="8" t="s">
        <v>4</v>
      </c>
      <c r="D113" s="10"/>
      <c r="E113" s="8"/>
      <c r="F113" s="54">
        <v>91.820999999999998</v>
      </c>
      <c r="G113" s="10">
        <f t="shared" si="24"/>
        <v>91.820999999999998</v>
      </c>
      <c r="H113" s="10"/>
      <c r="I113" s="8"/>
      <c r="J113" s="8">
        <f>F113+ян!J113</f>
        <v>101.821</v>
      </c>
      <c r="K113" s="10">
        <f t="shared" si="25"/>
        <v>101.821</v>
      </c>
      <c r="L113" s="16"/>
      <c r="M113" s="110"/>
      <c r="N113" s="111"/>
    </row>
    <row r="114" spans="1:14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24"/>
        <v>0</v>
      </c>
      <c r="H114" s="10"/>
      <c r="I114" s="8"/>
      <c r="J114" s="8">
        <f>F114+ян!J114</f>
        <v>0</v>
      </c>
      <c r="K114" s="10">
        <f t="shared" si="25"/>
        <v>0</v>
      </c>
      <c r="L114" s="16"/>
      <c r="M114" s="110"/>
      <c r="N114" s="111"/>
    </row>
    <row r="115" spans="1:14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39">D116+D117+D118</f>
        <v>121.34400000000001</v>
      </c>
      <c r="E115" s="10">
        <v>121.333</v>
      </c>
      <c r="F115" s="10">
        <f t="shared" si="39"/>
        <v>0</v>
      </c>
      <c r="G115" s="10">
        <f t="shared" si="24"/>
        <v>-121.333</v>
      </c>
      <c r="H115" s="10">
        <f t="shared" ref="H115" si="40">H116+H117+H118</f>
        <v>242.68800000000002</v>
      </c>
      <c r="I115" s="8">
        <f>E115+ян!I115</f>
        <v>242.666</v>
      </c>
      <c r="J115" s="10">
        <f t="shared" ref="J115" si="41">J116+J117+J118</f>
        <v>0</v>
      </c>
      <c r="K115" s="10">
        <f t="shared" si="25"/>
        <v>-242.666</v>
      </c>
      <c r="L115" s="16">
        <f t="shared" si="30"/>
        <v>-100</v>
      </c>
      <c r="M115" s="110"/>
      <c r="N115" s="111"/>
    </row>
    <row r="116" spans="1:14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24"/>
        <v>0</v>
      </c>
      <c r="H116" s="10">
        <f>D116+ян!H116</f>
        <v>172.64400000000001</v>
      </c>
      <c r="I116" s="8"/>
      <c r="J116" s="8">
        <f>F116+ян!J116</f>
        <v>0</v>
      </c>
      <c r="K116" s="10">
        <f t="shared" si="25"/>
        <v>0</v>
      </c>
      <c r="L116" s="16"/>
      <c r="M116" s="110"/>
      <c r="N116" s="111"/>
    </row>
    <row r="117" spans="1:14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24"/>
        <v>0</v>
      </c>
      <c r="H117" s="10">
        <f>D117+ян!H117</f>
        <v>63.52</v>
      </c>
      <c r="I117" s="8"/>
      <c r="J117" s="8">
        <f>F117+ян!J117</f>
        <v>0</v>
      </c>
      <c r="K117" s="10">
        <f t="shared" si="25"/>
        <v>0</v>
      </c>
      <c r="L117" s="16"/>
      <c r="M117" s="110"/>
      <c r="N117" s="111"/>
    </row>
    <row r="118" spans="1:14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24"/>
        <v>0</v>
      </c>
      <c r="H118" s="10">
        <f>D118+ян!H118</f>
        <v>6.524</v>
      </c>
      <c r="I118" s="8"/>
      <c r="J118" s="8">
        <f>F118+ян!J118</f>
        <v>0</v>
      </c>
      <c r="K118" s="10">
        <f t="shared" si="25"/>
        <v>0</v>
      </c>
      <c r="L118" s="16"/>
      <c r="M118" s="110"/>
      <c r="N118" s="111"/>
    </row>
    <row r="119" spans="1:14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62">
        <f>F120</f>
        <v>476.36</v>
      </c>
      <c r="G119" s="10">
        <f t="shared" si="24"/>
        <v>119.86000000000001</v>
      </c>
      <c r="H119" s="10">
        <f>H120</f>
        <v>761.69799999999998</v>
      </c>
      <c r="I119" s="10">
        <f>E119+ян!I119</f>
        <v>713</v>
      </c>
      <c r="J119" s="10">
        <f>J120</f>
        <v>799.17200000000003</v>
      </c>
      <c r="K119" s="10">
        <f t="shared" si="25"/>
        <v>86.172000000000025</v>
      </c>
      <c r="L119" s="16">
        <f t="shared" si="30"/>
        <v>12.08583450210379</v>
      </c>
      <c r="M119" s="110"/>
      <c r="N119" s="111"/>
    </row>
    <row r="120" spans="1:14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476.36</v>
      </c>
      <c r="G120" s="10">
        <f t="shared" si="24"/>
        <v>119.86000000000001</v>
      </c>
      <c r="H120" s="10">
        <f>D120+ян!H120</f>
        <v>761.69799999999998</v>
      </c>
      <c r="I120" s="10">
        <f>I122*I121</f>
        <v>713</v>
      </c>
      <c r="J120" s="8">
        <f>F120+ян!J120</f>
        <v>799.17200000000003</v>
      </c>
      <c r="K120" s="10">
        <f t="shared" si="25"/>
        <v>86.172000000000025</v>
      </c>
      <c r="L120" s="16">
        <f t="shared" si="30"/>
        <v>12.08583450210379</v>
      </c>
      <c r="M120" s="110"/>
      <c r="N120" s="111"/>
    </row>
    <row r="121" spans="1:14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952.72</v>
      </c>
      <c r="G121" s="10">
        <f t="shared" si="24"/>
        <v>239.72000000000003</v>
      </c>
      <c r="H121" s="10">
        <f>D121+ян!H121</f>
        <v>1523.3979999999999</v>
      </c>
      <c r="I121" s="10">
        <f>E121+ян!I121</f>
        <v>1426</v>
      </c>
      <c r="J121" s="8">
        <f>F121+ян!J121</f>
        <v>1598.3430000000001</v>
      </c>
      <c r="K121" s="10">
        <f t="shared" si="25"/>
        <v>172.34300000000007</v>
      </c>
      <c r="L121" s="16">
        <f t="shared" si="30"/>
        <v>12.085764375876582</v>
      </c>
      <c r="M121" s="110"/>
      <c r="N121" s="111"/>
    </row>
    <row r="122" spans="1:14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24"/>
        <v>0</v>
      </c>
      <c r="H122" s="11">
        <v>0.5</v>
      </c>
      <c r="I122" s="11">
        <v>0.5</v>
      </c>
      <c r="J122" s="11">
        <v>0.5</v>
      </c>
      <c r="K122" s="10">
        <f t="shared" si="25"/>
        <v>0</v>
      </c>
      <c r="L122" s="16">
        <f t="shared" si="30"/>
        <v>0</v>
      </c>
      <c r="M122" s="110"/>
      <c r="N122" s="111"/>
    </row>
    <row r="123" spans="1:14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24"/>
        <v>-1.083</v>
      </c>
      <c r="H123" s="10">
        <f>D123+ян!H123</f>
        <v>2.2240000000000002</v>
      </c>
      <c r="I123" s="8">
        <f>E123+ян!I123</f>
        <v>2.1659999999999999</v>
      </c>
      <c r="J123" s="8">
        <f>F123+ян!J123</f>
        <v>0</v>
      </c>
      <c r="K123" s="10">
        <f t="shared" si="25"/>
        <v>-2.1659999999999999</v>
      </c>
      <c r="L123" s="16">
        <f t="shared" si="30"/>
        <v>-100</v>
      </c>
      <c r="M123" s="110"/>
      <c r="N123" s="111"/>
    </row>
    <row r="124" spans="1:14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62">
        <v>45</v>
      </c>
      <c r="G124" s="10">
        <f t="shared" si="24"/>
        <v>-7.1670000000000016</v>
      </c>
      <c r="H124" s="10">
        <f>D124+ян!H124</f>
        <v>106.34</v>
      </c>
      <c r="I124" s="8">
        <f>E124+ян!I124</f>
        <v>104.334</v>
      </c>
      <c r="J124" s="8">
        <f>F124+ян!J124</f>
        <v>90</v>
      </c>
      <c r="K124" s="10">
        <f t="shared" si="25"/>
        <v>-14.334000000000003</v>
      </c>
      <c r="L124" s="16">
        <f t="shared" si="30"/>
        <v>-13.738570360572776</v>
      </c>
      <c r="M124" s="110"/>
      <c r="N124" s="111"/>
    </row>
    <row r="125" spans="1:14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247.925+175.663</f>
        <v>423.58800000000002</v>
      </c>
      <c r="G125" s="10">
        <f t="shared" si="24"/>
        <v>12.254999999999995</v>
      </c>
      <c r="H125" s="10">
        <f>D125+ян!H125</f>
        <v>822.7</v>
      </c>
      <c r="I125" s="8">
        <f>E125+ян!I125</f>
        <v>822.66600000000005</v>
      </c>
      <c r="J125" s="8">
        <f>F125+ян!J125</f>
        <v>910.26300000000003</v>
      </c>
      <c r="K125" s="10">
        <f t="shared" si="25"/>
        <v>87.59699999999998</v>
      </c>
      <c r="L125" s="16">
        <f t="shared" si="30"/>
        <v>10.64794217823515</v>
      </c>
      <c r="M125" s="112" t="s">
        <v>294</v>
      </c>
      <c r="N125" s="113"/>
    </row>
    <row r="126" spans="1:14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24"/>
        <v>4.4329999999999998</v>
      </c>
      <c r="H126" s="10">
        <f>D126+ян!H126</f>
        <v>97.408000000000001</v>
      </c>
      <c r="I126" s="8">
        <f>E126+ян!I126</f>
        <v>97.334000000000003</v>
      </c>
      <c r="J126" s="8">
        <f>F126+ян!J126</f>
        <v>53.1</v>
      </c>
      <c r="K126" s="10">
        <f t="shared" si="25"/>
        <v>-44.234000000000002</v>
      </c>
      <c r="L126" s="16">
        <f t="shared" si="30"/>
        <v>-45.445579139868912</v>
      </c>
      <c r="M126" s="110"/>
      <c r="N126" s="111"/>
    </row>
    <row r="127" spans="1:14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8"/>
      <c r="G127" s="10">
        <f t="shared" si="24"/>
        <v>-38</v>
      </c>
      <c r="H127" s="10">
        <f>D127+ян!H127</f>
        <v>76.025999999999996</v>
      </c>
      <c r="I127" s="10">
        <f>E127+ян!I127</f>
        <v>76</v>
      </c>
      <c r="J127" s="8">
        <f>F127+ян!J127</f>
        <v>0</v>
      </c>
      <c r="K127" s="10">
        <f t="shared" si="25"/>
        <v>-76</v>
      </c>
      <c r="L127" s="16">
        <f t="shared" si="30"/>
        <v>-100</v>
      </c>
      <c r="M127" s="110"/>
      <c r="N127" s="111"/>
    </row>
    <row r="128" spans="1:14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24"/>
        <v>0</v>
      </c>
      <c r="H128" s="10">
        <f>D128+ян!H128</f>
        <v>0</v>
      </c>
      <c r="I128" s="8">
        <f>E128+ян!I128</f>
        <v>0</v>
      </c>
      <c r="J128" s="8">
        <f>F128+ян!J128</f>
        <v>35.892000000000003</v>
      </c>
      <c r="K128" s="10">
        <f t="shared" si="25"/>
        <v>35.892000000000003</v>
      </c>
      <c r="L128" s="16" t="e">
        <f t="shared" si="30"/>
        <v>#DIV/0!</v>
      </c>
      <c r="M128" s="110"/>
      <c r="N128" s="111"/>
    </row>
    <row r="129" spans="1:14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24"/>
        <v>0</v>
      </c>
      <c r="H129" s="10">
        <f>D129+ян!H129</f>
        <v>0</v>
      </c>
      <c r="I129" s="8">
        <f>E129+ян!I129</f>
        <v>0</v>
      </c>
      <c r="J129" s="8">
        <f>F129+ян!J129</f>
        <v>0</v>
      </c>
      <c r="K129" s="10">
        <f t="shared" si="25"/>
        <v>0</v>
      </c>
      <c r="L129" s="16" t="e">
        <f t="shared" si="30"/>
        <v>#DIV/0!</v>
      </c>
      <c r="M129" s="110"/>
      <c r="N129" s="111"/>
    </row>
    <row r="130" spans="1:14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24"/>
        <v>0</v>
      </c>
      <c r="H130" s="10">
        <f>D130+ян!H130</f>
        <v>0</v>
      </c>
      <c r="I130" s="8">
        <f>E130+ян!I130</f>
        <v>0</v>
      </c>
      <c r="J130" s="8">
        <f>F130+ян!J130</f>
        <v>0</v>
      </c>
      <c r="K130" s="10">
        <f t="shared" si="25"/>
        <v>0</v>
      </c>
      <c r="L130" s="16" t="e">
        <f t="shared" si="30"/>
        <v>#DIV/0!</v>
      </c>
      <c r="M130" s="112" t="s">
        <v>288</v>
      </c>
      <c r="N130" s="113"/>
    </row>
    <row r="131" spans="1:14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8"/>
      <c r="G131" s="10">
        <f t="shared" si="24"/>
        <v>-69.75</v>
      </c>
      <c r="H131" s="10">
        <f>D131+ян!H131</f>
        <v>139.566</v>
      </c>
      <c r="I131" s="10">
        <f>E131+ян!I131</f>
        <v>139.5</v>
      </c>
      <c r="J131" s="8">
        <f>F131+ян!J131</f>
        <v>0</v>
      </c>
      <c r="K131" s="10">
        <f t="shared" si="25"/>
        <v>-139.5</v>
      </c>
      <c r="L131" s="16">
        <f t="shared" si="30"/>
        <v>-100</v>
      </c>
      <c r="M131" s="110"/>
      <c r="N131" s="111"/>
    </row>
    <row r="132" spans="1:14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24"/>
        <v>0</v>
      </c>
      <c r="H132" s="10">
        <f>D132+ян!H132</f>
        <v>0</v>
      </c>
      <c r="I132" s="8">
        <f>E132+ян!I132</f>
        <v>0</v>
      </c>
      <c r="J132" s="8">
        <f>F132+ян!J132</f>
        <v>0</v>
      </c>
      <c r="K132" s="10">
        <f t="shared" si="25"/>
        <v>0</v>
      </c>
      <c r="L132" s="16"/>
      <c r="M132" s="110"/>
      <c r="N132" s="111"/>
    </row>
    <row r="133" spans="1:14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24"/>
        <v>0</v>
      </c>
      <c r="H133" s="10">
        <f>D133+ян!H133</f>
        <v>0</v>
      </c>
      <c r="I133" s="8">
        <f>E133+ян!I133</f>
        <v>0</v>
      </c>
      <c r="J133" s="8">
        <f>F133+ян!J133</f>
        <v>0</v>
      </c>
      <c r="K133" s="10">
        <f t="shared" si="25"/>
        <v>0</v>
      </c>
      <c r="L133" s="16"/>
      <c r="M133" s="110"/>
      <c r="N133" s="111"/>
    </row>
    <row r="134" spans="1:14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24"/>
        <v>-6.5</v>
      </c>
      <c r="H134" s="10">
        <f>D134+ян!H134</f>
        <v>12.95</v>
      </c>
      <c r="I134" s="10">
        <f>E134+ян!I134</f>
        <v>13</v>
      </c>
      <c r="J134" s="8">
        <f>F134+ян!J134</f>
        <v>0</v>
      </c>
      <c r="K134" s="10">
        <f t="shared" si="25"/>
        <v>-13</v>
      </c>
      <c r="L134" s="16">
        <f t="shared" si="30"/>
        <v>-100</v>
      </c>
      <c r="M134" s="110"/>
      <c r="N134" s="111"/>
    </row>
    <row r="135" spans="1:14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24"/>
        <v>0</v>
      </c>
      <c r="H135" s="10">
        <f>D135+ян!H135</f>
        <v>0</v>
      </c>
      <c r="I135" s="8">
        <f>E135+ян!I135</f>
        <v>0</v>
      </c>
      <c r="J135" s="8">
        <f>F135+ян!J135</f>
        <v>0</v>
      </c>
      <c r="K135" s="10">
        <f t="shared" si="25"/>
        <v>0</v>
      </c>
      <c r="L135" s="16"/>
      <c r="M135" s="110"/>
      <c r="N135" s="111"/>
    </row>
    <row r="136" spans="1:14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79.17</v>
      </c>
      <c r="G136" s="10">
        <f t="shared" si="24"/>
        <v>3.0000000000001137E-3</v>
      </c>
      <c r="H136" s="10">
        <f>D136+ян!H136</f>
        <v>0</v>
      </c>
      <c r="I136" s="8">
        <f>E136+ян!I136</f>
        <v>158.334</v>
      </c>
      <c r="J136" s="8">
        <f>F136+ян!J136</f>
        <v>158.34</v>
      </c>
      <c r="K136" s="10">
        <f t="shared" si="25"/>
        <v>6.0000000000002274E-3</v>
      </c>
      <c r="L136" s="16">
        <f t="shared" si="30"/>
        <v>3.789457728599181E-3</v>
      </c>
      <c r="M136" s="45"/>
      <c r="N136" s="46"/>
    </row>
    <row r="137" spans="1:14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8"/>
      <c r="G137" s="10">
        <f t="shared" si="24"/>
        <v>-83.332999999999998</v>
      </c>
      <c r="H137" s="10">
        <f>D137+ян!H137</f>
        <v>0</v>
      </c>
      <c r="I137" s="8">
        <f>E137+ян!I137</f>
        <v>166.666</v>
      </c>
      <c r="J137" s="8">
        <f>F137+ян!J137</f>
        <v>0</v>
      </c>
      <c r="K137" s="10">
        <f t="shared" si="25"/>
        <v>-166.666</v>
      </c>
      <c r="L137" s="16">
        <f t="shared" si="30"/>
        <v>-100</v>
      </c>
      <c r="M137" s="45"/>
      <c r="N137" s="46"/>
    </row>
    <row r="138" spans="1:14" ht="17.25" customHeight="1">
      <c r="A138" s="47" t="s">
        <v>126</v>
      </c>
      <c r="B138" s="6" t="s">
        <v>127</v>
      </c>
      <c r="C138" s="8" t="s">
        <v>4</v>
      </c>
      <c r="D138" s="7">
        <f t="shared" ref="D138:J138" si="42">D139</f>
        <v>3385.116</v>
      </c>
      <c r="E138" s="7">
        <f t="shared" si="42"/>
        <v>2989.2490000000003</v>
      </c>
      <c r="F138" s="7">
        <f t="shared" si="42"/>
        <v>2310.3860000000009</v>
      </c>
      <c r="G138" s="10">
        <f t="shared" si="24"/>
        <v>-678.86299999999937</v>
      </c>
      <c r="H138" s="7">
        <f t="shared" si="42"/>
        <v>6770.232</v>
      </c>
      <c r="I138" s="7">
        <f t="shared" si="42"/>
        <v>5978.4980000000005</v>
      </c>
      <c r="J138" s="7">
        <f t="shared" si="42"/>
        <v>4346.1559999999999</v>
      </c>
      <c r="K138" s="10">
        <f t="shared" si="25"/>
        <v>-1632.3420000000006</v>
      </c>
      <c r="L138" s="16">
        <f t="shared" si="30"/>
        <v>-27.30354681058688</v>
      </c>
      <c r="M138" s="110"/>
      <c r="N138" s="111"/>
    </row>
    <row r="139" spans="1:14" ht="17.25" customHeight="1">
      <c r="A139" s="47">
        <v>6</v>
      </c>
      <c r="B139" s="6" t="s">
        <v>128</v>
      </c>
      <c r="C139" s="47" t="s">
        <v>4</v>
      </c>
      <c r="D139" s="7">
        <f>D140+D145+D146+D147+D148+D149+D150+D151+D154+D156+D172+D176+D177+D179+D184+D183+D188</f>
        <v>3385.116</v>
      </c>
      <c r="E139" s="7">
        <f t="shared" ref="E139:F139" si="43">E140+E145+E146+E147+E148+E149+E150+E151+E154+E156+E172+E176+E177+E179+E184+E183+E188</f>
        <v>2989.2490000000003</v>
      </c>
      <c r="F139" s="7">
        <f t="shared" si="43"/>
        <v>2310.3860000000009</v>
      </c>
      <c r="G139" s="10">
        <f>F139-E139</f>
        <v>-678.86299999999937</v>
      </c>
      <c r="H139" s="7">
        <f t="shared" ref="H139" si="44">H140+H145+H146+H147+H148+H149+H150+H151+H154+H156+H172+H176+H177+H179+H184+H183+H188</f>
        <v>6770.232</v>
      </c>
      <c r="I139" s="7">
        <f t="shared" ref="I139" si="45">I140+I145+I146+I147+I148+I149+I150+I151+I154+I156+I172+I176+I177+I179+I184+I183+I188</f>
        <v>5978.4980000000005</v>
      </c>
      <c r="J139" s="7">
        <f t="shared" ref="J139" si="46">J140+J145+J146+J147+J148+J149+J150+J151+J154+J156+J172+J176+J177+J179+J184+J183+J188</f>
        <v>4346.1559999999999</v>
      </c>
      <c r="K139" s="10">
        <f t="shared" si="25"/>
        <v>-1632.3420000000006</v>
      </c>
      <c r="L139" s="16">
        <f t="shared" si="30"/>
        <v>-27.30354681058688</v>
      </c>
      <c r="M139" s="110"/>
      <c r="N139" s="111"/>
    </row>
    <row r="140" spans="1:14" ht="17.25" customHeight="1">
      <c r="A140" s="47" t="s">
        <v>129</v>
      </c>
      <c r="B140" s="6" t="s">
        <v>130</v>
      </c>
      <c r="C140" s="47" t="s">
        <v>4</v>
      </c>
      <c r="D140" s="7">
        <f t="shared" ref="D140:F140" si="47">D141+D142</f>
        <v>97.608999999999995</v>
      </c>
      <c r="E140" s="7">
        <f t="shared" si="47"/>
        <v>97.582999999999998</v>
      </c>
      <c r="F140" s="7">
        <f t="shared" si="47"/>
        <v>42.51</v>
      </c>
      <c r="G140" s="10">
        <f t="shared" ref="G140:G204" si="48">F140-E140</f>
        <v>-55.073</v>
      </c>
      <c r="H140" s="7">
        <f t="shared" ref="H140:J140" si="49">H141+H142</f>
        <v>195.21799999999999</v>
      </c>
      <c r="I140" s="7">
        <f t="shared" si="49"/>
        <v>195.166</v>
      </c>
      <c r="J140" s="7">
        <f t="shared" si="49"/>
        <v>210.06799999999998</v>
      </c>
      <c r="K140" s="10">
        <f t="shared" ref="K140:K204" si="50">J140-I140</f>
        <v>14.901999999999987</v>
      </c>
      <c r="L140" s="16">
        <f t="shared" si="30"/>
        <v>7.6355512742998206</v>
      </c>
      <c r="M140" s="110"/>
      <c r="N140" s="111"/>
    </row>
    <row r="141" spans="1:14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87">
        <v>42.51</v>
      </c>
      <c r="G141" s="10">
        <f t="shared" si="48"/>
        <v>9.9999999999980105E-3</v>
      </c>
      <c r="H141" s="10">
        <f>D141+ян!H141</f>
        <v>85.105999999999995</v>
      </c>
      <c r="I141" s="10">
        <f>E141+ян!I141</f>
        <v>85</v>
      </c>
      <c r="J141" s="8">
        <f>F141+ян!J141</f>
        <v>85.02</v>
      </c>
      <c r="K141" s="10">
        <f t="shared" si="50"/>
        <v>1.9999999999996021E-2</v>
      </c>
      <c r="L141" s="16">
        <f t="shared" si="30"/>
        <v>2.3529411764701202E-2</v>
      </c>
      <c r="M141" s="110"/>
      <c r="N141" s="111"/>
    </row>
    <row r="142" spans="1:14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48"/>
        <v>-55.082999999999998</v>
      </c>
      <c r="H142" s="10">
        <f>D142+ян!H142</f>
        <v>110.11199999999999</v>
      </c>
      <c r="I142" s="8">
        <f>E142+ян!I142</f>
        <v>110.166</v>
      </c>
      <c r="J142" s="8">
        <f>F142+ян!J142</f>
        <v>125.048</v>
      </c>
      <c r="K142" s="10">
        <f t="shared" si="50"/>
        <v>14.882000000000005</v>
      </c>
      <c r="L142" s="16">
        <f t="shared" si="30"/>
        <v>13.508705045113741</v>
      </c>
      <c r="M142" s="110"/>
      <c r="N142" s="111"/>
    </row>
    <row r="143" spans="1:14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48"/>
        <v>-2817</v>
      </c>
      <c r="H143" s="10">
        <f>D143+ян!H143</f>
        <v>5633.3339999999998</v>
      </c>
      <c r="I143" s="59"/>
      <c r="J143" s="8">
        <f>F143+ян!J143</f>
        <v>0</v>
      </c>
      <c r="K143" s="10">
        <f t="shared" si="50"/>
        <v>0</v>
      </c>
      <c r="L143" s="16"/>
      <c r="M143" s="110"/>
      <c r="N143" s="111"/>
    </row>
    <row r="144" spans="1:14" ht="17.25" customHeight="1">
      <c r="A144" s="8"/>
      <c r="B144" s="12" t="s">
        <v>15</v>
      </c>
      <c r="C144" s="13" t="s">
        <v>16</v>
      </c>
      <c r="D144" s="16">
        <f t="shared" ref="D144:F144" si="51">D142/D143*1000</f>
        <v>19.546506562543602</v>
      </c>
      <c r="E144" s="16">
        <f t="shared" si="51"/>
        <v>19.553780617678381</v>
      </c>
      <c r="F144" s="16" t="e">
        <f t="shared" si="51"/>
        <v>#DIV/0!</v>
      </c>
      <c r="G144" s="10" t="e">
        <f t="shared" si="48"/>
        <v>#DIV/0!</v>
      </c>
      <c r="H144" s="16">
        <f t="shared" ref="H144" si="52">H142/H143*1000</f>
        <v>19.546506562543602</v>
      </c>
      <c r="I144" s="8"/>
      <c r="J144" s="13"/>
      <c r="K144" s="10">
        <f t="shared" si="50"/>
        <v>0</v>
      </c>
      <c r="L144" s="16"/>
      <c r="M144" s="110"/>
      <c r="N144" s="111"/>
    </row>
    <row r="145" spans="1:14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87">
        <f>1437.594-F149</f>
        <v>1300.1220000000001</v>
      </c>
      <c r="G145" s="10">
        <f t="shared" si="48"/>
        <v>-116.29499999999985</v>
      </c>
      <c r="H145" s="10">
        <f>D145+ян!H145</f>
        <v>3828.7159999999999</v>
      </c>
      <c r="I145" s="8">
        <f>E145+ян!I145</f>
        <v>2832.8339999999998</v>
      </c>
      <c r="J145" s="8">
        <f>F145+ян!J145</f>
        <v>2254.172</v>
      </c>
      <c r="K145" s="10">
        <f t="shared" si="50"/>
        <v>-578.66199999999981</v>
      </c>
      <c r="L145" s="16">
        <f t="shared" si="30"/>
        <v>-20.426964658006781</v>
      </c>
      <c r="M145" s="117"/>
      <c r="N145" s="118"/>
    </row>
    <row r="146" spans="1:14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6">
        <v>83.793000000000006</v>
      </c>
      <c r="G146" s="10">
        <f t="shared" si="48"/>
        <v>7.2930000000000064</v>
      </c>
      <c r="H146" s="10">
        <f>D146+ян!H146</f>
        <v>210.58</v>
      </c>
      <c r="I146" s="10">
        <f>E146+ян!I146</f>
        <v>153</v>
      </c>
      <c r="J146" s="8">
        <f>F146+ян!J146</f>
        <v>143.244</v>
      </c>
      <c r="K146" s="10">
        <f t="shared" si="50"/>
        <v>-9.7560000000000002</v>
      </c>
      <c r="L146" s="16">
        <f t="shared" si="30"/>
        <v>-6.3764705882352946</v>
      </c>
      <c r="M146" s="117"/>
      <c r="N146" s="118"/>
    </row>
    <row r="147" spans="1:14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7">
        <v>40.97</v>
      </c>
      <c r="G147" s="10">
        <f t="shared" si="48"/>
        <v>-22.78</v>
      </c>
      <c r="H147" s="10">
        <f>D147+ян!H147</f>
        <v>168.464</v>
      </c>
      <c r="I147" s="10">
        <f>E147+ян!I147</f>
        <v>127.5</v>
      </c>
      <c r="J147" s="8">
        <f>F147+ян!J147</f>
        <v>67.896999999999991</v>
      </c>
      <c r="K147" s="10">
        <f t="shared" si="50"/>
        <v>-59.603000000000009</v>
      </c>
      <c r="L147" s="16">
        <f t="shared" si="30"/>
        <v>-46.747450980392166</v>
      </c>
      <c r="M147" s="49"/>
      <c r="N147" s="50"/>
    </row>
    <row r="148" spans="1:14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6">
        <v>17.035</v>
      </c>
      <c r="G148" s="10">
        <f t="shared" si="48"/>
        <v>-4.2149999999999999</v>
      </c>
      <c r="H148" s="10">
        <f>D148+ян!H148</f>
        <v>0</v>
      </c>
      <c r="I148" s="10">
        <f>E148+ян!I148</f>
        <v>42.5</v>
      </c>
      <c r="J148" s="8">
        <f>F148+ян!J148</f>
        <v>29.788</v>
      </c>
      <c r="K148" s="10">
        <f t="shared" si="50"/>
        <v>-12.712</v>
      </c>
      <c r="L148" s="16">
        <f t="shared" si="30"/>
        <v>-29.910588235294117</v>
      </c>
      <c r="M148" s="49"/>
      <c r="N148" s="50"/>
    </row>
    <row r="149" spans="1:14" ht="17.25" customHeight="1">
      <c r="A149" s="8"/>
      <c r="B149" s="9" t="s">
        <v>315</v>
      </c>
      <c r="C149" s="8" t="s">
        <v>4</v>
      </c>
      <c r="D149" s="10"/>
      <c r="E149" s="10"/>
      <c r="F149" s="54">
        <v>137.47200000000001</v>
      </c>
      <c r="G149" s="10">
        <f t="shared" si="48"/>
        <v>137.47200000000001</v>
      </c>
      <c r="H149" s="10">
        <f>D149+ян!H149</f>
        <v>0</v>
      </c>
      <c r="I149" s="8">
        <f>E149+ян!I149</f>
        <v>0</v>
      </c>
      <c r="J149" s="8">
        <f>F149+ян!J149</f>
        <v>173.54700000000003</v>
      </c>
      <c r="K149" s="10"/>
      <c r="L149" s="16"/>
      <c r="M149" s="52"/>
      <c r="N149" s="53"/>
    </row>
    <row r="150" spans="1:14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6">
        <f>66.779+1.964</f>
        <v>68.742999999999995</v>
      </c>
      <c r="G150" s="10">
        <f t="shared" si="48"/>
        <v>-8.8400000000000034</v>
      </c>
      <c r="H150" s="10">
        <f>D150+ян!H150</f>
        <v>155.16</v>
      </c>
      <c r="I150" s="8">
        <f>E150+ян!I150</f>
        <v>155.166</v>
      </c>
      <c r="J150" s="8">
        <f>F150+ян!J150</f>
        <v>340.59199999999998</v>
      </c>
      <c r="K150" s="10">
        <f t="shared" si="50"/>
        <v>185.42599999999999</v>
      </c>
      <c r="L150" s="16">
        <f t="shared" si="30"/>
        <v>119.50169495894718</v>
      </c>
      <c r="M150" s="117" t="s">
        <v>301</v>
      </c>
      <c r="N150" s="118"/>
    </row>
    <row r="151" spans="1:14" ht="17.25" customHeight="1">
      <c r="A151" s="47" t="s">
        <v>139</v>
      </c>
      <c r="B151" s="6" t="s">
        <v>140</v>
      </c>
      <c r="C151" s="47" t="s">
        <v>4</v>
      </c>
      <c r="D151" s="7">
        <f t="shared" ref="D151:F151" si="53">D152+D153</f>
        <v>239.149</v>
      </c>
      <c r="E151" s="47">
        <v>47.832999999999998</v>
      </c>
      <c r="F151" s="7">
        <f t="shared" si="53"/>
        <v>44.481999999999999</v>
      </c>
      <c r="G151" s="10">
        <f t="shared" si="48"/>
        <v>-3.3509999999999991</v>
      </c>
      <c r="H151" s="7">
        <f t="shared" ref="H151" si="54">H152+H153</f>
        <v>478.298</v>
      </c>
      <c r="I151" s="8">
        <f>E151+ян!I151</f>
        <v>95.665999999999997</v>
      </c>
      <c r="J151" s="7">
        <f t="shared" ref="J151" si="55">J152+J153</f>
        <v>88.965000000000003</v>
      </c>
      <c r="K151" s="10">
        <f t="shared" si="50"/>
        <v>-6.7009999999999934</v>
      </c>
      <c r="L151" s="16">
        <f t="shared" si="30"/>
        <v>-7.0045784291179665</v>
      </c>
      <c r="M151" s="110"/>
      <c r="N151" s="111"/>
    </row>
    <row r="152" spans="1:14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6">
        <v>32.506999999999998</v>
      </c>
      <c r="G152" s="10">
        <f t="shared" si="48"/>
        <v>32.506999999999998</v>
      </c>
      <c r="H152" s="10">
        <f>D152+ян!H152</f>
        <v>17.515999999999998</v>
      </c>
      <c r="I152" s="8"/>
      <c r="J152" s="8">
        <f>F152+ян!J152</f>
        <v>65.015000000000001</v>
      </c>
      <c r="K152" s="10">
        <f t="shared" si="50"/>
        <v>65.015000000000001</v>
      </c>
      <c r="L152" s="16"/>
      <c r="M152" s="110"/>
      <c r="N152" s="111"/>
    </row>
    <row r="153" spans="1:14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6">
        <v>11.975</v>
      </c>
      <c r="G153" s="10">
        <f t="shared" si="48"/>
        <v>11.975</v>
      </c>
      <c r="H153" s="10">
        <f>D153+ян!H153</f>
        <v>460.78199999999998</v>
      </c>
      <c r="I153" s="8"/>
      <c r="J153" s="8">
        <f>F153+ян!J153</f>
        <v>23.95</v>
      </c>
      <c r="K153" s="10">
        <f t="shared" si="50"/>
        <v>23.95</v>
      </c>
      <c r="L153" s="16"/>
      <c r="M153" s="110"/>
      <c r="N153" s="111"/>
    </row>
    <row r="154" spans="1:14" ht="75.75" customHeight="1">
      <c r="A154" s="47" t="s">
        <v>144</v>
      </c>
      <c r="B154" s="6" t="s">
        <v>145</v>
      </c>
      <c r="C154" s="47" t="s">
        <v>4</v>
      </c>
      <c r="D154" s="7">
        <f t="shared" ref="D154:J154" si="56">D155</f>
        <v>13.856</v>
      </c>
      <c r="E154" s="7">
        <f t="shared" si="56"/>
        <v>13.833</v>
      </c>
      <c r="F154" s="7">
        <f t="shared" si="56"/>
        <v>24.552999999999997</v>
      </c>
      <c r="G154" s="10">
        <f t="shared" si="48"/>
        <v>10.719999999999997</v>
      </c>
      <c r="H154" s="7">
        <f t="shared" si="56"/>
        <v>27.712</v>
      </c>
      <c r="I154" s="7">
        <f t="shared" si="56"/>
        <v>27.666</v>
      </c>
      <c r="J154" s="7">
        <f t="shared" si="56"/>
        <v>53.302999999999997</v>
      </c>
      <c r="K154" s="10">
        <f t="shared" si="50"/>
        <v>25.636999999999997</v>
      </c>
      <c r="L154" s="16">
        <f t="shared" ref="L154:L203" si="57">K154/I154*100</f>
        <v>92.666088339478051</v>
      </c>
      <c r="M154" s="110"/>
      <c r="N154" s="111"/>
    </row>
    <row r="155" spans="1:14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6">
        <f>6.929+17.624</f>
        <v>24.552999999999997</v>
      </c>
      <c r="G155" s="10">
        <f t="shared" si="48"/>
        <v>10.719999999999997</v>
      </c>
      <c r="H155" s="10">
        <f>D155+ян!H155</f>
        <v>27.712</v>
      </c>
      <c r="I155" s="8">
        <f>E155+ян!I155</f>
        <v>27.666</v>
      </c>
      <c r="J155" s="8">
        <f>F155+ян!J155</f>
        <v>53.302999999999997</v>
      </c>
      <c r="K155" s="10">
        <f t="shared" si="50"/>
        <v>25.636999999999997</v>
      </c>
      <c r="L155" s="16">
        <f t="shared" si="57"/>
        <v>92.666088339478051</v>
      </c>
      <c r="M155" s="110"/>
      <c r="N155" s="111"/>
    </row>
    <row r="156" spans="1:14" ht="18" customHeight="1">
      <c r="A156" s="47" t="s">
        <v>148</v>
      </c>
      <c r="B156" s="6" t="s">
        <v>149</v>
      </c>
      <c r="C156" s="47" t="s">
        <v>4</v>
      </c>
      <c r="D156" s="27">
        <f t="shared" ref="D156" si="58">D157+D160+D163+D166+D169</f>
        <v>71.188999999999993</v>
      </c>
      <c r="E156" s="47">
        <v>72.417000000000002</v>
      </c>
      <c r="F156" s="27">
        <f>F157+F160+F163+F166+F169</f>
        <v>143.89200000000002</v>
      </c>
      <c r="G156" s="10">
        <f t="shared" si="48"/>
        <v>71.475000000000023</v>
      </c>
      <c r="H156" s="27">
        <f t="shared" ref="H156" si="59">H157+H160+H163+H166+H169</f>
        <v>142.37799999999999</v>
      </c>
      <c r="I156" s="8">
        <f>E156+ян!I156</f>
        <v>144.834</v>
      </c>
      <c r="J156" s="27">
        <f>J157+J160+J163+J166+J169</f>
        <v>297.97399999999999</v>
      </c>
      <c r="K156" s="10">
        <f t="shared" si="50"/>
        <v>153.13999999999999</v>
      </c>
      <c r="L156" s="16">
        <f t="shared" si="57"/>
        <v>105.73484126655342</v>
      </c>
      <c r="M156" s="110"/>
      <c r="N156" s="111"/>
    </row>
    <row r="157" spans="1:14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6">
        <v>137.81700000000001</v>
      </c>
      <c r="G157" s="10">
        <f t="shared" si="48"/>
        <v>137.81700000000001</v>
      </c>
      <c r="H157" s="10">
        <f>D157+ян!H157</f>
        <v>98.055999999999997</v>
      </c>
      <c r="I157" s="8"/>
      <c r="J157" s="8">
        <f>F157+ян!J157</f>
        <v>281.06700000000001</v>
      </c>
      <c r="K157" s="10">
        <f t="shared" si="50"/>
        <v>281.06700000000001</v>
      </c>
      <c r="L157" s="16"/>
      <c r="M157" s="110"/>
      <c r="N157" s="111"/>
    </row>
    <row r="158" spans="1:14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>
        <v>29.43</v>
      </c>
      <c r="G158" s="10">
        <f t="shared" si="48"/>
        <v>29.43</v>
      </c>
      <c r="H158" s="10">
        <f>D158+ян!H158</f>
        <v>26.288</v>
      </c>
      <c r="I158" s="8"/>
      <c r="J158" s="8">
        <f>F158+ян!J158</f>
        <v>60.019999999999996</v>
      </c>
      <c r="K158" s="10">
        <f t="shared" si="50"/>
        <v>60.019999999999996</v>
      </c>
      <c r="L158" s="16"/>
      <c r="M158" s="117" t="s">
        <v>302</v>
      </c>
      <c r="N158" s="118"/>
    </row>
    <row r="159" spans="1:14" ht="17.25" customHeight="1">
      <c r="A159" s="8"/>
      <c r="B159" s="28" t="s">
        <v>15</v>
      </c>
      <c r="C159" s="8" t="s">
        <v>16</v>
      </c>
      <c r="D159" s="16">
        <v>3729.99</v>
      </c>
      <c r="E159" s="8"/>
      <c r="F159" s="8"/>
      <c r="G159" s="10">
        <f t="shared" si="48"/>
        <v>0</v>
      </c>
      <c r="H159" s="16">
        <v>3729.99</v>
      </c>
      <c r="I159" s="8"/>
      <c r="J159" s="8"/>
      <c r="K159" s="10">
        <f t="shared" si="50"/>
        <v>0</v>
      </c>
      <c r="L159" s="16"/>
      <c r="M159" s="110"/>
      <c r="N159" s="111"/>
    </row>
    <row r="160" spans="1:14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48"/>
        <v>0</v>
      </c>
      <c r="H160" s="10">
        <f>D160+ян!H160</f>
        <v>1.8460000000000001</v>
      </c>
      <c r="I160" s="8"/>
      <c r="J160" s="8">
        <f>F160+ян!J160</f>
        <v>0</v>
      </c>
      <c r="K160" s="10">
        <f t="shared" si="50"/>
        <v>0</v>
      </c>
      <c r="L160" s="16"/>
      <c r="M160" s="110"/>
      <c r="N160" s="111"/>
    </row>
    <row r="161" spans="1:14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48"/>
        <v>0</v>
      </c>
      <c r="H161" s="10">
        <f>D161+ян!H161</f>
        <v>1.5</v>
      </c>
      <c r="I161" s="8"/>
      <c r="J161" s="8">
        <f>F161+ян!J161</f>
        <v>0</v>
      </c>
      <c r="K161" s="10">
        <f t="shared" si="50"/>
        <v>0</v>
      </c>
      <c r="L161" s="16"/>
      <c r="M161" s="110"/>
      <c r="N161" s="111"/>
    </row>
    <row r="162" spans="1:14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48"/>
        <v>0</v>
      </c>
      <c r="H162" s="16">
        <f>H160/H161*1000</f>
        <v>1230.6666666666667</v>
      </c>
      <c r="I162" s="8"/>
      <c r="J162" s="8"/>
      <c r="K162" s="10">
        <f t="shared" si="50"/>
        <v>0</v>
      </c>
      <c r="L162" s="16"/>
      <c r="M162" s="110"/>
      <c r="N162" s="111"/>
    </row>
    <row r="163" spans="1:14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6">
        <v>3.9369999999999998</v>
      </c>
      <c r="G163" s="10">
        <f t="shared" si="48"/>
        <v>3.9369999999999998</v>
      </c>
      <c r="H163" s="10">
        <f>D163+ян!H163</f>
        <v>4.3600000000000003</v>
      </c>
      <c r="I163" s="8"/>
      <c r="J163" s="8">
        <f>F163+ян!J163</f>
        <v>10.965999999999999</v>
      </c>
      <c r="K163" s="10">
        <f t="shared" si="50"/>
        <v>10.965999999999999</v>
      </c>
      <c r="L163" s="16"/>
      <c r="M163" s="110"/>
      <c r="N163" s="111"/>
    </row>
    <row r="164" spans="1:14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>
        <v>30</v>
      </c>
      <c r="G164" s="10">
        <f t="shared" si="48"/>
        <v>30</v>
      </c>
      <c r="H164" s="10">
        <f>D164+ян!H164</f>
        <v>40</v>
      </c>
      <c r="I164" s="8"/>
      <c r="J164" s="8">
        <f>F164+ян!J164</f>
        <v>85</v>
      </c>
      <c r="K164" s="10">
        <f t="shared" si="50"/>
        <v>85</v>
      </c>
      <c r="L164" s="16"/>
      <c r="M164" s="110"/>
      <c r="N164" s="111"/>
    </row>
    <row r="165" spans="1:14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>
        <f t="shared" ref="F165" si="60">F163/F164*1000</f>
        <v>131.23333333333335</v>
      </c>
      <c r="G165" s="10">
        <f t="shared" si="48"/>
        <v>131.23333333333335</v>
      </c>
      <c r="H165" s="16">
        <f>H163/H164*1000</f>
        <v>109.00000000000001</v>
      </c>
      <c r="I165" s="8"/>
      <c r="J165" s="8"/>
      <c r="K165" s="10">
        <f t="shared" si="50"/>
        <v>0</v>
      </c>
      <c r="L165" s="16"/>
      <c r="M165" s="110"/>
      <c r="N165" s="111"/>
    </row>
    <row r="166" spans="1:14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"/>
      <c r="G166" s="10">
        <f t="shared" si="48"/>
        <v>0</v>
      </c>
      <c r="H166" s="10">
        <f>D166+ян!H166</f>
        <v>38.116</v>
      </c>
      <c r="I166" s="8"/>
      <c r="J166" s="8">
        <f>F166+ян!J166</f>
        <v>0</v>
      </c>
      <c r="K166" s="10">
        <f t="shared" si="50"/>
        <v>0</v>
      </c>
      <c r="L166" s="16"/>
      <c r="M166" s="110"/>
      <c r="N166" s="111"/>
    </row>
    <row r="167" spans="1:14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48"/>
        <v>0</v>
      </c>
      <c r="H167" s="10">
        <f>D167+ян!H167</f>
        <v>32</v>
      </c>
      <c r="I167" s="8"/>
      <c r="J167" s="8">
        <f>F167+ян!J167</f>
        <v>0</v>
      </c>
      <c r="K167" s="10">
        <f t="shared" si="50"/>
        <v>0</v>
      </c>
      <c r="L167" s="16"/>
      <c r="M167" s="110"/>
      <c r="N167" s="111"/>
    </row>
    <row r="168" spans="1:14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8"/>
      <c r="G168" s="10">
        <f t="shared" si="48"/>
        <v>0</v>
      </c>
      <c r="H168" s="16">
        <f>H166/H167*1000</f>
        <v>1191.125</v>
      </c>
      <c r="I168" s="8"/>
      <c r="J168" s="8"/>
      <c r="K168" s="10">
        <f t="shared" si="50"/>
        <v>0</v>
      </c>
      <c r="L168" s="16"/>
      <c r="M168" s="110"/>
      <c r="N168" s="111"/>
    </row>
    <row r="169" spans="1:14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55">
        <v>2.1379999999999999</v>
      </c>
      <c r="G169" s="10">
        <f t="shared" si="48"/>
        <v>2.1379999999999999</v>
      </c>
      <c r="H169" s="10">
        <f>D169+ян!H169</f>
        <v>0</v>
      </c>
      <c r="I169" s="8"/>
      <c r="J169" s="8">
        <f>F169+ян!J169</f>
        <v>5.9409999999999998</v>
      </c>
      <c r="K169" s="10">
        <f t="shared" si="50"/>
        <v>5.9409999999999998</v>
      </c>
      <c r="L169" s="16"/>
      <c r="M169" s="110"/>
      <c r="N169" s="111"/>
    </row>
    <row r="170" spans="1:14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>
        <v>30</v>
      </c>
      <c r="G170" s="10">
        <f t="shared" si="48"/>
        <v>30</v>
      </c>
      <c r="H170" s="10">
        <f>D170+ян!H170</f>
        <v>0</v>
      </c>
      <c r="I170" s="8"/>
      <c r="J170" s="8">
        <f>F170+ян!J170</f>
        <v>85</v>
      </c>
      <c r="K170" s="10">
        <f t="shared" si="50"/>
        <v>85</v>
      </c>
      <c r="L170" s="16"/>
      <c r="M170" s="110"/>
      <c r="N170" s="111"/>
    </row>
    <row r="171" spans="1:14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8"/>
      <c r="G171" s="10">
        <f t="shared" si="48"/>
        <v>0</v>
      </c>
      <c r="H171" s="16" t="e">
        <f>H169/H170*1000</f>
        <v>#DIV/0!</v>
      </c>
      <c r="I171" s="8"/>
      <c r="J171" s="8"/>
      <c r="K171" s="10">
        <f t="shared" si="50"/>
        <v>0</v>
      </c>
      <c r="L171" s="16"/>
      <c r="M171" s="110"/>
      <c r="N171" s="111"/>
    </row>
    <row r="172" spans="1:14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8">
        <f>F173+F174+F175</f>
        <v>75.111000000000004</v>
      </c>
      <c r="G172" s="10">
        <f t="shared" si="48"/>
        <v>12.444000000000003</v>
      </c>
      <c r="H172" s="10">
        <f>D172+ян!H172</f>
        <v>125.41</v>
      </c>
      <c r="I172" s="8">
        <f>E172+ян!I172</f>
        <v>125.334</v>
      </c>
      <c r="J172" s="8">
        <f>J173+J174+J175</f>
        <v>118.78100000000001</v>
      </c>
      <c r="K172" s="10">
        <f t="shared" si="50"/>
        <v>-6.5529999999999973</v>
      </c>
      <c r="L172" s="16">
        <f t="shared" si="57"/>
        <v>-5.2284296360125726</v>
      </c>
      <c r="M172" s="110"/>
      <c r="N172" s="111"/>
    </row>
    <row r="173" spans="1:14" ht="17.25" customHeight="1">
      <c r="A173" s="16"/>
      <c r="B173" s="9" t="s">
        <v>221</v>
      </c>
      <c r="C173" s="8" t="s">
        <v>4</v>
      </c>
      <c r="D173" s="10"/>
      <c r="E173" s="8"/>
      <c r="F173" s="87">
        <v>43.29</v>
      </c>
      <c r="G173" s="10">
        <f t="shared" si="48"/>
        <v>43.29</v>
      </c>
      <c r="H173" s="10"/>
      <c r="I173" s="8"/>
      <c r="J173" s="8">
        <f>F173+ян!J173</f>
        <v>76.960000000000008</v>
      </c>
      <c r="K173" s="10">
        <f t="shared" si="50"/>
        <v>76.960000000000008</v>
      </c>
      <c r="L173" s="16"/>
      <c r="M173" s="110"/>
      <c r="N173" s="111"/>
    </row>
    <row r="174" spans="1:14" ht="37.5" customHeight="1">
      <c r="A174" s="16"/>
      <c r="B174" s="9" t="s">
        <v>222</v>
      </c>
      <c r="C174" s="8" t="s">
        <v>4</v>
      </c>
      <c r="D174" s="10"/>
      <c r="E174" s="8"/>
      <c r="F174" s="87">
        <v>31.821000000000002</v>
      </c>
      <c r="G174" s="10">
        <f t="shared" si="48"/>
        <v>31.821000000000002</v>
      </c>
      <c r="H174" s="10"/>
      <c r="I174" s="8"/>
      <c r="J174" s="8">
        <f>F174+ян!J174</f>
        <v>41.820999999999998</v>
      </c>
      <c r="K174" s="10">
        <f t="shared" si="50"/>
        <v>41.820999999999998</v>
      </c>
      <c r="L174" s="16"/>
      <c r="M174" s="110"/>
      <c r="N174" s="111"/>
    </row>
    <row r="175" spans="1:14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48"/>
        <v>0</v>
      </c>
      <c r="H175" s="10"/>
      <c r="I175" s="8"/>
      <c r="J175" s="8">
        <f>F175+ян!J175</f>
        <v>0</v>
      </c>
      <c r="K175" s="10">
        <f t="shared" si="50"/>
        <v>0</v>
      </c>
      <c r="L175" s="16"/>
      <c r="M175" s="110"/>
      <c r="N175" s="111"/>
    </row>
    <row r="176" spans="1:14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6">
        <f>8.554+33.863+7.798+13.634+13.125</f>
        <v>76.974000000000004</v>
      </c>
      <c r="G176" s="10">
        <f t="shared" si="48"/>
        <v>12.057000000000002</v>
      </c>
      <c r="H176" s="10">
        <f>D176+ян!H176</f>
        <v>129.81200000000001</v>
      </c>
      <c r="I176" s="8">
        <f>E176+ян!I176</f>
        <v>129.834</v>
      </c>
      <c r="J176" s="8">
        <f>F176+ян!J176</f>
        <v>148.423</v>
      </c>
      <c r="K176" s="10">
        <f t="shared" si="50"/>
        <v>18.588999999999999</v>
      </c>
      <c r="L176" s="16">
        <f t="shared" si="57"/>
        <v>14.317513132153364</v>
      </c>
      <c r="M176" s="110"/>
      <c r="N176" s="111"/>
    </row>
    <row r="177" spans="1:14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48"/>
        <v>0</v>
      </c>
      <c r="H177" s="10">
        <f>H178</f>
        <v>4.4660000000000002</v>
      </c>
      <c r="I177" s="8"/>
      <c r="J177" s="8"/>
      <c r="K177" s="10">
        <f t="shared" si="50"/>
        <v>0</v>
      </c>
      <c r="L177" s="16"/>
      <c r="M177" s="110"/>
      <c r="N177" s="111"/>
    </row>
    <row r="178" spans="1:14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48"/>
        <v>0</v>
      </c>
      <c r="H178" s="10">
        <f>D178+ян!H178</f>
        <v>4.4660000000000002</v>
      </c>
      <c r="I178" s="8"/>
      <c r="J178" s="8">
        <f>F178+ян!J178</f>
        <v>0</v>
      </c>
      <c r="K178" s="10">
        <f t="shared" si="50"/>
        <v>0</v>
      </c>
      <c r="L178" s="16"/>
      <c r="M178" s="45"/>
      <c r="N178" s="46"/>
    </row>
    <row r="179" spans="1:14" ht="17.25" customHeight="1">
      <c r="A179" s="16" t="s">
        <v>164</v>
      </c>
      <c r="B179" s="6" t="s">
        <v>169</v>
      </c>
      <c r="C179" s="47" t="s">
        <v>4</v>
      </c>
      <c r="D179" s="7">
        <f t="shared" ref="D179:F179" si="61">D180+D181+D182</f>
        <v>318.99799999999999</v>
      </c>
      <c r="E179" s="7">
        <f t="shared" si="61"/>
        <v>637.41600000000005</v>
      </c>
      <c r="F179" s="7">
        <f t="shared" si="61"/>
        <v>0</v>
      </c>
      <c r="G179" s="10">
        <f t="shared" si="48"/>
        <v>-637.41600000000005</v>
      </c>
      <c r="H179" s="7">
        <f t="shared" ref="H179:J179" si="62">H180+H181+H182</f>
        <v>637.99599999999998</v>
      </c>
      <c r="I179" s="7">
        <f t="shared" si="62"/>
        <v>1274.8320000000001</v>
      </c>
      <c r="J179" s="7">
        <f t="shared" si="62"/>
        <v>0</v>
      </c>
      <c r="K179" s="10">
        <f t="shared" si="50"/>
        <v>-1274.8320000000001</v>
      </c>
      <c r="L179" s="16">
        <f t="shared" si="57"/>
        <v>-100</v>
      </c>
      <c r="M179" s="110"/>
      <c r="N179" s="111"/>
    </row>
    <row r="180" spans="1:14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48"/>
        <v>-61.332999999999998</v>
      </c>
      <c r="H180" s="10">
        <f>D180+ян!H180</f>
        <v>122.586</v>
      </c>
      <c r="I180" s="8">
        <f>E180+ян!I180</f>
        <v>122.666</v>
      </c>
      <c r="J180" s="8">
        <f>F180+ян!J180</f>
        <v>0</v>
      </c>
      <c r="K180" s="10">
        <f t="shared" si="50"/>
        <v>-122.666</v>
      </c>
      <c r="L180" s="16">
        <f t="shared" si="57"/>
        <v>-100</v>
      </c>
      <c r="M180" s="110"/>
      <c r="N180" s="111"/>
    </row>
    <row r="181" spans="1:14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48"/>
        <v>-486.83300000000003</v>
      </c>
      <c r="H181" s="10">
        <f>D181+ян!H181</f>
        <v>336.95400000000001</v>
      </c>
      <c r="I181" s="8">
        <f>E181+ян!I181</f>
        <v>973.66600000000005</v>
      </c>
      <c r="J181" s="8">
        <f>F181+ян!J181</f>
        <v>0</v>
      </c>
      <c r="K181" s="10">
        <f t="shared" si="50"/>
        <v>-973.66600000000005</v>
      </c>
      <c r="L181" s="16">
        <f t="shared" si="57"/>
        <v>-100</v>
      </c>
      <c r="M181" s="117" t="s">
        <v>300</v>
      </c>
      <c r="N181" s="118"/>
    </row>
    <row r="182" spans="1:14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48"/>
        <v>-89.25</v>
      </c>
      <c r="H182" s="10">
        <f>D182+ян!H182</f>
        <v>178.45599999999999</v>
      </c>
      <c r="I182" s="10">
        <f>E182+ян!I182</f>
        <v>178.5</v>
      </c>
      <c r="J182" s="8">
        <f>F182+ян!J182</f>
        <v>0</v>
      </c>
      <c r="K182" s="10">
        <f t="shared" si="50"/>
        <v>-178.5</v>
      </c>
      <c r="L182" s="16">
        <f t="shared" si="57"/>
        <v>-100</v>
      </c>
      <c r="M182" s="117" t="s">
        <v>300</v>
      </c>
      <c r="N182" s="118"/>
    </row>
    <row r="183" spans="1:14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6">
        <v>112.974</v>
      </c>
      <c r="G183" s="10">
        <f t="shared" si="48"/>
        <v>19.807000000000002</v>
      </c>
      <c r="H183" s="10">
        <f>D183+ян!H183</f>
        <v>191.41800000000001</v>
      </c>
      <c r="I183" s="8">
        <f>E183+ян!I183</f>
        <v>186.334</v>
      </c>
      <c r="J183" s="8">
        <f>F183+ян!J183</f>
        <v>189.53200000000001</v>
      </c>
      <c r="K183" s="10">
        <f t="shared" si="50"/>
        <v>3.1980000000000075</v>
      </c>
      <c r="L183" s="16">
        <f t="shared" si="57"/>
        <v>1.716272929256071</v>
      </c>
      <c r="M183" s="112" t="s">
        <v>303</v>
      </c>
      <c r="N183" s="113"/>
    </row>
    <row r="184" spans="1:14" ht="33" customHeight="1">
      <c r="A184" s="47" t="s">
        <v>173</v>
      </c>
      <c r="B184" s="6" t="s">
        <v>176</v>
      </c>
      <c r="C184" s="47" t="s">
        <v>4</v>
      </c>
      <c r="D184" s="7">
        <f t="shared" ref="D184:F184" si="63">D185+D186+D187</f>
        <v>50.518000000000001</v>
      </c>
      <c r="E184" s="7">
        <v>50.5</v>
      </c>
      <c r="F184" s="7">
        <f t="shared" si="63"/>
        <v>0</v>
      </c>
      <c r="G184" s="10">
        <f t="shared" si="48"/>
        <v>-50.5</v>
      </c>
      <c r="H184" s="7">
        <f t="shared" ref="H184" si="64">H185+H186+H187</f>
        <v>101.036</v>
      </c>
      <c r="I184" s="10">
        <f>E184+ян!I184</f>
        <v>101</v>
      </c>
      <c r="J184" s="7">
        <f t="shared" ref="J184" si="65">J185+J186+J187</f>
        <v>0</v>
      </c>
      <c r="K184" s="10">
        <f t="shared" si="50"/>
        <v>-101</v>
      </c>
      <c r="L184" s="16">
        <f t="shared" si="57"/>
        <v>-100</v>
      </c>
      <c r="M184" s="119" t="s">
        <v>293</v>
      </c>
      <c r="N184" s="120"/>
    </row>
    <row r="185" spans="1:14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8"/>
      <c r="G185" s="10">
        <f t="shared" si="48"/>
        <v>0</v>
      </c>
      <c r="H185" s="10">
        <f>D185+ян!H185</f>
        <v>38.508000000000003</v>
      </c>
      <c r="I185" s="8"/>
      <c r="J185" s="8">
        <f>F185+ян!J185</f>
        <v>0</v>
      </c>
      <c r="K185" s="10">
        <f t="shared" si="50"/>
        <v>0</v>
      </c>
      <c r="L185" s="16"/>
      <c r="M185" s="110"/>
      <c r="N185" s="111"/>
    </row>
    <row r="186" spans="1:14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48"/>
        <v>0</v>
      </c>
      <c r="H186" s="10">
        <f>D186+ян!H186</f>
        <v>17.527999999999999</v>
      </c>
      <c r="I186" s="8"/>
      <c r="J186" s="8">
        <f>F186+ян!J186</f>
        <v>0</v>
      </c>
      <c r="K186" s="10">
        <f t="shared" si="50"/>
        <v>0</v>
      </c>
      <c r="L186" s="16"/>
      <c r="M186" s="110"/>
      <c r="N186" s="111"/>
    </row>
    <row r="187" spans="1:14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48"/>
        <v>0</v>
      </c>
      <c r="H187" s="10">
        <f>D187+ян!H187</f>
        <v>45</v>
      </c>
      <c r="I187" s="8"/>
      <c r="J187" s="8">
        <f>F187+ян!J187</f>
        <v>0</v>
      </c>
      <c r="K187" s="10">
        <f t="shared" si="50"/>
        <v>0</v>
      </c>
      <c r="L187" s="16"/>
      <c r="M187" s="110"/>
      <c r="N187" s="111"/>
    </row>
    <row r="188" spans="1:14" ht="17.25" customHeight="1">
      <c r="A188" s="47" t="s">
        <v>175</v>
      </c>
      <c r="B188" s="6" t="s">
        <v>180</v>
      </c>
      <c r="C188" s="47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141.75500000000002</v>
      </c>
      <c r="G188" s="10">
        <f t="shared" si="48"/>
        <v>-51.660999999999973</v>
      </c>
      <c r="H188" s="7">
        <f>H189+H190+H191+H192+H197+H198+H199+H200+H204</f>
        <v>373.5680000000001</v>
      </c>
      <c r="I188" s="7">
        <f>I189+I190+I191+I192+I197+I198+I199+I200+I204</f>
        <v>386.83199999999999</v>
      </c>
      <c r="J188" s="7">
        <f>J189+J190+J191+J192+J197+J198+J199+J200+J204</f>
        <v>229.87</v>
      </c>
      <c r="K188" s="10">
        <f t="shared" si="50"/>
        <v>-156.96199999999999</v>
      </c>
      <c r="L188" s="16">
        <f t="shared" si="57"/>
        <v>-40.576270835918429</v>
      </c>
      <c r="M188" s="116"/>
      <c r="N188" s="111"/>
    </row>
    <row r="189" spans="1:14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48"/>
        <v>0</v>
      </c>
      <c r="H189" s="10">
        <f>D189+ян!H189</f>
        <v>0</v>
      </c>
      <c r="I189" s="8"/>
      <c r="J189" s="8">
        <f>F189+ян!J189</f>
        <v>0</v>
      </c>
      <c r="K189" s="10">
        <f t="shared" si="50"/>
        <v>0</v>
      </c>
      <c r="L189" s="16"/>
      <c r="M189" s="110"/>
      <c r="N189" s="111"/>
    </row>
    <row r="190" spans="1:14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6">
        <v>58.491</v>
      </c>
      <c r="G190" s="10">
        <f t="shared" si="48"/>
        <v>36.241</v>
      </c>
      <c r="H190" s="10">
        <f>D190+ян!H190</f>
        <v>31.302</v>
      </c>
      <c r="I190" s="10">
        <f>E190+ян!I190</f>
        <v>44.5</v>
      </c>
      <c r="J190" s="8">
        <f>F190+ян!J190</f>
        <v>79.846000000000004</v>
      </c>
      <c r="K190" s="10">
        <f t="shared" si="50"/>
        <v>35.346000000000004</v>
      </c>
      <c r="L190" s="16">
        <f t="shared" si="57"/>
        <v>79.429213483146071</v>
      </c>
      <c r="M190" s="110"/>
      <c r="N190" s="111"/>
    </row>
    <row r="191" spans="1:14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87">
        <v>1.2</v>
      </c>
      <c r="G191" s="10">
        <f t="shared" si="48"/>
        <v>-0.30000000000000004</v>
      </c>
      <c r="H191" s="10">
        <f>D191+ян!H191</f>
        <v>2.9820000000000002</v>
      </c>
      <c r="I191" s="10">
        <f>E191+ян!I191</f>
        <v>3</v>
      </c>
      <c r="J191" s="8">
        <f>F191+ян!J191</f>
        <v>2.99</v>
      </c>
      <c r="K191" s="10">
        <f t="shared" si="50"/>
        <v>-9.9999999999997868E-3</v>
      </c>
      <c r="L191" s="16">
        <f t="shared" si="57"/>
        <v>-0.33333333333332626</v>
      </c>
      <c r="M191" s="110"/>
      <c r="N191" s="111"/>
    </row>
    <row r="192" spans="1:14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66">D193+D194+D195+D196</f>
        <v>149.55900000000003</v>
      </c>
      <c r="E192" s="10">
        <f t="shared" si="66"/>
        <v>149.583</v>
      </c>
      <c r="F192" s="10">
        <f t="shared" si="66"/>
        <v>80.233999999999995</v>
      </c>
      <c r="G192" s="10">
        <f t="shared" si="48"/>
        <v>-69.349000000000004</v>
      </c>
      <c r="H192" s="10">
        <f t="shared" ref="H192:J192" si="67">H193+H194+H195+H196</f>
        <v>299.11800000000005</v>
      </c>
      <c r="I192" s="10">
        <f t="shared" si="67"/>
        <v>299.166</v>
      </c>
      <c r="J192" s="10">
        <f t="shared" si="67"/>
        <v>143.18599999999998</v>
      </c>
      <c r="K192" s="10">
        <f t="shared" si="50"/>
        <v>-155.98000000000002</v>
      </c>
      <c r="L192" s="16">
        <f t="shared" si="57"/>
        <v>-52.138277745465736</v>
      </c>
      <c r="M192" s="110"/>
      <c r="N192" s="111"/>
    </row>
    <row r="193" spans="1:14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6">
        <f>40.329+12.495</f>
        <v>52.823999999999998</v>
      </c>
      <c r="G193" s="10">
        <f t="shared" si="48"/>
        <v>19.491</v>
      </c>
      <c r="H193" s="10">
        <f>D193+ян!H193</f>
        <v>66.727999999999994</v>
      </c>
      <c r="I193" s="8">
        <f>E193+ян!I193</f>
        <v>66.665999999999997</v>
      </c>
      <c r="J193" s="8">
        <f>F193+ян!J193</f>
        <v>93.152999999999992</v>
      </c>
      <c r="K193" s="10">
        <f t="shared" si="50"/>
        <v>26.486999999999995</v>
      </c>
      <c r="L193" s="16">
        <f t="shared" si="57"/>
        <v>39.730897308973084</v>
      </c>
      <c r="M193" s="110"/>
      <c r="N193" s="111"/>
    </row>
    <row r="194" spans="1:14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48"/>
        <v>-89.832999999999998</v>
      </c>
      <c r="H194" s="10">
        <f>D194+ян!H194</f>
        <v>179.584</v>
      </c>
      <c r="I194" s="8">
        <f>E194+ян!I194</f>
        <v>179.666</v>
      </c>
      <c r="J194" s="8">
        <f>F194+ян!J194</f>
        <v>0</v>
      </c>
      <c r="K194" s="10">
        <f t="shared" si="50"/>
        <v>-179.666</v>
      </c>
      <c r="L194" s="16">
        <f t="shared" si="57"/>
        <v>-100</v>
      </c>
      <c r="M194" s="110"/>
      <c r="N194" s="111"/>
    </row>
    <row r="195" spans="1:14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6">
        <v>10.023999999999999</v>
      </c>
      <c r="G195" s="10">
        <f t="shared" si="48"/>
        <v>2.0239999999999991</v>
      </c>
      <c r="H195" s="10">
        <f>D195+ян!H195</f>
        <v>15.932</v>
      </c>
      <c r="I195" s="8">
        <f>E195+ян!I195</f>
        <v>16</v>
      </c>
      <c r="J195" s="8">
        <f>F195+ян!J195</f>
        <v>15.260999999999999</v>
      </c>
      <c r="K195" s="10">
        <f t="shared" si="50"/>
        <v>-0.73900000000000077</v>
      </c>
      <c r="L195" s="16">
        <f t="shared" si="57"/>
        <v>-4.6187500000000048</v>
      </c>
      <c r="M195" s="110"/>
      <c r="N195" s="111"/>
    </row>
    <row r="196" spans="1:14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6">
        <v>17.385999999999999</v>
      </c>
      <c r="G196" s="10">
        <f t="shared" si="48"/>
        <v>-1.0310000000000024</v>
      </c>
      <c r="H196" s="10">
        <f>D196+ян!H196</f>
        <v>36.874000000000002</v>
      </c>
      <c r="I196" s="8">
        <f>E196+ян!I196</f>
        <v>36.834000000000003</v>
      </c>
      <c r="J196" s="8">
        <f>F196+ян!J196</f>
        <v>34.771999999999998</v>
      </c>
      <c r="K196" s="10">
        <f t="shared" si="50"/>
        <v>-2.0620000000000047</v>
      </c>
      <c r="L196" s="16">
        <f t="shared" si="57"/>
        <v>-5.5980887223760778</v>
      </c>
      <c r="M196" s="110"/>
      <c r="N196" s="111"/>
    </row>
    <row r="197" spans="1:14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48"/>
        <v>-15.833</v>
      </c>
      <c r="H197" s="10">
        <f>D197+ян!H197</f>
        <v>31.635999999999999</v>
      </c>
      <c r="I197" s="8">
        <f>E197+ян!I197</f>
        <v>31.666</v>
      </c>
      <c r="J197" s="8">
        <f>F197+ян!J197</f>
        <v>0</v>
      </c>
      <c r="K197" s="10">
        <f t="shared" si="50"/>
        <v>-31.666</v>
      </c>
      <c r="L197" s="16">
        <f t="shared" si="57"/>
        <v>-100</v>
      </c>
      <c r="M197" s="110"/>
      <c r="N197" s="111"/>
    </row>
    <row r="198" spans="1:14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48"/>
        <v>-0.33300000000000002</v>
      </c>
      <c r="H198" s="10">
        <f>D198+ян!H198</f>
        <v>0.68400000000000005</v>
      </c>
      <c r="I198" s="8">
        <f>E198+ян!I198</f>
        <v>0.66600000000000004</v>
      </c>
      <c r="J198" s="8">
        <f>F198+ян!J198</f>
        <v>0</v>
      </c>
      <c r="K198" s="10">
        <f t="shared" si="50"/>
        <v>-0.66600000000000004</v>
      </c>
      <c r="L198" s="16">
        <f t="shared" si="57"/>
        <v>-100</v>
      </c>
      <c r="M198" s="110"/>
      <c r="N198" s="111"/>
    </row>
    <row r="199" spans="1:14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48"/>
        <v>0</v>
      </c>
      <c r="H199" s="10">
        <f>D199+ян!H199</f>
        <v>0</v>
      </c>
      <c r="I199" s="8">
        <f>E199+ян!I199</f>
        <v>0</v>
      </c>
      <c r="J199" s="8">
        <f>F199+ян!J199</f>
        <v>0</v>
      </c>
      <c r="K199" s="10">
        <f t="shared" si="50"/>
        <v>0</v>
      </c>
      <c r="L199" s="16"/>
      <c r="M199" s="110"/>
      <c r="N199" s="111"/>
    </row>
    <row r="200" spans="1:14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87">
        <v>1.83</v>
      </c>
      <c r="G200" s="10">
        <f t="shared" si="48"/>
        <v>-2.0869999999999997</v>
      </c>
      <c r="H200" s="10">
        <f>D200+ян!H200</f>
        <v>7.8460000000000001</v>
      </c>
      <c r="I200" s="8">
        <f>E200+ян!I200</f>
        <v>7.8339999999999996</v>
      </c>
      <c r="J200" s="8">
        <f>F200+ян!J200</f>
        <v>3.8479999999999999</v>
      </c>
      <c r="K200" s="10">
        <f t="shared" si="50"/>
        <v>-3.9859999999999998</v>
      </c>
      <c r="L200" s="16">
        <f t="shared" si="57"/>
        <v>-50.880776104161349</v>
      </c>
      <c r="M200" s="112" t="s">
        <v>289</v>
      </c>
      <c r="N200" s="113"/>
    </row>
    <row r="201" spans="1:14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48"/>
        <v>0</v>
      </c>
      <c r="H201" s="10">
        <f>D201+ян!H201</f>
        <v>0</v>
      </c>
      <c r="I201" s="8"/>
      <c r="J201" s="8">
        <f>F201+ян!J201</f>
        <v>0</v>
      </c>
      <c r="K201" s="10">
        <f t="shared" si="50"/>
        <v>0</v>
      </c>
      <c r="L201" s="16" t="e">
        <f t="shared" si="57"/>
        <v>#DIV/0!</v>
      </c>
      <c r="M201" s="112" t="s">
        <v>290</v>
      </c>
      <c r="N201" s="113"/>
    </row>
    <row r="202" spans="1:14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48"/>
        <v>0</v>
      </c>
      <c r="H202" s="10">
        <f>D202+ян!H202</f>
        <v>0</v>
      </c>
      <c r="I202" s="8"/>
      <c r="J202" s="8">
        <f>F202+ян!J202</f>
        <v>0</v>
      </c>
      <c r="K202" s="10">
        <f t="shared" si="50"/>
        <v>0</v>
      </c>
      <c r="L202" s="16" t="e">
        <f t="shared" si="57"/>
        <v>#DIV/0!</v>
      </c>
      <c r="M202" s="112" t="s">
        <v>290</v>
      </c>
      <c r="N202" s="113"/>
    </row>
    <row r="203" spans="1:14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48"/>
        <v>0</v>
      </c>
      <c r="H203" s="10">
        <f>D203+ян!H203</f>
        <v>0</v>
      </c>
      <c r="I203" s="8"/>
      <c r="J203" s="8">
        <f>F203+ян!J203</f>
        <v>0</v>
      </c>
      <c r="K203" s="10">
        <f t="shared" si="50"/>
        <v>0</v>
      </c>
      <c r="L203" s="16" t="e">
        <f t="shared" si="57"/>
        <v>#DIV/0!</v>
      </c>
      <c r="M203" s="112" t="s">
        <v>290</v>
      </c>
      <c r="N203" s="113"/>
    </row>
    <row r="204" spans="1:14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48"/>
        <v>0</v>
      </c>
      <c r="H204" s="10">
        <f>D204+ян!H204</f>
        <v>0</v>
      </c>
      <c r="I204" s="8"/>
      <c r="J204" s="8">
        <f>F204+ян!J204</f>
        <v>0</v>
      </c>
      <c r="K204" s="10">
        <f t="shared" si="50"/>
        <v>0</v>
      </c>
      <c r="L204" s="16"/>
      <c r="M204" s="110"/>
      <c r="N204" s="111"/>
    </row>
    <row r="205" spans="1:14" ht="21" customHeight="1">
      <c r="A205" s="47" t="s">
        <v>190</v>
      </c>
      <c r="B205" s="6" t="s">
        <v>191</v>
      </c>
      <c r="C205" s="47" t="s">
        <v>4</v>
      </c>
      <c r="D205" s="7">
        <f>D8+D138</f>
        <v>76555.231</v>
      </c>
      <c r="E205" s="21">
        <f>E8+E138</f>
        <v>71086.831999999995</v>
      </c>
      <c r="F205" s="7">
        <f>F8+F138</f>
        <v>73822.439999999988</v>
      </c>
      <c r="G205" s="10">
        <f t="shared" ref="G205:G213" si="68">F205-E205</f>
        <v>2735.6079999999929</v>
      </c>
      <c r="H205" s="7">
        <f>H8+H138</f>
        <v>153110.462</v>
      </c>
      <c r="I205" s="21">
        <f>I8+I138</f>
        <v>142173.66399999999</v>
      </c>
      <c r="J205" s="7">
        <f>J8+J138</f>
        <v>142011.11599999998</v>
      </c>
      <c r="K205" s="10">
        <f t="shared" ref="K205:K213" si="69">J205-I205</f>
        <v>-162.54800000000978</v>
      </c>
      <c r="L205" s="16">
        <f t="shared" ref="L205:L213" si="70">K205/I205*100</f>
        <v>-0.11433059782436908</v>
      </c>
      <c r="M205" s="110"/>
      <c r="N205" s="111"/>
    </row>
    <row r="206" spans="1:14" ht="17.25" customHeight="1">
      <c r="A206" s="47" t="s">
        <v>192</v>
      </c>
      <c r="B206" s="6" t="s">
        <v>193</v>
      </c>
      <c r="C206" s="47" t="s">
        <v>4</v>
      </c>
      <c r="D206" s="7">
        <v>1469.992</v>
      </c>
      <c r="E206" s="47">
        <v>1470.0830000000001</v>
      </c>
      <c r="F206" s="21">
        <f>F209-F205</f>
        <v>28836.656959999993</v>
      </c>
      <c r="G206" s="10">
        <f t="shared" si="68"/>
        <v>27366.573959999994</v>
      </c>
      <c r="H206" s="10">
        <f>D206+ян!H206</f>
        <v>2939.9839999999999</v>
      </c>
      <c r="I206" s="8">
        <f>E206+ян!I206</f>
        <v>2940.1660000000002</v>
      </c>
      <c r="J206" s="8">
        <f>F206+ян!J206</f>
        <v>28142.85679999998</v>
      </c>
      <c r="K206" s="10">
        <f t="shared" si="69"/>
        <v>25202.690799999978</v>
      </c>
      <c r="L206" s="16">
        <f t="shared" si="70"/>
        <v>857.1859820159807</v>
      </c>
      <c r="M206" s="110"/>
      <c r="N206" s="111"/>
    </row>
    <row r="207" spans="1:14" ht="17.25" customHeight="1">
      <c r="A207" s="47" t="s">
        <v>194</v>
      </c>
      <c r="B207" s="6" t="s">
        <v>195</v>
      </c>
      <c r="C207" s="47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102659.09695999998</v>
      </c>
      <c r="G207" s="10">
        <f t="shared" si="68"/>
        <v>30102.181959999987</v>
      </c>
      <c r="H207" s="7">
        <f>H205+H206</f>
        <v>156050.446</v>
      </c>
      <c r="I207" s="21">
        <f>I205+I206</f>
        <v>145113.82999999999</v>
      </c>
      <c r="J207" s="7">
        <f>J205+J206</f>
        <v>170153.97279999996</v>
      </c>
      <c r="K207" s="10">
        <f t="shared" si="69"/>
        <v>25040.142799999972</v>
      </c>
      <c r="L207" s="16">
        <f t="shared" si="70"/>
        <v>17.255517823490688</v>
      </c>
      <c r="M207" s="110"/>
      <c r="N207" s="111"/>
    </row>
    <row r="208" spans="1:14" ht="17.25" customHeight="1">
      <c r="A208" s="114" t="s">
        <v>196</v>
      </c>
      <c r="B208" s="115" t="s">
        <v>197</v>
      </c>
      <c r="C208" s="47" t="s">
        <v>114</v>
      </c>
      <c r="D208" s="7">
        <v>559.39200000000005</v>
      </c>
      <c r="E208" s="47">
        <v>523.61</v>
      </c>
      <c r="F208" s="57">
        <v>744.33799999999997</v>
      </c>
      <c r="G208" s="10">
        <f t="shared" si="68"/>
        <v>220.72799999999995</v>
      </c>
      <c r="H208" s="10">
        <f>D208+ян!H208</f>
        <v>1118.7840000000001</v>
      </c>
      <c r="I208" s="8">
        <f>E208+ян!I208</f>
        <v>1047.22</v>
      </c>
      <c r="J208" s="8">
        <f>F208+ян!J208</f>
        <v>1233.7149999999999</v>
      </c>
      <c r="K208" s="10">
        <f t="shared" si="69"/>
        <v>186.49499999999989</v>
      </c>
      <c r="L208" s="16">
        <f t="shared" si="70"/>
        <v>17.808578904146206</v>
      </c>
      <c r="M208" s="110"/>
      <c r="N208" s="111"/>
    </row>
    <row r="209" spans="1:19" ht="17.25" customHeight="1">
      <c r="A209" s="114"/>
      <c r="B209" s="115"/>
      <c r="C209" s="47" t="s">
        <v>4</v>
      </c>
      <c r="D209" s="7">
        <f>D207</f>
        <v>78025.222999999998</v>
      </c>
      <c r="E209" s="21">
        <f>E207</f>
        <v>72556.914999999994</v>
      </c>
      <c r="F209" s="57">
        <f>F213*F208</f>
        <v>102659.09695999998</v>
      </c>
      <c r="G209" s="10">
        <f t="shared" si="68"/>
        <v>30102.181959999987</v>
      </c>
      <c r="H209" s="10">
        <f>D209+ян!H209</f>
        <v>156050.446</v>
      </c>
      <c r="I209" s="21">
        <f>I207</f>
        <v>145113.82999999999</v>
      </c>
      <c r="J209" s="47">
        <f>J213*J208</f>
        <v>170153.97279999996</v>
      </c>
      <c r="K209" s="10">
        <f t="shared" si="69"/>
        <v>25040.142799999972</v>
      </c>
      <c r="L209" s="16">
        <f t="shared" si="70"/>
        <v>17.255517823490688</v>
      </c>
      <c r="M209" s="110"/>
      <c r="N209" s="111"/>
    </row>
    <row r="210" spans="1:19" ht="17.25" customHeight="1">
      <c r="A210" s="47" t="s">
        <v>198</v>
      </c>
      <c r="B210" s="48" t="s">
        <v>199</v>
      </c>
      <c r="C210" s="47" t="s">
        <v>114</v>
      </c>
      <c r="D210" s="7">
        <v>761.69899999999996</v>
      </c>
      <c r="E210" s="21">
        <v>713</v>
      </c>
      <c r="F210" s="57">
        <v>952.72</v>
      </c>
      <c r="G210" s="10">
        <f t="shared" si="68"/>
        <v>239.72000000000003</v>
      </c>
      <c r="H210" s="10">
        <f>D210+ян!H210</f>
        <v>1523.3979999999999</v>
      </c>
      <c r="I210" s="8">
        <f>E210+ян!I210</f>
        <v>1426</v>
      </c>
      <c r="J210" s="8">
        <f>F210+ян!J210</f>
        <v>1598.3430000000001</v>
      </c>
      <c r="K210" s="10">
        <f t="shared" si="69"/>
        <v>172.34300000000007</v>
      </c>
      <c r="L210" s="16">
        <f t="shared" si="70"/>
        <v>12.085764375876582</v>
      </c>
      <c r="M210" s="110"/>
      <c r="N210" s="111"/>
    </row>
    <row r="211" spans="1:19" ht="17.25" customHeight="1">
      <c r="A211" s="114" t="s">
        <v>200</v>
      </c>
      <c r="B211" s="115" t="s">
        <v>201</v>
      </c>
      <c r="C211" s="47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21.872323452850793</v>
      </c>
      <c r="G211" s="10">
        <f t="shared" si="68"/>
        <v>-4.6900888893651924</v>
      </c>
      <c r="H211" s="21">
        <f>H212/H210*100</f>
        <v>26.559966600980168</v>
      </c>
      <c r="I211" s="21">
        <f>I212/I210*100</f>
        <v>26.562412342215985</v>
      </c>
      <c r="J211" s="21">
        <f>J212/J210*100</f>
        <v>22.812875584276977</v>
      </c>
      <c r="K211" s="10">
        <f t="shared" si="69"/>
        <v>-3.7495367579390084</v>
      </c>
      <c r="L211" s="16">
        <f t="shared" si="70"/>
        <v>-14.11594967216069</v>
      </c>
      <c r="M211" s="110"/>
      <c r="N211" s="111"/>
    </row>
    <row r="212" spans="1:19" ht="17.25" customHeight="1">
      <c r="A212" s="114"/>
      <c r="B212" s="115"/>
      <c r="C212" s="47" t="s">
        <v>114</v>
      </c>
      <c r="D212" s="7">
        <f>D210-D208</f>
        <v>202.3069999999999</v>
      </c>
      <c r="E212" s="7">
        <f>E210-E208</f>
        <v>189.39</v>
      </c>
      <c r="F212" s="7">
        <f>F210-F208</f>
        <v>208.38200000000006</v>
      </c>
      <c r="G212" s="10">
        <f t="shared" si="68"/>
        <v>18.992000000000075</v>
      </c>
      <c r="H212" s="7">
        <f>H210-H208</f>
        <v>404.61399999999981</v>
      </c>
      <c r="I212" s="7">
        <f>I210-I208</f>
        <v>378.78</v>
      </c>
      <c r="J212" s="7">
        <f>J210-J208</f>
        <v>364.62800000000016</v>
      </c>
      <c r="K212" s="10">
        <f t="shared" si="69"/>
        <v>-14.151999999999816</v>
      </c>
      <c r="L212" s="16">
        <f t="shared" si="70"/>
        <v>-3.7362057130787836</v>
      </c>
      <c r="M212" s="110"/>
      <c r="N212" s="111"/>
    </row>
    <row r="213" spans="1:19" s="1" customFormat="1" ht="21" customHeight="1">
      <c r="A213" s="47" t="s">
        <v>203</v>
      </c>
      <c r="B213" s="6" t="s">
        <v>204</v>
      </c>
      <c r="C213" s="47" t="s">
        <v>205</v>
      </c>
      <c r="D213" s="21">
        <f>D207/D208</f>
        <v>139.48219316686686</v>
      </c>
      <c r="E213" s="21">
        <f>E209/E208</f>
        <v>138.57052959263572</v>
      </c>
      <c r="F213" s="57">
        <v>137.91999999999999</v>
      </c>
      <c r="G213" s="10">
        <f t="shared" si="68"/>
        <v>-0.65052959263573484</v>
      </c>
      <c r="H213" s="21">
        <f>H207/H208</f>
        <v>139.48219316686686</v>
      </c>
      <c r="I213" s="21">
        <f>I207/I208</f>
        <v>138.57052959263572</v>
      </c>
      <c r="J213" s="47">
        <v>137.91999999999999</v>
      </c>
      <c r="K213" s="10">
        <f t="shared" si="69"/>
        <v>-0.65052959263573484</v>
      </c>
      <c r="L213" s="16">
        <f t="shared" si="70"/>
        <v>-0.46945739079451926</v>
      </c>
      <c r="M213" s="110"/>
      <c r="N213" s="111"/>
      <c r="O213"/>
      <c r="P213"/>
      <c r="Q213"/>
      <c r="R213"/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110"/>
      <c r="N214" s="111"/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71">E216+E217</f>
        <v>0</v>
      </c>
      <c r="F215" s="14">
        <f t="shared" si="71"/>
        <v>0</v>
      </c>
      <c r="G215" s="14">
        <f t="shared" si="71"/>
        <v>0</v>
      </c>
      <c r="H215" s="14">
        <f>H216+H217</f>
        <v>253</v>
      </c>
      <c r="I215" s="14">
        <f t="shared" ref="I215:K215" si="72">I216+I217</f>
        <v>0</v>
      </c>
      <c r="J215" s="14">
        <f t="shared" si="72"/>
        <v>0</v>
      </c>
      <c r="K215" s="14">
        <f t="shared" si="72"/>
        <v>0</v>
      </c>
      <c r="L215" s="16"/>
      <c r="M215" s="110"/>
      <c r="N215" s="111"/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/>
      <c r="K216" s="8"/>
      <c r="L216" s="16"/>
      <c r="M216" s="110"/>
      <c r="N216" s="111"/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/>
      <c r="K217" s="8"/>
      <c r="L217" s="16"/>
      <c r="M217" s="110"/>
      <c r="N217" s="111"/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</f>
        <v>173493.1462450593</v>
      </c>
      <c r="I218" s="8"/>
      <c r="J218" s="8"/>
      <c r="K218" s="8"/>
      <c r="L218" s="16"/>
      <c r="M218" s="110"/>
      <c r="N218" s="111"/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</f>
        <v>169767.16101694916</v>
      </c>
      <c r="I219" s="8"/>
      <c r="J219" s="8"/>
      <c r="K219" s="8"/>
      <c r="L219" s="16"/>
      <c r="M219" s="110"/>
      <c r="N219" s="111"/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</f>
        <v>225218.5882352941</v>
      </c>
      <c r="I220" s="8"/>
      <c r="J220" s="8"/>
      <c r="K220" s="8"/>
      <c r="L220" s="16"/>
      <c r="M220" s="110"/>
      <c r="N220" s="111"/>
    </row>
    <row r="221" spans="1:19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19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19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19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4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</row>
    <row r="226" spans="1:14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4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4" ht="16.5" customHeight="1">
      <c r="B234" s="4"/>
      <c r="C234" s="2"/>
      <c r="D234" s="2"/>
      <c r="E234" s="2"/>
      <c r="F234" s="2"/>
      <c r="G234" s="2"/>
    </row>
    <row r="235" spans="1:14" ht="15.75">
      <c r="A235" s="2"/>
      <c r="B235" s="2"/>
      <c r="C235" s="2"/>
      <c r="D235" s="2"/>
      <c r="E235" s="2"/>
      <c r="F235" s="2"/>
      <c r="G235" s="2"/>
    </row>
    <row r="236" spans="1:14" ht="15.75">
      <c r="A236" s="2"/>
      <c r="B236" s="2"/>
      <c r="C236" s="2"/>
      <c r="D236" s="2"/>
      <c r="E236" s="2"/>
      <c r="F236" s="2"/>
      <c r="G236" s="2"/>
    </row>
    <row r="237" spans="1:14" ht="15.75">
      <c r="A237" s="2"/>
      <c r="B237" s="2"/>
      <c r="C237" s="2"/>
      <c r="D237" s="2"/>
      <c r="E237" s="2"/>
      <c r="F237" s="2"/>
      <c r="G237" s="2"/>
    </row>
    <row r="238" spans="1:14" ht="15.75">
      <c r="A238" s="4" t="s">
        <v>235</v>
      </c>
      <c r="B238" s="2"/>
      <c r="C238" s="2"/>
      <c r="D238" s="2"/>
      <c r="E238" s="2"/>
      <c r="F238" s="2"/>
      <c r="G238" s="2"/>
    </row>
    <row r="239" spans="1:14" ht="15.75">
      <c r="A239" s="2"/>
      <c r="B239" s="2"/>
      <c r="C239" s="2"/>
      <c r="D239" s="2"/>
      <c r="E239" s="2"/>
      <c r="F239" s="2"/>
      <c r="G239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  <mergeCell ref="M11:N11"/>
    <mergeCell ref="M12:N12"/>
    <mergeCell ref="M13:N13"/>
    <mergeCell ref="M14:N14"/>
    <mergeCell ref="M15:N15"/>
    <mergeCell ref="M16:N1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59"/>
  <sheetViews>
    <sheetView workbookViewId="0">
      <pane xSplit="10" ySplit="15" topLeftCell="K73" activePane="bottomRight" state="frozen"/>
      <selection pane="topRight" activeCell="J1" sqref="J1"/>
      <selection pane="bottomLeft" activeCell="A16" sqref="A16"/>
      <selection pane="bottomRight" activeCell="F80" sqref="F80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style="83" customWidth="1"/>
    <col min="6" max="6" width="14.5703125" style="84" customWidth="1"/>
    <col min="7" max="7" width="12.5703125" style="83" customWidth="1"/>
    <col min="8" max="8" width="15" style="83" customWidth="1"/>
    <col min="9" max="9" width="14.7109375" style="84" customWidth="1"/>
    <col min="10" max="10" width="15.85546875" style="83" customWidth="1"/>
    <col min="11" max="11" width="12.140625" customWidth="1"/>
    <col min="12" max="12" width="10.7109375" customWidth="1"/>
    <col min="13" max="13" width="14.85546875" hidden="1" customWidth="1"/>
    <col min="14" max="14" width="15.5703125" hidden="1" customWidth="1"/>
    <col min="15" max="15" width="12.42578125" customWidth="1"/>
    <col min="16" max="16" width="15.5703125" customWidth="1"/>
    <col min="17" max="17" width="12.85546875" customWidth="1"/>
    <col min="18" max="18" width="13.28515625" customWidth="1"/>
    <col min="19" max="19" width="13.7109375" customWidth="1"/>
    <col min="20" max="20" width="11.85546875" customWidth="1"/>
  </cols>
  <sheetData>
    <row r="1" spans="1:20" ht="54" customHeight="1">
      <c r="A1" s="131" t="s">
        <v>226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0" ht="42.75" customHeight="1">
      <c r="A2" s="132" t="s">
        <v>317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20" ht="1.5" customHeight="1">
      <c r="A3" s="133"/>
      <c r="B3" s="133"/>
      <c r="C3" s="133"/>
      <c r="D3" s="69"/>
      <c r="E3" s="80"/>
      <c r="F3" s="80"/>
      <c r="G3" s="80"/>
      <c r="H3" s="82"/>
      <c r="I3" s="82"/>
      <c r="J3" s="82"/>
      <c r="K3" s="29"/>
      <c r="L3" s="29"/>
      <c r="M3" s="29"/>
      <c r="N3" s="29"/>
    </row>
    <row r="4" spans="1:20" ht="18.75">
      <c r="A4" s="134" t="s">
        <v>0</v>
      </c>
      <c r="B4" s="137" t="s">
        <v>1</v>
      </c>
      <c r="C4" s="134" t="s">
        <v>217</v>
      </c>
      <c r="D4" s="140" t="s">
        <v>304</v>
      </c>
      <c r="E4" s="141"/>
      <c r="F4" s="141"/>
      <c r="G4" s="142"/>
      <c r="H4" s="140" t="s">
        <v>227</v>
      </c>
      <c r="I4" s="141"/>
      <c r="J4" s="141"/>
      <c r="K4" s="141"/>
      <c r="L4" s="142"/>
      <c r="M4" s="143" t="s">
        <v>239</v>
      </c>
      <c r="N4" s="144"/>
    </row>
    <row r="5" spans="1:20" ht="15" customHeight="1">
      <c r="A5" s="135"/>
      <c r="B5" s="138"/>
      <c r="C5" s="135"/>
      <c r="D5" s="127" t="s">
        <v>305</v>
      </c>
      <c r="E5" s="127" t="s">
        <v>306</v>
      </c>
      <c r="F5" s="127" t="s">
        <v>229</v>
      </c>
      <c r="G5" s="127" t="s">
        <v>319</v>
      </c>
      <c r="H5" s="127" t="s">
        <v>305</v>
      </c>
      <c r="I5" s="127" t="s">
        <v>306</v>
      </c>
      <c r="J5" s="127" t="s">
        <v>229</v>
      </c>
      <c r="K5" s="127" t="s">
        <v>319</v>
      </c>
      <c r="L5" s="127" t="s">
        <v>320</v>
      </c>
      <c r="M5" s="145"/>
      <c r="N5" s="146"/>
    </row>
    <row r="6" spans="1:20" ht="41.25" customHeight="1">
      <c r="A6" s="136"/>
      <c r="B6" s="139"/>
      <c r="C6" s="136"/>
      <c r="D6" s="128"/>
      <c r="E6" s="128"/>
      <c r="F6" s="128"/>
      <c r="G6" s="128"/>
      <c r="H6" s="128"/>
      <c r="I6" s="128"/>
      <c r="J6" s="128"/>
      <c r="K6" s="128"/>
      <c r="L6" s="128"/>
      <c r="M6" s="147"/>
      <c r="N6" s="148"/>
    </row>
    <row r="7" spans="1:20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129">
        <v>8</v>
      </c>
      <c r="N7" s="130"/>
      <c r="Q7">
        <v>69376.203999999998</v>
      </c>
      <c r="R7" s="30">
        <f>F8-Q7</f>
        <v>66.285499999998137</v>
      </c>
    </row>
    <row r="8" spans="1:20" ht="39" customHeight="1">
      <c r="A8" s="65" t="s">
        <v>2</v>
      </c>
      <c r="B8" s="6" t="s">
        <v>3</v>
      </c>
      <c r="C8" s="65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69442.489499999996</v>
      </c>
      <c r="G8" s="7">
        <f>F8-E8</f>
        <v>1344.9064999999973</v>
      </c>
      <c r="H8" s="7">
        <f>H9+H87+H93+H95+H97</f>
        <v>219510.345</v>
      </c>
      <c r="I8" s="21">
        <f>I9+I87+I93+I95+I97</f>
        <v>204292.74900000001</v>
      </c>
      <c r="J8" s="7">
        <f>J9+J87+J93+J95+J97</f>
        <v>207107.45049999998</v>
      </c>
      <c r="K8" s="71">
        <f>J8-I8</f>
        <v>2814.7014999999665</v>
      </c>
      <c r="L8" s="21">
        <f>K8/I8*100</f>
        <v>1.3777784643741644</v>
      </c>
      <c r="M8" s="110"/>
      <c r="N8" s="111"/>
      <c r="P8" s="30">
        <f>F8+фев!J8</f>
        <v>207107.44949999999</v>
      </c>
      <c r="Q8">
        <f>D8*3</f>
        <v>219510.34500000003</v>
      </c>
      <c r="R8" s="44">
        <f>E8+фев!I8</f>
        <v>204292.74900000001</v>
      </c>
      <c r="S8" s="30">
        <f>F8+фев!J8</f>
        <v>207107.44949999999</v>
      </c>
      <c r="T8" s="30">
        <f>J8-S8</f>
        <v>9.9999998928979039E-4</v>
      </c>
    </row>
    <row r="9" spans="1:20" ht="17.25" customHeight="1">
      <c r="A9" s="65" t="s">
        <v>5</v>
      </c>
      <c r="B9" s="6" t="s">
        <v>6</v>
      </c>
      <c r="C9" s="65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32345.094000000005</v>
      </c>
      <c r="G9" s="7">
        <f>F9-E9</f>
        <v>210.01000000000204</v>
      </c>
      <c r="H9" s="7">
        <f>H10+H37+H72</f>
        <v>107196.318</v>
      </c>
      <c r="I9" s="21">
        <f>I10+I37+I72</f>
        <v>96405.252000000008</v>
      </c>
      <c r="J9" s="7">
        <f>J10+J37+J72</f>
        <v>106214.848</v>
      </c>
      <c r="K9" s="21">
        <f>J9-I9</f>
        <v>9809.5959999999905</v>
      </c>
      <c r="L9" s="21">
        <f>K9/I9*100</f>
        <v>10.175375092634983</v>
      </c>
      <c r="M9" s="110"/>
      <c r="N9" s="111"/>
      <c r="Q9">
        <f t="shared" ref="Q9:Q72" si="0">D9*3</f>
        <v>107196.318</v>
      </c>
      <c r="R9" s="44">
        <f>E9+фев!I9</f>
        <v>96405.252000000008</v>
      </c>
      <c r="S9" s="30">
        <f>F9+фев!J9</f>
        <v>106214.848</v>
      </c>
    </row>
    <row r="10" spans="1:20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2756.6960000000004</v>
      </c>
      <c r="G10" s="10">
        <f>F10-E10</f>
        <v>-3138.6379999999995</v>
      </c>
      <c r="H10" s="10">
        <f>H11+H30+H35</f>
        <v>22803.132000000001</v>
      </c>
      <c r="I10" s="10">
        <f>I11+I30+I35</f>
        <v>17686.002</v>
      </c>
      <c r="J10" s="10">
        <f>J11+J30+J35</f>
        <v>19639.962</v>
      </c>
      <c r="K10" s="10">
        <f>J10-I10</f>
        <v>1953.9599999999991</v>
      </c>
      <c r="L10" s="16">
        <f>K10/I10*100</f>
        <v>11.048059363557684</v>
      </c>
      <c r="M10" s="110"/>
      <c r="N10" s="111"/>
      <c r="Q10">
        <f t="shared" si="0"/>
        <v>22803.132000000001</v>
      </c>
      <c r="R10" s="44">
        <f>E10+фев!I10</f>
        <v>17686.002</v>
      </c>
      <c r="S10" s="30">
        <f>F10+фев!J10</f>
        <v>19639.962</v>
      </c>
    </row>
    <row r="11" spans="1:20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2098.8690000000001</v>
      </c>
      <c r="G11" s="10">
        <f t="shared" ref="G11:G74" si="1">F11-E11</f>
        <v>-2871.2139999999995</v>
      </c>
      <c r="H11" s="10">
        <f>H12+H15+H18+H21+H24+H27</f>
        <v>15096.735000000001</v>
      </c>
      <c r="I11" s="8">
        <f>E11+фев!I11</f>
        <v>14910.249</v>
      </c>
      <c r="J11" s="10">
        <f>J12+J15+J18+J21+J24+J27</f>
        <v>9363.7289999999994</v>
      </c>
      <c r="K11" s="10">
        <f t="shared" ref="K11:K74" si="2">J11-I11</f>
        <v>-5546.52</v>
      </c>
      <c r="L11" s="16">
        <f t="shared" ref="L11:L72" si="3">K11/I11*100</f>
        <v>-37.199378762889879</v>
      </c>
      <c r="M11" s="110"/>
      <c r="N11" s="111"/>
      <c r="Q11">
        <f t="shared" si="0"/>
        <v>15096.735000000002</v>
      </c>
      <c r="R11" s="44">
        <f>E11+фев!I11</f>
        <v>14910.249</v>
      </c>
      <c r="S11" s="30">
        <f>F11+фев!J11</f>
        <v>9363.7289999999994</v>
      </c>
    </row>
    <row r="12" spans="1:20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10">
        <v>590.75</v>
      </c>
      <c r="G12" s="10">
        <f t="shared" si="1"/>
        <v>590.75</v>
      </c>
      <c r="H12" s="10">
        <f>D12+фев!H12</f>
        <v>2556.3959999999997</v>
      </c>
      <c r="I12" s="8"/>
      <c r="J12" s="8">
        <f>F12+фев!J12</f>
        <v>1715.7860000000001</v>
      </c>
      <c r="K12" s="10">
        <f t="shared" si="2"/>
        <v>1715.7860000000001</v>
      </c>
      <c r="L12" s="16"/>
      <c r="M12" s="112" t="s">
        <v>297</v>
      </c>
      <c r="N12" s="113"/>
      <c r="Q12">
        <f t="shared" si="0"/>
        <v>2556.3959999999997</v>
      </c>
      <c r="R12" s="44">
        <f>E12+фев!I12</f>
        <v>0</v>
      </c>
      <c r="S12" s="30">
        <f>F12+фев!J12</f>
        <v>1715.7860000000001</v>
      </c>
    </row>
    <row r="13" spans="1:20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1946</v>
      </c>
      <c r="G13" s="10">
        <f t="shared" si="1"/>
        <v>1946</v>
      </c>
      <c r="H13" s="10">
        <f>D13+фев!H13</f>
        <v>11001</v>
      </c>
      <c r="I13" s="8"/>
      <c r="J13" s="8">
        <f>F13+фев!J13</f>
        <v>5652</v>
      </c>
      <c r="K13" s="14">
        <f t="shared" si="2"/>
        <v>5652</v>
      </c>
      <c r="L13" s="16"/>
      <c r="M13" s="110"/>
      <c r="N13" s="111"/>
      <c r="Q13">
        <f t="shared" si="0"/>
        <v>11001</v>
      </c>
      <c r="R13" s="44">
        <f>E13+фев!I13</f>
        <v>0</v>
      </c>
      <c r="S13" s="30">
        <f>F13+фев!J13</f>
        <v>5652</v>
      </c>
    </row>
    <row r="14" spans="1:20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303.57142857142856</v>
      </c>
      <c r="G14" s="10">
        <f t="shared" si="1"/>
        <v>303.57142857142856</v>
      </c>
      <c r="H14" s="16">
        <f>H12/H13*1000</f>
        <v>232.37851104445048</v>
      </c>
      <c r="I14" s="16"/>
      <c r="J14" s="16">
        <f t="shared" ref="J14" si="5">J12/J13*1000</f>
        <v>303.57147912243454</v>
      </c>
      <c r="K14" s="16">
        <f t="shared" si="2"/>
        <v>303.57147912243454</v>
      </c>
      <c r="L14" s="16"/>
      <c r="M14" s="110"/>
      <c r="N14" s="111"/>
      <c r="Q14">
        <f t="shared" si="0"/>
        <v>697.13553313335137</v>
      </c>
      <c r="R14" s="44">
        <f>E14+фев!I14</f>
        <v>0</v>
      </c>
      <c r="S14" s="30">
        <f>F14+фев!J14</f>
        <v>607.14293423791537</v>
      </c>
    </row>
    <row r="15" spans="1:20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87">
        <v>370.09899999999999</v>
      </c>
      <c r="G15" s="10">
        <f t="shared" si="1"/>
        <v>370.09899999999999</v>
      </c>
      <c r="H15" s="10">
        <f>D15+фев!H15</f>
        <v>8425.7279999999992</v>
      </c>
      <c r="I15" s="8"/>
      <c r="J15" s="8">
        <f>F15+фев!J15</f>
        <v>4264.1030000000001</v>
      </c>
      <c r="K15" s="10">
        <f t="shared" si="2"/>
        <v>4264.1030000000001</v>
      </c>
      <c r="L15" s="16"/>
      <c r="M15" s="110"/>
      <c r="N15" s="111"/>
      <c r="Q15">
        <f t="shared" si="0"/>
        <v>8425.7279999999992</v>
      </c>
      <c r="R15" s="44">
        <f>E15+фев!I15</f>
        <v>0</v>
      </c>
      <c r="S15" s="30">
        <f>F15+фев!J15</f>
        <v>4264.1030000000001</v>
      </c>
    </row>
    <row r="16" spans="1:20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2928</v>
      </c>
      <c r="G16" s="10">
        <f t="shared" si="1"/>
        <v>2928</v>
      </c>
      <c r="H16" s="10">
        <f>D16+фев!H16</f>
        <v>45000</v>
      </c>
      <c r="I16" s="8"/>
      <c r="J16" s="8">
        <f>F16+фев!J16</f>
        <v>33735</v>
      </c>
      <c r="K16" s="14">
        <f t="shared" si="2"/>
        <v>33735</v>
      </c>
      <c r="L16" s="16"/>
      <c r="M16" s="110"/>
      <c r="N16" s="111"/>
      <c r="Q16">
        <f t="shared" si="0"/>
        <v>45000</v>
      </c>
      <c r="R16" s="44">
        <f>E16+фев!I16</f>
        <v>0</v>
      </c>
      <c r="S16" s="30">
        <f>F16+фев!J16</f>
        <v>33735</v>
      </c>
    </row>
    <row r="17" spans="1:19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126.39993169398906</v>
      </c>
      <c r="G17" s="10">
        <f t="shared" si="1"/>
        <v>126.39993169398906</v>
      </c>
      <c r="H17" s="16">
        <f>H15/H16*1000</f>
        <v>187.23839999999998</v>
      </c>
      <c r="I17" s="16" t="e">
        <f t="shared" ref="I17:J17" si="7">I15/I16*1000</f>
        <v>#DIV/0!</v>
      </c>
      <c r="J17" s="16">
        <f t="shared" si="7"/>
        <v>126.3999703571958</v>
      </c>
      <c r="K17" s="16" t="e">
        <f t="shared" si="2"/>
        <v>#DIV/0!</v>
      </c>
      <c r="L17" s="16"/>
      <c r="M17" s="110"/>
      <c r="N17" s="111"/>
      <c r="Q17">
        <f t="shared" si="0"/>
        <v>561.7152000000001</v>
      </c>
      <c r="R17" s="44">
        <f>E17+фев!I17</f>
        <v>0</v>
      </c>
      <c r="S17" s="30">
        <f>F17+фев!J17</f>
        <v>126.39993169398906</v>
      </c>
    </row>
    <row r="18" spans="1:19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87">
        <v>32.200000000000003</v>
      </c>
      <c r="G18" s="10">
        <f t="shared" si="1"/>
        <v>32.200000000000003</v>
      </c>
      <c r="H18" s="10">
        <f>D18+фев!H18</f>
        <v>724.93799999999999</v>
      </c>
      <c r="I18" s="8"/>
      <c r="J18" s="10">
        <f>F18+фев!J18</f>
        <v>120.2</v>
      </c>
      <c r="K18" s="10">
        <f t="shared" si="2"/>
        <v>120.2</v>
      </c>
      <c r="L18" s="16"/>
      <c r="M18" s="110"/>
      <c r="N18" s="111"/>
      <c r="Q18">
        <f t="shared" si="0"/>
        <v>724.93799999999999</v>
      </c>
      <c r="R18" s="44">
        <f>E18+фев!I18</f>
        <v>0</v>
      </c>
      <c r="S18" s="30">
        <f>F18+фев!J18</f>
        <v>120.2</v>
      </c>
    </row>
    <row r="19" spans="1:19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50</v>
      </c>
      <c r="G19" s="10">
        <f t="shared" si="1"/>
        <v>50</v>
      </c>
      <c r="H19" s="10">
        <f>D19+фев!H19</f>
        <v>3075</v>
      </c>
      <c r="I19" s="8"/>
      <c r="J19" s="8">
        <f>F19+фев!J19</f>
        <v>250</v>
      </c>
      <c r="K19" s="14">
        <f t="shared" si="2"/>
        <v>250</v>
      </c>
      <c r="L19" s="16"/>
      <c r="M19" s="110"/>
      <c r="N19" s="111"/>
      <c r="Q19">
        <f t="shared" si="0"/>
        <v>3075</v>
      </c>
      <c r="R19" s="44">
        <f>E19+фев!I19</f>
        <v>0</v>
      </c>
      <c r="S19" s="30">
        <f>F19+фев!J19</f>
        <v>250</v>
      </c>
    </row>
    <row r="20" spans="1:19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3"/>
      <c r="F20" s="8"/>
      <c r="G20" s="10">
        <f t="shared" si="1"/>
        <v>0</v>
      </c>
      <c r="H20" s="16">
        <f>H18/H19*1000</f>
        <v>235.75219512195122</v>
      </c>
      <c r="I20" s="16"/>
      <c r="J20" s="16">
        <f t="shared" ref="J20" si="8">J18/J19*1000</f>
        <v>480.8</v>
      </c>
      <c r="K20" s="16">
        <f t="shared" si="2"/>
        <v>480.8</v>
      </c>
      <c r="L20" s="16"/>
      <c r="M20" s="110"/>
      <c r="N20" s="111"/>
      <c r="Q20">
        <f t="shared" si="0"/>
        <v>707.25658536585354</v>
      </c>
      <c r="R20" s="44">
        <f>E20+фев!I20</f>
        <v>0</v>
      </c>
      <c r="S20" s="30">
        <f>F20+фев!J20</f>
        <v>0</v>
      </c>
    </row>
    <row r="21" spans="1:19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87">
        <v>897.9</v>
      </c>
      <c r="G21" s="10">
        <f t="shared" si="1"/>
        <v>897.9</v>
      </c>
      <c r="H21" s="10">
        <f>D21+фев!H21</f>
        <v>2252.19</v>
      </c>
      <c r="I21" s="8"/>
      <c r="J21" s="10">
        <f>F21+фев!J21</f>
        <v>3055.72</v>
      </c>
      <c r="K21" s="10">
        <f t="shared" si="2"/>
        <v>3055.72</v>
      </c>
      <c r="L21" s="16"/>
      <c r="M21" s="110"/>
      <c r="N21" s="111"/>
      <c r="Q21">
        <f t="shared" si="0"/>
        <v>2252.19</v>
      </c>
      <c r="R21" s="44">
        <f>E21+фев!I21</f>
        <v>0</v>
      </c>
      <c r="S21" s="30">
        <f>F21+фев!J21</f>
        <v>3055.72</v>
      </c>
    </row>
    <row r="22" spans="1:19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5250</v>
      </c>
      <c r="G22" s="10">
        <f t="shared" si="1"/>
        <v>5250</v>
      </c>
      <c r="H22" s="10">
        <f>D22+фев!H22</f>
        <v>17649</v>
      </c>
      <c r="I22" s="8"/>
      <c r="J22" s="8">
        <f>F22+фев!J22</f>
        <v>17540</v>
      </c>
      <c r="K22" s="14">
        <f t="shared" si="2"/>
        <v>17540</v>
      </c>
      <c r="L22" s="16"/>
      <c r="M22" s="110"/>
      <c r="N22" s="111"/>
      <c r="Q22">
        <f t="shared" si="0"/>
        <v>17649</v>
      </c>
      <c r="R22" s="44">
        <f>E22+фев!I22</f>
        <v>0</v>
      </c>
      <c r="S22" s="30">
        <f>F22+фев!J22</f>
        <v>17540</v>
      </c>
    </row>
    <row r="23" spans="1:19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3"/>
      <c r="F23" s="16">
        <f t="shared" ref="F23" si="9">F21/F22*1000</f>
        <v>171.02857142857141</v>
      </c>
      <c r="G23" s="10">
        <f t="shared" si="1"/>
        <v>171.02857142857141</v>
      </c>
      <c r="H23" s="16">
        <f>H21/H22*1000</f>
        <v>127.61006289308177</v>
      </c>
      <c r="I23" s="8"/>
      <c r="J23" s="16">
        <f t="shared" ref="J23" si="10">J21/J22*1000</f>
        <v>174.21436716077534</v>
      </c>
      <c r="K23" s="16">
        <f t="shared" si="2"/>
        <v>174.21436716077534</v>
      </c>
      <c r="L23" s="16"/>
      <c r="M23" s="110"/>
      <c r="N23" s="111"/>
      <c r="Q23">
        <f t="shared" si="0"/>
        <v>382.83018867924534</v>
      </c>
      <c r="R23" s="44">
        <f>E23+фев!I23</f>
        <v>0</v>
      </c>
      <c r="S23" s="30">
        <f>F23+фев!J23</f>
        <v>171.02857142857141</v>
      </c>
    </row>
    <row r="24" spans="1:19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13"/>
      <c r="F24" s="10">
        <v>207.92</v>
      </c>
      <c r="G24" s="10">
        <f t="shared" si="1"/>
        <v>207.92</v>
      </c>
      <c r="H24" s="10">
        <f>D24+фев!H24</f>
        <v>495.01499999999999</v>
      </c>
      <c r="I24" s="8"/>
      <c r="J24" s="10">
        <f>F24+фев!J24</f>
        <v>207.92</v>
      </c>
      <c r="K24" s="10">
        <f t="shared" si="2"/>
        <v>207.92</v>
      </c>
      <c r="L24" s="16"/>
      <c r="M24" s="110"/>
      <c r="N24" s="111"/>
      <c r="Q24">
        <f t="shared" si="0"/>
        <v>495.01499999999999</v>
      </c>
      <c r="R24" s="44">
        <f>E24+фев!I24</f>
        <v>0</v>
      </c>
      <c r="S24" s="30">
        <f>F24+фев!J24</f>
        <v>207.92</v>
      </c>
    </row>
    <row r="25" spans="1:19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400</v>
      </c>
      <c r="G25" s="10">
        <f t="shared" si="1"/>
        <v>400</v>
      </c>
      <c r="H25" s="10">
        <f>D25+фев!H25</f>
        <v>753</v>
      </c>
      <c r="I25" s="8"/>
      <c r="J25" s="8">
        <f>F25+фев!J25</f>
        <v>400</v>
      </c>
      <c r="K25" s="14">
        <f t="shared" si="2"/>
        <v>400</v>
      </c>
      <c r="L25" s="16"/>
      <c r="M25" s="110"/>
      <c r="N25" s="111"/>
      <c r="Q25">
        <f t="shared" si="0"/>
        <v>753</v>
      </c>
      <c r="R25" s="44">
        <f>E25+фев!I25</f>
        <v>0</v>
      </c>
      <c r="S25" s="30">
        <f>F25+фев!J25</f>
        <v>400</v>
      </c>
    </row>
    <row r="26" spans="1:19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/>
      <c r="F26" s="16">
        <f t="shared" ref="F26" si="11">F24/F25*1000</f>
        <v>519.79999999999995</v>
      </c>
      <c r="G26" s="10">
        <f t="shared" si="1"/>
        <v>519.79999999999995</v>
      </c>
      <c r="H26" s="16">
        <f>H24/H25*1000</f>
        <v>657.39043824701196</v>
      </c>
      <c r="I26" s="16"/>
      <c r="J26" s="16"/>
      <c r="K26" s="10"/>
      <c r="L26" s="16"/>
      <c r="M26" s="110"/>
      <c r="N26" s="111"/>
      <c r="Q26">
        <f t="shared" si="0"/>
        <v>1972.171314741036</v>
      </c>
      <c r="R26" s="44">
        <f>E26+фев!I26</f>
        <v>0</v>
      </c>
      <c r="S26" s="30">
        <f>F26+фев!J26</f>
        <v>519.79999999999995</v>
      </c>
    </row>
    <row r="27" spans="1:19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1"/>
        <v>0</v>
      </c>
      <c r="H27" s="10">
        <f>D27+фев!H27</f>
        <v>642.46800000000007</v>
      </c>
      <c r="I27" s="8"/>
      <c r="J27" s="8">
        <f>F27+фев!J27</f>
        <v>0</v>
      </c>
      <c r="K27" s="10">
        <f t="shared" si="2"/>
        <v>0</v>
      </c>
      <c r="L27" s="16"/>
      <c r="M27" s="110"/>
      <c r="N27" s="111"/>
      <c r="Q27">
        <f t="shared" si="0"/>
        <v>642.46800000000007</v>
      </c>
      <c r="R27" s="44">
        <f>E27+фев!I27</f>
        <v>0</v>
      </c>
      <c r="S27" s="30">
        <f>F27+фев!J27</f>
        <v>0</v>
      </c>
    </row>
    <row r="28" spans="1:19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1"/>
        <v>0</v>
      </c>
      <c r="H28" s="10">
        <f>D28+фев!H28</f>
        <v>714</v>
      </c>
      <c r="I28" s="8"/>
      <c r="J28" s="8">
        <f>F28+фев!J28</f>
        <v>0</v>
      </c>
      <c r="K28" s="14">
        <f t="shared" si="2"/>
        <v>0</v>
      </c>
      <c r="L28" s="16"/>
      <c r="M28" s="110"/>
      <c r="N28" s="111"/>
      <c r="Q28">
        <f t="shared" si="0"/>
        <v>714</v>
      </c>
      <c r="R28" s="44">
        <f>E28+фев!I28</f>
        <v>0</v>
      </c>
      <c r="S28" s="30">
        <f>F28+фев!J28</f>
        <v>0</v>
      </c>
    </row>
    <row r="29" spans="1:19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1"/>
        <v>0</v>
      </c>
      <c r="H29" s="16">
        <f>H27/H28*1000</f>
        <v>899.81512605042019</v>
      </c>
      <c r="I29" s="8"/>
      <c r="J29" s="13"/>
      <c r="K29" s="16">
        <f t="shared" si="2"/>
        <v>0</v>
      </c>
      <c r="L29" s="16"/>
      <c r="M29" s="110"/>
      <c r="N29" s="111"/>
      <c r="Q29">
        <f t="shared" si="0"/>
        <v>2699.4453781512607</v>
      </c>
      <c r="R29" s="44">
        <f>E29+фев!I29</f>
        <v>0</v>
      </c>
      <c r="S29" s="30">
        <f>F29+фев!J29</f>
        <v>0</v>
      </c>
    </row>
    <row r="30" spans="1:19" ht="17.25" customHeight="1">
      <c r="A30" s="18" t="s">
        <v>26</v>
      </c>
      <c r="B30" s="9" t="s">
        <v>27</v>
      </c>
      <c r="C30" s="8" t="s">
        <v>4</v>
      </c>
      <c r="D30" s="10">
        <f t="shared" ref="D30" si="12">D31+D32+D33+D34</f>
        <v>2406.0839999999998</v>
      </c>
      <c r="E30" s="8">
        <v>762.50099999999998</v>
      </c>
      <c r="F30" s="10">
        <f>F31+F32+F33+F34</f>
        <v>309.06299999999999</v>
      </c>
      <c r="G30" s="10">
        <f t="shared" si="1"/>
        <v>-453.43799999999999</v>
      </c>
      <c r="H30" s="10">
        <f t="shared" ref="H30" si="13">H31+H32+H33+H34</f>
        <v>7218.2520000000004</v>
      </c>
      <c r="I30" s="8">
        <f>E30+фев!I30</f>
        <v>2287.5029999999997</v>
      </c>
      <c r="J30" s="10">
        <f t="shared" ref="J30" si="14">J31+J32+J33+J34</f>
        <v>8571.0569999999989</v>
      </c>
      <c r="K30" s="10">
        <f t="shared" si="2"/>
        <v>6283.5539999999992</v>
      </c>
      <c r="L30" s="16">
        <f t="shared" si="3"/>
        <v>274.69052499603276</v>
      </c>
      <c r="M30" s="110"/>
      <c r="N30" s="111"/>
      <c r="Q30">
        <f t="shared" si="0"/>
        <v>7218.2519999999995</v>
      </c>
      <c r="R30" s="44">
        <f>E30+фев!I30</f>
        <v>2287.5029999999997</v>
      </c>
      <c r="S30" s="30">
        <f>F30+фев!J30</f>
        <v>8571.0570000000007</v>
      </c>
    </row>
    <row r="31" spans="1:19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8">
        <v>257.50299999999999</v>
      </c>
      <c r="G31" s="10">
        <f t="shared" si="1"/>
        <v>257.50299999999999</v>
      </c>
      <c r="H31" s="10">
        <f>D31+фев!H31</f>
        <v>6865.5659999999998</v>
      </c>
      <c r="I31" s="8"/>
      <c r="J31" s="8">
        <f>F31+фев!J31</f>
        <v>8310.4809999999998</v>
      </c>
      <c r="K31" s="10">
        <f t="shared" si="2"/>
        <v>8310.4809999999998</v>
      </c>
      <c r="L31" s="16"/>
      <c r="M31" s="110"/>
      <c r="N31" s="111"/>
      <c r="O31">
        <f>P31-J31</f>
        <v>0</v>
      </c>
      <c r="P31">
        <f>8310.481</f>
        <v>8310.4809999999998</v>
      </c>
      <c r="Q31">
        <f t="shared" si="0"/>
        <v>6865.5659999999998</v>
      </c>
      <c r="R31" s="44">
        <f>E31+фев!I31</f>
        <v>0</v>
      </c>
      <c r="S31" s="30">
        <f>F31+фев!J31</f>
        <v>8310.4809999999998</v>
      </c>
    </row>
    <row r="32" spans="1:19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10">
        <v>19.641999999999999</v>
      </c>
      <c r="G32" s="10">
        <f t="shared" si="1"/>
        <v>19.641999999999999</v>
      </c>
      <c r="H32" s="10">
        <f>D32+фев!H32</f>
        <v>181.01100000000002</v>
      </c>
      <c r="I32" s="8"/>
      <c r="J32" s="8">
        <f>F32+фев!J32</f>
        <v>149.80199999999999</v>
      </c>
      <c r="K32" s="10">
        <f t="shared" si="2"/>
        <v>149.80199999999999</v>
      </c>
      <c r="L32" s="16"/>
      <c r="M32" s="112" t="s">
        <v>285</v>
      </c>
      <c r="N32" s="113"/>
      <c r="Q32">
        <f t="shared" si="0"/>
        <v>181.01100000000002</v>
      </c>
      <c r="R32" s="44">
        <f>E32+фев!I32</f>
        <v>0</v>
      </c>
      <c r="S32" s="30">
        <f>F32+фев!J32</f>
        <v>149.80199999999999</v>
      </c>
    </row>
    <row r="33" spans="1:19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8">
        <v>19.367000000000001</v>
      </c>
      <c r="G33" s="10">
        <f t="shared" si="1"/>
        <v>19.367000000000001</v>
      </c>
      <c r="H33" s="10">
        <f>D33+фев!H33</f>
        <v>59.210999999999999</v>
      </c>
      <c r="I33" s="8"/>
      <c r="J33" s="8">
        <f>F33+фев!J33</f>
        <v>35.088999999999999</v>
      </c>
      <c r="K33" s="10">
        <f t="shared" si="2"/>
        <v>35.088999999999999</v>
      </c>
      <c r="L33" s="16"/>
      <c r="M33" s="110"/>
      <c r="N33" s="111"/>
      <c r="Q33">
        <f t="shared" si="0"/>
        <v>59.210999999999999</v>
      </c>
      <c r="R33" s="44">
        <f>E33+фев!I33</f>
        <v>0</v>
      </c>
      <c r="S33" s="30">
        <f>F33+фев!J33</f>
        <v>35.088999999999999</v>
      </c>
    </row>
    <row r="34" spans="1:19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8">
        <v>12.551</v>
      </c>
      <c r="G34" s="10">
        <f t="shared" si="1"/>
        <v>12.551</v>
      </c>
      <c r="H34" s="10">
        <f>D34+фев!H34</f>
        <v>112.464</v>
      </c>
      <c r="I34" s="8"/>
      <c r="J34" s="8">
        <f>F34+фев!J34</f>
        <v>75.685000000000002</v>
      </c>
      <c r="K34" s="10">
        <f t="shared" si="2"/>
        <v>75.685000000000002</v>
      </c>
      <c r="L34" s="16"/>
      <c r="M34" s="110"/>
      <c r="N34" s="111"/>
      <c r="Q34">
        <f t="shared" si="0"/>
        <v>112.464</v>
      </c>
      <c r="R34" s="44">
        <f>E34+фев!I34</f>
        <v>0</v>
      </c>
      <c r="S34" s="30">
        <f>F34+фев!J34</f>
        <v>75.685000000000002</v>
      </c>
    </row>
    <row r="35" spans="1:19" ht="17.25" customHeight="1">
      <c r="A35" s="18" t="s">
        <v>36</v>
      </c>
      <c r="B35" s="9" t="s">
        <v>37</v>
      </c>
      <c r="C35" s="8" t="s">
        <v>4</v>
      </c>
      <c r="D35" s="10">
        <f t="shared" ref="D35:J35" si="15">D36</f>
        <v>162.715</v>
      </c>
      <c r="E35" s="10">
        <f t="shared" si="15"/>
        <v>162.75</v>
      </c>
      <c r="F35" s="10">
        <f t="shared" si="15"/>
        <v>348.76400000000001</v>
      </c>
      <c r="G35" s="10">
        <f t="shared" si="1"/>
        <v>186.01400000000001</v>
      </c>
      <c r="H35" s="10">
        <f t="shared" si="15"/>
        <v>488.14499999999998</v>
      </c>
      <c r="I35" s="10">
        <f t="shared" si="15"/>
        <v>488.25</v>
      </c>
      <c r="J35" s="10">
        <f t="shared" si="15"/>
        <v>1705.1759999999999</v>
      </c>
      <c r="K35" s="10">
        <f t="shared" si="2"/>
        <v>1216.9259999999999</v>
      </c>
      <c r="L35" s="16">
        <f t="shared" si="3"/>
        <v>249.24239631336405</v>
      </c>
      <c r="M35" s="110"/>
      <c r="N35" s="111"/>
      <c r="Q35">
        <f t="shared" si="0"/>
        <v>488.14499999999998</v>
      </c>
      <c r="R35" s="44">
        <f>E35+фев!I35</f>
        <v>488.25</v>
      </c>
      <c r="S35" s="30">
        <f>F35+фев!J35</f>
        <v>1705.1759999999999</v>
      </c>
    </row>
    <row r="36" spans="1:19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86">
        <f>348.764</f>
        <v>348.76400000000001</v>
      </c>
      <c r="G36" s="10">
        <f t="shared" si="1"/>
        <v>186.01400000000001</v>
      </c>
      <c r="H36" s="10">
        <f>D36+фев!H36</f>
        <v>488.14499999999998</v>
      </c>
      <c r="I36" s="8">
        <f>E36+фев!I36</f>
        <v>488.25</v>
      </c>
      <c r="J36" s="8">
        <f>F36+фев!J36</f>
        <v>1705.1759999999999</v>
      </c>
      <c r="K36" s="10">
        <f t="shared" si="2"/>
        <v>1216.9259999999999</v>
      </c>
      <c r="L36" s="16">
        <f t="shared" si="3"/>
        <v>249.24239631336405</v>
      </c>
      <c r="M36" s="110"/>
      <c r="N36" s="111"/>
      <c r="O36">
        <f>P36-J36</f>
        <v>0</v>
      </c>
      <c r="P36">
        <v>1705.1759999999999</v>
      </c>
      <c r="Q36">
        <f t="shared" si="0"/>
        <v>488.14499999999998</v>
      </c>
      <c r="R36" s="44">
        <f>E36+фев!I36</f>
        <v>488.25</v>
      </c>
      <c r="S36" s="30">
        <f>F36+фев!J36</f>
        <v>1705.1759999999999</v>
      </c>
    </row>
    <row r="37" spans="1:19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2187.5830000000001</v>
      </c>
      <c r="G37" s="10">
        <f t="shared" si="1"/>
        <v>254.5</v>
      </c>
      <c r="H37" s="10">
        <f>H38+H41+H48+H51</f>
        <v>4840.1730000000007</v>
      </c>
      <c r="I37" s="8">
        <f>E37+фев!I37</f>
        <v>5799.2489999999998</v>
      </c>
      <c r="J37" s="10">
        <f>J38+J41+J48+J51</f>
        <v>7594.4030000000002</v>
      </c>
      <c r="K37" s="10">
        <f t="shared" si="2"/>
        <v>1795.1540000000005</v>
      </c>
      <c r="L37" s="16">
        <f t="shared" si="3"/>
        <v>30.954939165398837</v>
      </c>
      <c r="M37" s="110"/>
      <c r="N37" s="111"/>
      <c r="Q37">
        <f t="shared" si="0"/>
        <v>4840.1729999999998</v>
      </c>
      <c r="R37" s="44">
        <f>E37+фев!I37</f>
        <v>5799.2489999999998</v>
      </c>
      <c r="S37" s="30">
        <f>F37+фев!J37</f>
        <v>7594.4030000000002</v>
      </c>
    </row>
    <row r="38" spans="1:19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>
        <v>1102.002</v>
      </c>
      <c r="G38" s="10">
        <f t="shared" si="1"/>
        <v>394.66899999999998</v>
      </c>
      <c r="H38" s="10">
        <f>D38+фев!H38</f>
        <v>2121.9750000000004</v>
      </c>
      <c r="I38" s="8">
        <f>E38+фев!I38</f>
        <v>2121.9989999999998</v>
      </c>
      <c r="J38" s="10">
        <f>F38+фев!J38</f>
        <v>4327.07</v>
      </c>
      <c r="K38" s="10">
        <f t="shared" si="2"/>
        <v>2205.0709999999999</v>
      </c>
      <c r="L38" s="16">
        <f t="shared" si="3"/>
        <v>103.91479920584317</v>
      </c>
      <c r="M38" s="110"/>
      <c r="N38" s="111"/>
      <c r="Q38">
        <f t="shared" si="0"/>
        <v>2121.9750000000004</v>
      </c>
      <c r="R38" s="44">
        <f>E38+фев!I38</f>
        <v>2121.9989999999998</v>
      </c>
      <c r="S38" s="30">
        <f>F38+фев!J38</f>
        <v>4327.07</v>
      </c>
    </row>
    <row r="39" spans="1:19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177</v>
      </c>
      <c r="G39" s="10">
        <f t="shared" si="1"/>
        <v>177</v>
      </c>
      <c r="H39" s="10">
        <f>D39+фев!H39</f>
        <v>261</v>
      </c>
      <c r="I39" s="8"/>
      <c r="J39" s="8">
        <f>F39+фев!J39</f>
        <v>695</v>
      </c>
      <c r="K39" s="14">
        <f t="shared" si="2"/>
        <v>695</v>
      </c>
      <c r="L39" s="16"/>
      <c r="M39" s="110"/>
      <c r="N39" s="111"/>
      <c r="Q39">
        <f t="shared" si="0"/>
        <v>261</v>
      </c>
      <c r="R39" s="44">
        <f>E39+фев!I39</f>
        <v>0</v>
      </c>
      <c r="S39" s="30">
        <f>F39+фев!J39</f>
        <v>695</v>
      </c>
    </row>
    <row r="40" spans="1:19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6">F38/F39*1000</f>
        <v>6226</v>
      </c>
      <c r="G40" s="10">
        <f t="shared" si="1"/>
        <v>6226</v>
      </c>
      <c r="H40" s="16">
        <f>H38/H39*1000</f>
        <v>8130.1724137931051</v>
      </c>
      <c r="I40" s="16"/>
      <c r="J40" s="16">
        <f t="shared" ref="J40" si="17">J38/J39*1000</f>
        <v>6226</v>
      </c>
      <c r="K40" s="14">
        <f t="shared" si="2"/>
        <v>6226</v>
      </c>
      <c r="L40" s="16"/>
      <c r="M40" s="110"/>
      <c r="N40" s="111"/>
      <c r="Q40">
        <f t="shared" si="0"/>
        <v>24390.517241379315</v>
      </c>
      <c r="R40" s="44">
        <f>E40+фев!I40</f>
        <v>0</v>
      </c>
      <c r="S40" s="30">
        <f>F40+фев!J40</f>
        <v>12452</v>
      </c>
    </row>
    <row r="41" spans="1:19" ht="17.25" customHeight="1">
      <c r="A41" s="18" t="s">
        <v>45</v>
      </c>
      <c r="B41" s="9" t="s">
        <v>46</v>
      </c>
      <c r="C41" s="8" t="s">
        <v>4</v>
      </c>
      <c r="D41" s="10">
        <f t="shared" ref="D41:F41" si="18">D42+D45</f>
        <v>315.00200000000001</v>
      </c>
      <c r="E41" s="10">
        <f t="shared" si="18"/>
        <v>0</v>
      </c>
      <c r="F41" s="10">
        <f t="shared" si="18"/>
        <v>319.78800000000001</v>
      </c>
      <c r="G41" s="10">
        <f t="shared" si="1"/>
        <v>319.78800000000001</v>
      </c>
      <c r="H41" s="10">
        <f t="shared" ref="H41:J41" si="19">H42+H45</f>
        <v>945.00600000000009</v>
      </c>
      <c r="I41" s="10">
        <f t="shared" si="19"/>
        <v>0</v>
      </c>
      <c r="J41" s="10">
        <f t="shared" si="19"/>
        <v>1140.3879999999999</v>
      </c>
      <c r="K41" s="10">
        <f t="shared" si="2"/>
        <v>1140.3879999999999</v>
      </c>
      <c r="L41" s="16"/>
      <c r="M41" s="110"/>
      <c r="N41" s="111"/>
      <c r="Q41">
        <f t="shared" si="0"/>
        <v>945.00600000000009</v>
      </c>
      <c r="R41" s="44">
        <f>E41+фев!I41</f>
        <v>0</v>
      </c>
      <c r="S41" s="30">
        <f>F41+фев!J41</f>
        <v>1140.3879999999999</v>
      </c>
    </row>
    <row r="42" spans="1:19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f>D42+фев!H42</f>
        <v>456.89400000000001</v>
      </c>
      <c r="I42" s="8"/>
      <c r="J42" s="8">
        <f>F42+фев!J42</f>
        <v>0</v>
      </c>
      <c r="K42" s="10">
        <f t="shared" si="2"/>
        <v>0</v>
      </c>
      <c r="L42" s="16"/>
      <c r="M42" s="123" t="s">
        <v>286</v>
      </c>
      <c r="N42" s="124"/>
      <c r="Q42">
        <f t="shared" si="0"/>
        <v>456.89400000000001</v>
      </c>
      <c r="R42" s="44">
        <f>E42+фев!I42</f>
        <v>0</v>
      </c>
      <c r="S42" s="30">
        <f>F42+фев!J42</f>
        <v>0</v>
      </c>
    </row>
    <row r="43" spans="1:19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1"/>
        <v>0</v>
      </c>
      <c r="H43" s="10">
        <f>D43+фев!H43</f>
        <v>5751</v>
      </c>
      <c r="I43" s="8"/>
      <c r="J43" s="8">
        <f>F43+фев!J43</f>
        <v>0</v>
      </c>
      <c r="K43" s="14">
        <f t="shared" si="2"/>
        <v>0</v>
      </c>
      <c r="L43" s="16"/>
      <c r="M43" s="125"/>
      <c r="N43" s="126"/>
      <c r="Q43">
        <f t="shared" si="0"/>
        <v>5751</v>
      </c>
      <c r="R43" s="44">
        <f>E43+фев!I43</f>
        <v>0</v>
      </c>
      <c r="S43" s="30">
        <f>F43+фев!J43</f>
        <v>0</v>
      </c>
    </row>
    <row r="44" spans="1:19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1"/>
        <v>0</v>
      </c>
      <c r="H44" s="16">
        <f>H42/H43*1000</f>
        <v>79.44600938967136</v>
      </c>
      <c r="I44" s="8"/>
      <c r="J44" s="13"/>
      <c r="K44" s="11">
        <f t="shared" si="2"/>
        <v>0</v>
      </c>
      <c r="L44" s="16"/>
      <c r="M44" s="110"/>
      <c r="N44" s="111"/>
      <c r="Q44">
        <f t="shared" si="0"/>
        <v>238.33802816901408</v>
      </c>
      <c r="R44" s="44">
        <f>E44+фев!I44</f>
        <v>0</v>
      </c>
      <c r="S44" s="30">
        <f>F44+фев!J44</f>
        <v>0</v>
      </c>
    </row>
    <row r="45" spans="1:19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86">
        <v>319.78800000000001</v>
      </c>
      <c r="G45" s="10">
        <f t="shared" si="1"/>
        <v>319.78800000000001</v>
      </c>
      <c r="H45" s="10">
        <f>D45+фев!H45</f>
        <v>488.11200000000002</v>
      </c>
      <c r="I45" s="8">
        <f>E45+фев!I45</f>
        <v>0</v>
      </c>
      <c r="J45" s="8">
        <f>F45+фев!J45</f>
        <v>1140.3879999999999</v>
      </c>
      <c r="K45" s="10">
        <f t="shared" si="2"/>
        <v>1140.3879999999999</v>
      </c>
      <c r="L45" s="16"/>
      <c r="M45" s="110"/>
      <c r="N45" s="111"/>
      <c r="Q45">
        <f t="shared" si="0"/>
        <v>488.11200000000002</v>
      </c>
      <c r="R45" s="44">
        <f>E45+фев!I45</f>
        <v>0</v>
      </c>
      <c r="S45" s="30">
        <f>F45+фев!J45</f>
        <v>1140.3879999999999</v>
      </c>
    </row>
    <row r="46" spans="1:19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2323</v>
      </c>
      <c r="G46" s="10">
        <f t="shared" si="1"/>
        <v>2323</v>
      </c>
      <c r="H46" s="10">
        <f>D46+фев!H46</f>
        <v>4251</v>
      </c>
      <c r="I46" s="8"/>
      <c r="J46" s="8">
        <f>F46+фев!J46</f>
        <v>8026</v>
      </c>
      <c r="K46" s="14">
        <f t="shared" si="2"/>
        <v>8026</v>
      </c>
      <c r="L46" s="16"/>
      <c r="M46" s="110"/>
      <c r="N46" s="111"/>
      <c r="Q46">
        <f t="shared" si="0"/>
        <v>4251</v>
      </c>
      <c r="R46" s="44">
        <f>E46+фев!I46</f>
        <v>0</v>
      </c>
      <c r="S46" s="30">
        <f>F46+фев!J46</f>
        <v>8026</v>
      </c>
    </row>
    <row r="47" spans="1:19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137.66164442531209</v>
      </c>
      <c r="G47" s="10">
        <f t="shared" si="1"/>
        <v>137.66164442531209</v>
      </c>
      <c r="H47" s="16">
        <f>H45/H46*1000</f>
        <v>114.82286520818631</v>
      </c>
      <c r="I47" s="16"/>
      <c r="J47" s="16">
        <f t="shared" ref="J47" si="21">J45/J46*1000</f>
        <v>142.0867181659606</v>
      </c>
      <c r="K47" s="16">
        <f t="shared" si="2"/>
        <v>142.0867181659606</v>
      </c>
      <c r="L47" s="16"/>
      <c r="M47" s="110"/>
      <c r="N47" s="111"/>
      <c r="Q47">
        <f t="shared" si="0"/>
        <v>344.46859562455893</v>
      </c>
      <c r="R47" s="44">
        <f>E47+фев!I47</f>
        <v>0</v>
      </c>
      <c r="S47" s="30">
        <f>F47+фев!J47</f>
        <v>137.66164442531209</v>
      </c>
    </row>
    <row r="48" spans="1:19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86">
        <f>618.869+146.334</f>
        <v>765.20299999999997</v>
      </c>
      <c r="G48" s="10">
        <f t="shared" si="1"/>
        <v>765.20299999999997</v>
      </c>
      <c r="H48" s="10">
        <f>D48+фев!H48</f>
        <v>1546.8239999999998</v>
      </c>
      <c r="I48" s="8"/>
      <c r="J48" s="8">
        <f>F48+фев!J48</f>
        <v>2115.0950000000003</v>
      </c>
      <c r="K48" s="10">
        <f t="shared" si="2"/>
        <v>2115.0950000000003</v>
      </c>
      <c r="L48" s="16"/>
      <c r="M48" s="110"/>
      <c r="N48" s="111"/>
      <c r="P48">
        <f>1307.681+807.414</f>
        <v>2115.0950000000003</v>
      </c>
      <c r="Q48">
        <f t="shared" si="0"/>
        <v>1546.8239999999998</v>
      </c>
      <c r="R48" s="44">
        <f>E48+фев!I48</f>
        <v>0</v>
      </c>
      <c r="S48" s="30">
        <f>F48+фев!J48</f>
        <v>2115.0950000000003</v>
      </c>
    </row>
    <row r="49" spans="1:19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4277</v>
      </c>
      <c r="G49" s="10">
        <f t="shared" si="1"/>
        <v>4277</v>
      </c>
      <c r="H49" s="10">
        <f>D49+фев!H49</f>
        <v>17499</v>
      </c>
      <c r="I49" s="8"/>
      <c r="J49" s="8">
        <f>F49+фев!J49</f>
        <v>12776</v>
      </c>
      <c r="K49" s="10">
        <f t="shared" si="2"/>
        <v>12776</v>
      </c>
      <c r="L49" s="16"/>
      <c r="M49" s="110"/>
      <c r="N49" s="111"/>
      <c r="Q49">
        <f t="shared" si="0"/>
        <v>17499</v>
      </c>
      <c r="R49" s="44">
        <f>E49+фев!I49</f>
        <v>0</v>
      </c>
      <c r="S49" s="30">
        <f>F49+фев!J49</f>
        <v>12776</v>
      </c>
    </row>
    <row r="50" spans="1:19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178.9111526771101</v>
      </c>
      <c r="G50" s="10">
        <f t="shared" si="1"/>
        <v>178.9111526771101</v>
      </c>
      <c r="H50" s="16">
        <f>H48/H49*1000</f>
        <v>88.394993999657117</v>
      </c>
      <c r="I50" s="8"/>
      <c r="J50" s="16">
        <f t="shared" ref="J50" si="23">J48/J49*1000</f>
        <v>165.55220726361929</v>
      </c>
      <c r="K50" s="10">
        <f t="shared" si="2"/>
        <v>165.55220726361929</v>
      </c>
      <c r="L50" s="16"/>
      <c r="M50" s="110"/>
      <c r="N50" s="111"/>
      <c r="Q50">
        <f t="shared" si="0"/>
        <v>265.18498199897135</v>
      </c>
      <c r="R50" s="44">
        <f>E50+фев!I50</f>
        <v>0</v>
      </c>
      <c r="S50" s="30">
        <f>F50+фев!J50</f>
        <v>178.9111526771101</v>
      </c>
    </row>
    <row r="51" spans="1:19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0.59</v>
      </c>
      <c r="G51" s="10">
        <f t="shared" si="1"/>
        <v>0.59</v>
      </c>
      <c r="H51" s="10">
        <f t="shared" ref="H51:H52" si="25">H54+H57+H60+H63+H66+H69</f>
        <v>226.36799999999999</v>
      </c>
      <c r="I51" s="8"/>
      <c r="J51" s="10">
        <f t="shared" ref="J51" si="26">J54+J57+J60+J63+J66+J69</f>
        <v>11.85</v>
      </c>
      <c r="K51" s="10">
        <f t="shared" si="2"/>
        <v>11.85</v>
      </c>
      <c r="L51" s="16"/>
      <c r="M51" s="110"/>
      <c r="N51" s="111"/>
      <c r="Q51">
        <f t="shared" si="0"/>
        <v>226.36799999999999</v>
      </c>
      <c r="R51" s="44">
        <f>E51+фев!I51</f>
        <v>0</v>
      </c>
      <c r="S51" s="30">
        <f>F51+фев!J51</f>
        <v>11.85</v>
      </c>
    </row>
    <row r="52" spans="1:19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8"/>
      <c r="G52" s="10">
        <f t="shared" si="1"/>
        <v>0</v>
      </c>
      <c r="H52" s="14">
        <f t="shared" si="25"/>
        <v>531</v>
      </c>
      <c r="I52" s="8"/>
      <c r="J52" s="13"/>
      <c r="K52" s="10">
        <f t="shared" si="2"/>
        <v>0</v>
      </c>
      <c r="L52" s="16"/>
      <c r="M52" s="110"/>
      <c r="N52" s="111"/>
      <c r="Q52">
        <f t="shared" si="0"/>
        <v>531</v>
      </c>
      <c r="R52" s="44">
        <f>E52+фев!I52</f>
        <v>0</v>
      </c>
      <c r="S52" s="30">
        <f>F52+фев!J52</f>
        <v>0</v>
      </c>
    </row>
    <row r="53" spans="1:19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3"/>
      <c r="F53" s="8"/>
      <c r="G53" s="10">
        <f t="shared" si="1"/>
        <v>0</v>
      </c>
      <c r="H53" s="16">
        <f>H51/H52*1000</f>
        <v>426.30508474576271</v>
      </c>
      <c r="I53" s="8"/>
      <c r="J53" s="13"/>
      <c r="K53" s="10">
        <f t="shared" si="2"/>
        <v>0</v>
      </c>
      <c r="L53" s="16"/>
      <c r="M53" s="110"/>
      <c r="N53" s="111"/>
      <c r="Q53">
        <f t="shared" si="0"/>
        <v>1278.9152542372881</v>
      </c>
      <c r="R53" s="44">
        <f>E53+фев!I53</f>
        <v>0</v>
      </c>
      <c r="S53" s="30">
        <f>F53+фев!J53</f>
        <v>0</v>
      </c>
    </row>
    <row r="54" spans="1:19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/>
      <c r="G54" s="10">
        <f t="shared" si="1"/>
        <v>0</v>
      </c>
      <c r="H54" s="10">
        <f>D54+фев!H54</f>
        <v>23.423999999999999</v>
      </c>
      <c r="I54" s="8"/>
      <c r="J54" s="10">
        <f>F54+фев!J54</f>
        <v>11.26</v>
      </c>
      <c r="K54" s="10">
        <f t="shared" si="2"/>
        <v>11.26</v>
      </c>
      <c r="L54" s="16"/>
      <c r="M54" s="110"/>
      <c r="N54" s="111"/>
      <c r="Q54">
        <f t="shared" si="0"/>
        <v>23.423999999999999</v>
      </c>
      <c r="R54" s="44">
        <f>E54+фев!I54</f>
        <v>0</v>
      </c>
      <c r="S54" s="30">
        <f>F54+фев!J54</f>
        <v>11.26</v>
      </c>
    </row>
    <row r="55" spans="1:19" ht="17.25" customHeight="1">
      <c r="A55" s="8"/>
      <c r="B55" s="12" t="s">
        <v>13</v>
      </c>
      <c r="C55" s="13" t="s">
        <v>49</v>
      </c>
      <c r="D55" s="14">
        <v>31</v>
      </c>
      <c r="E55" s="13"/>
      <c r="F55" s="8"/>
      <c r="G55" s="10">
        <f t="shared" si="1"/>
        <v>0</v>
      </c>
      <c r="H55" s="10">
        <f>D55+фев!H55</f>
        <v>93</v>
      </c>
      <c r="I55" s="8"/>
      <c r="J55" s="8">
        <f>F55+фев!J55</f>
        <v>20</v>
      </c>
      <c r="K55" s="10">
        <f t="shared" si="2"/>
        <v>20</v>
      </c>
      <c r="L55" s="16"/>
      <c r="M55" s="110"/>
      <c r="N55" s="111"/>
      <c r="Q55">
        <f t="shared" si="0"/>
        <v>93</v>
      </c>
      <c r="R55" s="44">
        <f>E55+фев!I55</f>
        <v>0</v>
      </c>
      <c r="S55" s="30">
        <f>F55+фев!J55</f>
        <v>20</v>
      </c>
    </row>
    <row r="56" spans="1:19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3"/>
      <c r="F56" s="8"/>
      <c r="G56" s="10">
        <f t="shared" si="1"/>
        <v>0</v>
      </c>
      <c r="H56" s="16">
        <f>H54/H55*1000</f>
        <v>251.87096774193546</v>
      </c>
      <c r="I56" s="8"/>
      <c r="J56" s="13"/>
      <c r="K56" s="10">
        <f t="shared" si="2"/>
        <v>0</v>
      </c>
      <c r="L56" s="16"/>
      <c r="M56" s="110"/>
      <c r="N56" s="111"/>
      <c r="Q56">
        <f t="shared" si="0"/>
        <v>755.61290322580635</v>
      </c>
      <c r="R56" s="44">
        <f>E56+фев!I56</f>
        <v>0</v>
      </c>
      <c r="S56" s="30">
        <f>F56+фев!J56</f>
        <v>0</v>
      </c>
    </row>
    <row r="57" spans="1:19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f>D57+фев!H57</f>
        <v>41.88</v>
      </c>
      <c r="I57" s="8"/>
      <c r="J57" s="8">
        <f>F57+фев!J57</f>
        <v>0</v>
      </c>
      <c r="K57" s="10">
        <f t="shared" si="2"/>
        <v>0</v>
      </c>
      <c r="L57" s="16"/>
      <c r="M57" s="123" t="s">
        <v>291</v>
      </c>
      <c r="N57" s="124"/>
      <c r="Q57">
        <f t="shared" si="0"/>
        <v>41.88</v>
      </c>
      <c r="R57" s="44">
        <f>E57+фев!I57</f>
        <v>0</v>
      </c>
      <c r="S57" s="30">
        <f>F57+фев!J57</f>
        <v>0</v>
      </c>
    </row>
    <row r="58" spans="1:19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1"/>
        <v>0</v>
      </c>
      <c r="H58" s="10">
        <f>D58+фев!H58</f>
        <v>99</v>
      </c>
      <c r="I58" s="8"/>
      <c r="J58" s="8">
        <f>F58+фев!J58</f>
        <v>0</v>
      </c>
      <c r="K58" s="10">
        <f t="shared" si="2"/>
        <v>0</v>
      </c>
      <c r="L58" s="16"/>
      <c r="M58" s="125"/>
      <c r="N58" s="126"/>
      <c r="Q58">
        <f t="shared" si="0"/>
        <v>99</v>
      </c>
      <c r="R58" s="44">
        <f>E58+фев!I58</f>
        <v>0</v>
      </c>
      <c r="S58" s="30">
        <f>F58+фев!J58</f>
        <v>0</v>
      </c>
    </row>
    <row r="59" spans="1:19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1"/>
        <v>0</v>
      </c>
      <c r="H59" s="16">
        <f>H57/H58*1000</f>
        <v>423.03030303030306</v>
      </c>
      <c r="I59" s="8"/>
      <c r="J59" s="13"/>
      <c r="K59" s="10">
        <f t="shared" si="2"/>
        <v>0</v>
      </c>
      <c r="L59" s="16"/>
      <c r="M59" s="110"/>
      <c r="N59" s="111"/>
      <c r="Q59">
        <f t="shared" si="0"/>
        <v>1269.0909090909092</v>
      </c>
      <c r="R59" s="44">
        <f>E59+фев!I59</f>
        <v>0</v>
      </c>
      <c r="S59" s="30">
        <f>F59+фев!J59</f>
        <v>0</v>
      </c>
    </row>
    <row r="60" spans="1:19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/>
      <c r="G60" s="10">
        <f t="shared" si="1"/>
        <v>0</v>
      </c>
      <c r="H60" s="10">
        <f>D60+фев!H60</f>
        <v>85.754999999999995</v>
      </c>
      <c r="I60" s="8"/>
      <c r="J60" s="8">
        <f>F60+фев!J60</f>
        <v>0</v>
      </c>
      <c r="K60" s="10">
        <f t="shared" si="2"/>
        <v>0</v>
      </c>
      <c r="L60" s="16"/>
      <c r="M60" s="123" t="s">
        <v>291</v>
      </c>
      <c r="N60" s="124"/>
      <c r="Q60">
        <f t="shared" si="0"/>
        <v>85.754999999999995</v>
      </c>
      <c r="R60" s="44">
        <f>E60+фев!I60</f>
        <v>0</v>
      </c>
      <c r="S60" s="30">
        <f>F60+фев!J60</f>
        <v>0</v>
      </c>
    </row>
    <row r="61" spans="1:19" ht="17.25" customHeight="1">
      <c r="A61" s="8"/>
      <c r="B61" s="12" t="s">
        <v>13</v>
      </c>
      <c r="C61" s="13" t="s">
        <v>49</v>
      </c>
      <c r="D61" s="14">
        <v>70</v>
      </c>
      <c r="E61" s="13"/>
      <c r="F61" s="8"/>
      <c r="G61" s="10">
        <f t="shared" si="1"/>
        <v>0</v>
      </c>
      <c r="H61" s="10">
        <f>D61+фев!H61</f>
        <v>210</v>
      </c>
      <c r="I61" s="8"/>
      <c r="J61" s="8">
        <f>F61+фев!J61</f>
        <v>0</v>
      </c>
      <c r="K61" s="10">
        <f t="shared" si="2"/>
        <v>0</v>
      </c>
      <c r="L61" s="16"/>
      <c r="M61" s="125"/>
      <c r="N61" s="126"/>
      <c r="Q61">
        <f t="shared" si="0"/>
        <v>210</v>
      </c>
      <c r="R61" s="44">
        <f>E61+фев!I61</f>
        <v>0</v>
      </c>
      <c r="S61" s="30">
        <f>F61+фев!J61</f>
        <v>0</v>
      </c>
    </row>
    <row r="62" spans="1:19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3"/>
      <c r="F62" s="8"/>
      <c r="G62" s="10">
        <f t="shared" si="1"/>
        <v>0</v>
      </c>
      <c r="H62" s="16">
        <f>H60/H61*1000</f>
        <v>408.35714285714289</v>
      </c>
      <c r="I62" s="8"/>
      <c r="J62" s="13"/>
      <c r="K62" s="10">
        <f t="shared" si="2"/>
        <v>0</v>
      </c>
      <c r="L62" s="16"/>
      <c r="M62" s="110"/>
      <c r="N62" s="111"/>
      <c r="Q62">
        <f t="shared" si="0"/>
        <v>1225.0714285714287</v>
      </c>
      <c r="R62" s="44">
        <f>E62+фев!I62</f>
        <v>0</v>
      </c>
      <c r="S62" s="30">
        <f>F62+фев!J62</f>
        <v>0</v>
      </c>
    </row>
    <row r="63" spans="1:19" ht="17.25" customHeight="1">
      <c r="A63" s="8"/>
      <c r="B63" s="20" t="s">
        <v>220</v>
      </c>
      <c r="C63" s="8" t="s">
        <v>4</v>
      </c>
      <c r="D63" s="10">
        <v>12.234</v>
      </c>
      <c r="E63" s="8"/>
      <c r="F63" s="8"/>
      <c r="G63" s="10">
        <f t="shared" si="1"/>
        <v>0</v>
      </c>
      <c r="H63" s="10">
        <f>D63+фев!H63</f>
        <v>36.701999999999998</v>
      </c>
      <c r="I63" s="8"/>
      <c r="J63" s="8">
        <f>F63+фев!J63</f>
        <v>0</v>
      </c>
      <c r="K63" s="10">
        <f t="shared" si="2"/>
        <v>0</v>
      </c>
      <c r="L63" s="16"/>
      <c r="M63" s="110"/>
      <c r="N63" s="111"/>
      <c r="Q63">
        <f t="shared" si="0"/>
        <v>36.701999999999998</v>
      </c>
      <c r="R63" s="44">
        <f>E63+фев!I63</f>
        <v>0</v>
      </c>
      <c r="S63" s="30">
        <f>F63+фев!J63</f>
        <v>0</v>
      </c>
    </row>
    <row r="64" spans="1:19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1"/>
        <v>0</v>
      </c>
      <c r="H64" s="10">
        <f>D64+фев!H64</f>
        <v>69</v>
      </c>
      <c r="I64" s="8"/>
      <c r="J64" s="8">
        <f>F64+фев!J64</f>
        <v>0</v>
      </c>
      <c r="K64" s="10">
        <f t="shared" si="2"/>
        <v>0</v>
      </c>
      <c r="L64" s="16"/>
      <c r="M64" s="110"/>
      <c r="N64" s="111"/>
      <c r="Q64">
        <f t="shared" si="0"/>
        <v>69</v>
      </c>
      <c r="R64" s="44">
        <f>E64+фев!I64</f>
        <v>0</v>
      </c>
      <c r="S64" s="30">
        <f>F64+фев!J64</f>
        <v>0</v>
      </c>
    </row>
    <row r="65" spans="1:19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3"/>
      <c r="F65" s="8"/>
      <c r="G65" s="10">
        <f t="shared" si="1"/>
        <v>0</v>
      </c>
      <c r="H65" s="16">
        <f>H63/H64*1000</f>
        <v>531.91304347826087</v>
      </c>
      <c r="I65" s="8"/>
      <c r="J65" s="13"/>
      <c r="K65" s="10">
        <f t="shared" si="2"/>
        <v>0</v>
      </c>
      <c r="L65" s="16"/>
      <c r="M65" s="110"/>
      <c r="N65" s="111"/>
      <c r="Q65">
        <f t="shared" si="0"/>
        <v>1595.7391304347825</v>
      </c>
      <c r="R65" s="44">
        <f>E65+фев!I65</f>
        <v>0</v>
      </c>
      <c r="S65" s="30">
        <f>F65+фев!J65</f>
        <v>0</v>
      </c>
    </row>
    <row r="66" spans="1:19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f>D66+фев!H66</f>
        <v>8.5830000000000002</v>
      </c>
      <c r="I66" s="8"/>
      <c r="J66" s="8">
        <f>F66+фев!J66</f>
        <v>0</v>
      </c>
      <c r="K66" s="10">
        <f t="shared" si="2"/>
        <v>0</v>
      </c>
      <c r="L66" s="16"/>
      <c r="M66" s="110"/>
      <c r="N66" s="111"/>
      <c r="Q66">
        <f t="shared" si="0"/>
        <v>8.5830000000000002</v>
      </c>
      <c r="R66" s="44">
        <f>E66+фев!I66</f>
        <v>0</v>
      </c>
      <c r="S66" s="30">
        <f>F66+фев!J66</f>
        <v>0</v>
      </c>
    </row>
    <row r="67" spans="1:19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1"/>
        <v>0</v>
      </c>
      <c r="H67" s="10">
        <f>D67+фев!H67</f>
        <v>6</v>
      </c>
      <c r="I67" s="8"/>
      <c r="J67" s="8">
        <f>F67+фев!J67</f>
        <v>0</v>
      </c>
      <c r="K67" s="10">
        <f t="shared" si="2"/>
        <v>0</v>
      </c>
      <c r="L67" s="16"/>
      <c r="M67" s="110"/>
      <c r="N67" s="111"/>
      <c r="Q67">
        <f t="shared" si="0"/>
        <v>6</v>
      </c>
      <c r="R67" s="44">
        <f>E67+фев!I67</f>
        <v>0</v>
      </c>
      <c r="S67" s="30">
        <f>F67+фев!J67</f>
        <v>0</v>
      </c>
    </row>
    <row r="68" spans="1:19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1"/>
        <v>0</v>
      </c>
      <c r="H68" s="16">
        <f>H66/H67*1000</f>
        <v>1430.5</v>
      </c>
      <c r="I68" s="8"/>
      <c r="J68" s="13"/>
      <c r="K68" s="10">
        <f t="shared" si="2"/>
        <v>0</v>
      </c>
      <c r="L68" s="16"/>
      <c r="M68" s="110"/>
      <c r="N68" s="111"/>
      <c r="Q68">
        <f t="shared" si="0"/>
        <v>4291.5</v>
      </c>
      <c r="R68" s="44">
        <f>E68+фев!I68</f>
        <v>0</v>
      </c>
      <c r="S68" s="30">
        <f>F68+фев!J68</f>
        <v>0</v>
      </c>
    </row>
    <row r="69" spans="1:19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10">
        <v>0.59</v>
      </c>
      <c r="G69" s="10">
        <f t="shared" si="1"/>
        <v>0.59</v>
      </c>
      <c r="H69" s="10">
        <f>D69+фев!H69</f>
        <v>30.023999999999997</v>
      </c>
      <c r="I69" s="8"/>
      <c r="J69" s="10">
        <f>F69+фев!J69</f>
        <v>0.59</v>
      </c>
      <c r="K69" s="10">
        <f t="shared" si="2"/>
        <v>0.59</v>
      </c>
      <c r="L69" s="16"/>
      <c r="M69" s="123" t="s">
        <v>292</v>
      </c>
      <c r="N69" s="124"/>
      <c r="Q69">
        <f t="shared" si="0"/>
        <v>30.023999999999997</v>
      </c>
      <c r="R69" s="44">
        <f>E69+фев!I69</f>
        <v>0</v>
      </c>
      <c r="S69" s="30">
        <f>F69+фев!J69</f>
        <v>0.59</v>
      </c>
    </row>
    <row r="70" spans="1:19" ht="17.25" customHeight="1">
      <c r="A70" s="8"/>
      <c r="B70" s="12" t="s">
        <v>13</v>
      </c>
      <c r="C70" s="13" t="s">
        <v>61</v>
      </c>
      <c r="D70" s="14">
        <v>18</v>
      </c>
      <c r="E70" s="13"/>
      <c r="F70" s="8">
        <v>7.4999999999999997E-2</v>
      </c>
      <c r="G70" s="10">
        <f t="shared" si="1"/>
        <v>7.4999999999999997E-2</v>
      </c>
      <c r="H70" s="10">
        <f>D70+фев!H70</f>
        <v>54</v>
      </c>
      <c r="I70" s="8"/>
      <c r="J70" s="8">
        <f>F70+фев!J70</f>
        <v>7.4999999999999997E-2</v>
      </c>
      <c r="K70" s="10">
        <f t="shared" si="2"/>
        <v>7.4999999999999997E-2</v>
      </c>
      <c r="L70" s="16"/>
      <c r="M70" s="125"/>
      <c r="N70" s="126"/>
      <c r="Q70">
        <f t="shared" si="0"/>
        <v>54</v>
      </c>
      <c r="R70" s="44">
        <f>E70+фев!I70</f>
        <v>0</v>
      </c>
      <c r="S70" s="30">
        <f>F70+фев!J70</f>
        <v>7.4999999999999997E-2</v>
      </c>
    </row>
    <row r="71" spans="1:19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3"/>
      <c r="F71" s="8"/>
      <c r="G71" s="10">
        <f t="shared" si="1"/>
        <v>0</v>
      </c>
      <c r="H71" s="16">
        <f>H69/H70*1000</f>
        <v>555.99999999999989</v>
      </c>
      <c r="I71" s="8"/>
      <c r="J71" s="8"/>
      <c r="K71" s="10">
        <f t="shared" si="2"/>
        <v>0</v>
      </c>
      <c r="L71" s="16"/>
      <c r="M71" s="110"/>
      <c r="N71" s="111"/>
      <c r="Q71">
        <f t="shared" si="0"/>
        <v>1667.9999999999995</v>
      </c>
      <c r="R71" s="44">
        <f>E71+фев!I71</f>
        <v>0</v>
      </c>
      <c r="S71" s="30">
        <f>F71+фев!J71</f>
        <v>0</v>
      </c>
    </row>
    <row r="72" spans="1:19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27400.815000000002</v>
      </c>
      <c r="G72" s="10">
        <f t="shared" si="1"/>
        <v>3094.148000000001</v>
      </c>
      <c r="H72" s="10">
        <f>H73</f>
        <v>79553.012999999992</v>
      </c>
      <c r="I72" s="8">
        <f>E72+фев!I72</f>
        <v>72920.001000000004</v>
      </c>
      <c r="J72" s="8">
        <f>F72+фев!J72</f>
        <v>78980.483000000007</v>
      </c>
      <c r="K72" s="10">
        <f t="shared" si="2"/>
        <v>6060.4820000000036</v>
      </c>
      <c r="L72" s="16">
        <f t="shared" si="3"/>
        <v>8.311138119704637</v>
      </c>
      <c r="M72" s="110"/>
      <c r="N72" s="111"/>
      <c r="Q72">
        <f t="shared" si="0"/>
        <v>79553.013000000006</v>
      </c>
      <c r="R72" s="44">
        <f>E72+фев!I72</f>
        <v>72920.001000000004</v>
      </c>
      <c r="S72" s="30">
        <f>F72+фев!J72</f>
        <v>78980.483000000007</v>
      </c>
    </row>
    <row r="73" spans="1:19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27">E75+E78+E81+E84</f>
        <v>0</v>
      </c>
      <c r="F73" s="10">
        <f t="shared" si="27"/>
        <v>27400.815000000002</v>
      </c>
      <c r="G73" s="10">
        <f t="shared" si="1"/>
        <v>27400.815000000002</v>
      </c>
      <c r="H73" s="10">
        <f>H75+H78+H81+H84</f>
        <v>79553.012999999992</v>
      </c>
      <c r="I73" s="10">
        <f t="shared" ref="I73:J74" si="28">I75+I78+I81+I84</f>
        <v>0</v>
      </c>
      <c r="J73" s="10">
        <f t="shared" si="28"/>
        <v>78980.485000000001</v>
      </c>
      <c r="K73" s="10">
        <f t="shared" si="2"/>
        <v>78980.485000000001</v>
      </c>
      <c r="L73" s="16"/>
      <c r="M73" s="110"/>
      <c r="N73" s="111"/>
      <c r="Q73">
        <f t="shared" ref="Q73:Q136" si="29">D73*3</f>
        <v>79553.013000000006</v>
      </c>
      <c r="R73" s="44">
        <f>E73+фев!I73</f>
        <v>0</v>
      </c>
      <c r="S73" s="30">
        <f>F73+фев!J73</f>
        <v>78980.485000000001</v>
      </c>
    </row>
    <row r="74" spans="1:19" ht="17.25" customHeight="1">
      <c r="A74" s="8"/>
      <c r="B74" s="28" t="s">
        <v>65</v>
      </c>
      <c r="C74" s="22" t="s">
        <v>66</v>
      </c>
      <c r="D74" s="14">
        <f t="shared" ref="D74:F74" si="30">D76+D79+D82+D85</f>
        <v>1280770</v>
      </c>
      <c r="E74" s="14">
        <f t="shared" si="30"/>
        <v>0</v>
      </c>
      <c r="F74" s="14">
        <f t="shared" si="30"/>
        <v>1335139.94</v>
      </c>
      <c r="G74" s="14">
        <f t="shared" si="1"/>
        <v>1335139.94</v>
      </c>
      <c r="H74" s="14">
        <f t="shared" ref="H74" si="31">H76+H79+H82+H85</f>
        <v>3842310</v>
      </c>
      <c r="I74" s="59"/>
      <c r="J74" s="14">
        <f t="shared" si="28"/>
        <v>3853106.19</v>
      </c>
      <c r="K74" s="14">
        <f t="shared" si="2"/>
        <v>3853106.19</v>
      </c>
      <c r="L74" s="16"/>
      <c r="M74" s="110"/>
      <c r="N74" s="111"/>
      <c r="Q74">
        <f t="shared" si="29"/>
        <v>3842310</v>
      </c>
      <c r="R74" s="44">
        <f>E74+фев!I74</f>
        <v>0</v>
      </c>
      <c r="S74" s="30">
        <f>F74+фев!J74</f>
        <v>1335139.94</v>
      </c>
    </row>
    <row r="75" spans="1:19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>
        <f>2080.879-F142</f>
        <v>2080.8789999999999</v>
      </c>
      <c r="G75" s="10">
        <f t="shared" ref="G75:G138" si="32">F75-E75</f>
        <v>2080.8789999999999</v>
      </c>
      <c r="H75" s="10">
        <f>D75+фев!H75</f>
        <v>4015.4489999999996</v>
      </c>
      <c r="I75" s="8"/>
      <c r="J75" s="8">
        <f>F75+фев!J75</f>
        <v>6627.174</v>
      </c>
      <c r="K75" s="10">
        <f t="shared" ref="K75:K139" si="33">J75-I75</f>
        <v>6627.174</v>
      </c>
      <c r="L75" s="16"/>
      <c r="M75" s="110"/>
      <c r="N75" s="111"/>
      <c r="Q75">
        <f t="shared" si="29"/>
        <v>4015.4489999999996</v>
      </c>
      <c r="R75" s="44">
        <f>E75+фев!I75</f>
        <v>0</v>
      </c>
      <c r="S75" s="30">
        <f>F75+фев!J75</f>
        <v>6627.174</v>
      </c>
    </row>
    <row r="76" spans="1:19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f>105360.94-F143</f>
        <v>105360.94</v>
      </c>
      <c r="G76" s="14">
        <f t="shared" si="32"/>
        <v>105360.94</v>
      </c>
      <c r="H76" s="10">
        <f>D76+фев!H76</f>
        <v>205395</v>
      </c>
      <c r="I76" s="59"/>
      <c r="J76" s="8">
        <f>F76+фев!J76</f>
        <v>345435.19</v>
      </c>
      <c r="K76" s="14">
        <f t="shared" si="33"/>
        <v>345435.19</v>
      </c>
      <c r="L76" s="16"/>
      <c r="M76" s="110"/>
      <c r="N76" s="111"/>
      <c r="Q76">
        <f t="shared" si="29"/>
        <v>205395</v>
      </c>
      <c r="R76" s="44">
        <f>E76+фев!I76</f>
        <v>0</v>
      </c>
      <c r="S76" s="30">
        <f>F76+фев!J76</f>
        <v>345435.19</v>
      </c>
    </row>
    <row r="77" spans="1:19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34">F75/F76*1000</f>
        <v>19.750004128664756</v>
      </c>
      <c r="G77" s="10">
        <f t="shared" si="32"/>
        <v>19.750004128664756</v>
      </c>
      <c r="H77" s="16">
        <f>H75/H76*1000</f>
        <v>19.549886803476227</v>
      </c>
      <c r="I77" s="8"/>
      <c r="J77" s="13"/>
      <c r="K77" s="10">
        <f t="shared" si="33"/>
        <v>0</v>
      </c>
      <c r="L77" s="16"/>
      <c r="M77" s="110"/>
      <c r="N77" s="111"/>
      <c r="Q77">
        <f t="shared" si="29"/>
        <v>58.649660410428694</v>
      </c>
      <c r="R77" s="44">
        <f>E77+фев!I77</f>
        <v>0</v>
      </c>
      <c r="S77" s="30">
        <f>F77+фев!J77</f>
        <v>19.750004128664756</v>
      </c>
    </row>
    <row r="78" spans="1:19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">
        <v>1788.52</v>
      </c>
      <c r="G78" s="10">
        <f t="shared" si="32"/>
        <v>1788.52</v>
      </c>
      <c r="H78" s="10">
        <f>D78+фев!H78</f>
        <v>3760.9409999999998</v>
      </c>
      <c r="I78" s="8"/>
      <c r="J78" s="8">
        <f>F78+фев!J78</f>
        <v>5054.1839999999993</v>
      </c>
      <c r="K78" s="10">
        <f t="shared" si="33"/>
        <v>5054.1839999999993</v>
      </c>
      <c r="L78" s="16"/>
      <c r="M78" s="110"/>
      <c r="N78" s="111"/>
      <c r="Q78">
        <f t="shared" si="29"/>
        <v>3760.9409999999998</v>
      </c>
      <c r="R78" s="44">
        <f>E78+фев!I78</f>
        <v>0</v>
      </c>
      <c r="S78" s="30">
        <f>F78+фев!J78</f>
        <v>5054.1839999999993</v>
      </c>
    </row>
    <row r="79" spans="1:19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90558</v>
      </c>
      <c r="G79" s="14">
        <f t="shared" si="32"/>
        <v>90558</v>
      </c>
      <c r="H79" s="10">
        <f>D79+фев!H79</f>
        <v>191397</v>
      </c>
      <c r="I79" s="59"/>
      <c r="J79" s="8">
        <f>F79+фев!J79</f>
        <v>255996</v>
      </c>
      <c r="K79" s="14">
        <f t="shared" si="33"/>
        <v>255996</v>
      </c>
      <c r="L79" s="16"/>
      <c r="M79" s="110"/>
      <c r="N79" s="111"/>
      <c r="Q79">
        <f t="shared" si="29"/>
        <v>191397</v>
      </c>
      <c r="R79" s="44">
        <f>E79+фев!I79</f>
        <v>0</v>
      </c>
      <c r="S79" s="30">
        <f>F79+фев!J79</f>
        <v>255996</v>
      </c>
    </row>
    <row r="80" spans="1:19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35">F78/F79*1000</f>
        <v>19.749994478676651</v>
      </c>
      <c r="G80" s="10">
        <f t="shared" si="32"/>
        <v>19.749994478676651</v>
      </c>
      <c r="H80" s="16">
        <f>H78/H79*1000</f>
        <v>19.649947491339987</v>
      </c>
      <c r="I80" s="8"/>
      <c r="J80" s="13"/>
      <c r="K80" s="10">
        <f t="shared" si="33"/>
        <v>0</v>
      </c>
      <c r="L80" s="16"/>
      <c r="M80" s="110"/>
      <c r="N80" s="111"/>
      <c r="Q80">
        <f t="shared" si="29"/>
        <v>58.94984247401996</v>
      </c>
      <c r="R80" s="44">
        <f>E80+фев!I80</f>
        <v>0</v>
      </c>
      <c r="S80" s="30">
        <f>F80+фев!J80</f>
        <v>19.749994478676651</v>
      </c>
    </row>
    <row r="81" spans="1:19" ht="36" customHeight="1">
      <c r="A81" s="8"/>
      <c r="B81" s="12" t="s">
        <v>70</v>
      </c>
      <c r="C81" s="8" t="s">
        <v>4</v>
      </c>
      <c r="D81" s="10">
        <v>3651.203</v>
      </c>
      <c r="E81" s="8"/>
      <c r="F81" s="8">
        <v>5230.0569999999998</v>
      </c>
      <c r="G81" s="10">
        <f t="shared" si="32"/>
        <v>5230.0569999999998</v>
      </c>
      <c r="H81" s="10">
        <f>D81+фев!H81</f>
        <v>10953.609</v>
      </c>
      <c r="I81" s="8"/>
      <c r="J81" s="8">
        <f>F81+фев!J81</f>
        <v>12694.096</v>
      </c>
      <c r="K81" s="10">
        <f t="shared" si="33"/>
        <v>12694.096</v>
      </c>
      <c r="L81" s="16"/>
      <c r="M81" s="110"/>
      <c r="N81" s="111"/>
      <c r="Q81">
        <f t="shared" si="29"/>
        <v>10953.609</v>
      </c>
      <c r="R81" s="44">
        <f>E81+фев!I81</f>
        <v>0</v>
      </c>
      <c r="S81" s="30">
        <f>F81+фев!J81</f>
        <v>12694.096</v>
      </c>
    </row>
    <row r="82" spans="1:19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264813</v>
      </c>
      <c r="G82" s="14">
        <v>5230.0569999999998</v>
      </c>
      <c r="H82" s="10">
        <f>D82+фев!H82</f>
        <v>557436</v>
      </c>
      <c r="I82" s="59"/>
      <c r="J82" s="8">
        <f>F82+фев!J82</f>
        <v>642739</v>
      </c>
      <c r="K82" s="14">
        <f t="shared" si="33"/>
        <v>642739</v>
      </c>
      <c r="L82" s="16"/>
      <c r="M82" s="110"/>
      <c r="N82" s="111"/>
      <c r="Q82">
        <f t="shared" si="29"/>
        <v>557436</v>
      </c>
      <c r="R82" s="44">
        <f>E82+фев!I82</f>
        <v>0</v>
      </c>
      <c r="S82" s="30">
        <f>F82+фев!J82</f>
        <v>642739</v>
      </c>
    </row>
    <row r="83" spans="1:19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36">F81/F82*1000</f>
        <v>19.75000094406241</v>
      </c>
      <c r="G83" s="10">
        <f t="shared" si="32"/>
        <v>19.75000094406241</v>
      </c>
      <c r="H83" s="16">
        <f>H81/H82*1000</f>
        <v>19.64998493100553</v>
      </c>
      <c r="I83" s="8"/>
      <c r="J83" s="13"/>
      <c r="K83" s="10">
        <f t="shared" si="33"/>
        <v>0</v>
      </c>
      <c r="L83" s="16"/>
      <c r="M83" s="110"/>
      <c r="N83" s="111"/>
      <c r="Q83">
        <f t="shared" si="29"/>
        <v>58.949954793016587</v>
      </c>
      <c r="R83" s="44">
        <f>E83+фев!I83</f>
        <v>0</v>
      </c>
      <c r="S83" s="30">
        <f>F83+фев!J83</f>
        <v>19.75000094406241</v>
      </c>
    </row>
    <row r="84" spans="1:19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18301.359</v>
      </c>
      <c r="G84" s="10">
        <f t="shared" si="32"/>
        <v>18301.359</v>
      </c>
      <c r="H84" s="10">
        <f>D84+фев!H84</f>
        <v>60823.013999999996</v>
      </c>
      <c r="I84" s="8"/>
      <c r="J84" s="8">
        <f>F84+фев!J84</f>
        <v>54605.031000000003</v>
      </c>
      <c r="K84" s="10">
        <f t="shared" si="33"/>
        <v>54605.031000000003</v>
      </c>
      <c r="L84" s="16"/>
      <c r="M84" s="123" t="s">
        <v>297</v>
      </c>
      <c r="N84" s="124"/>
      <c r="Q84">
        <f t="shared" si="29"/>
        <v>60823.013999999996</v>
      </c>
      <c r="R84" s="44">
        <f>E84+фев!I84</f>
        <v>0</v>
      </c>
      <c r="S84" s="30">
        <f>F84+фев!J84</f>
        <v>54605.031000000003</v>
      </c>
    </row>
    <row r="85" spans="1:19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874408</v>
      </c>
      <c r="G85" s="14">
        <f t="shared" si="32"/>
        <v>874408</v>
      </c>
      <c r="H85" s="10">
        <f>D85+фев!H85</f>
        <v>2888082</v>
      </c>
      <c r="I85" s="59"/>
      <c r="J85" s="8">
        <f>F85+фев!J85</f>
        <v>2608936</v>
      </c>
      <c r="K85" s="14">
        <f t="shared" si="33"/>
        <v>2608936</v>
      </c>
      <c r="L85" s="16"/>
      <c r="M85" s="125"/>
      <c r="N85" s="126"/>
      <c r="Q85">
        <f t="shared" si="29"/>
        <v>2888082</v>
      </c>
      <c r="R85" s="44">
        <f>E85+фев!I85</f>
        <v>0</v>
      </c>
      <c r="S85" s="30">
        <f>F85+фев!J85</f>
        <v>2608936</v>
      </c>
    </row>
    <row r="86" spans="1:19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37">F84/F85*1000</f>
        <v>20.929999496802409</v>
      </c>
      <c r="G86" s="10">
        <f t="shared" si="32"/>
        <v>20.929999496802409</v>
      </c>
      <c r="H86" s="16">
        <f>H84/H85*1000</f>
        <v>21.060002451453936</v>
      </c>
      <c r="I86" s="8"/>
      <c r="J86" s="13"/>
      <c r="K86" s="10">
        <f t="shared" si="33"/>
        <v>0</v>
      </c>
      <c r="L86" s="16"/>
      <c r="M86" s="110"/>
      <c r="N86" s="111"/>
      <c r="Q86">
        <f t="shared" si="29"/>
        <v>63.18000735436182</v>
      </c>
      <c r="R86" s="44">
        <f>E86+фев!I86</f>
        <v>0</v>
      </c>
      <c r="S86" s="30">
        <f>F86+фев!J86</f>
        <v>20.929999496802409</v>
      </c>
    </row>
    <row r="87" spans="1:19" ht="17.25" customHeight="1">
      <c r="A87" s="65" t="s">
        <v>72</v>
      </c>
      <c r="B87" s="6" t="s">
        <v>73</v>
      </c>
      <c r="C87" s="65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23667.91</v>
      </c>
      <c r="G87" s="10">
        <f t="shared" si="32"/>
        <v>2779.1610000000037</v>
      </c>
      <c r="H87" s="7">
        <f>H88+H89+H90</f>
        <v>66047.235000000001</v>
      </c>
      <c r="I87" s="7">
        <f>I88+I89+I90+I91</f>
        <v>62666.246999999988</v>
      </c>
      <c r="J87" s="7">
        <f>J88+J89+J90+J91+J92</f>
        <v>61520.820999999996</v>
      </c>
      <c r="K87" s="10">
        <f t="shared" si="33"/>
        <v>-1145.4259999999922</v>
      </c>
      <c r="L87" s="16">
        <f t="shared" ref="L87:L151" si="38">K87/I87*100</f>
        <v>-1.827819687366937</v>
      </c>
      <c r="M87" s="110"/>
      <c r="N87" s="111"/>
      <c r="O87">
        <f>P87-P88</f>
        <v>-2406.9850000000006</v>
      </c>
      <c r="P87">
        <f>J88+J98+J92</f>
        <v>57593.972999999998</v>
      </c>
      <c r="Q87">
        <f t="shared" si="29"/>
        <v>66047.235000000015</v>
      </c>
      <c r="R87" s="44">
        <f>E87+фев!I87</f>
        <v>62666.246999999988</v>
      </c>
      <c r="S87" s="30">
        <f>F87+фев!J87</f>
        <v>61520.821000000011</v>
      </c>
    </row>
    <row r="88" spans="1:19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87">
        <f>22040.039-F92-F98</f>
        <v>21386.580999999998</v>
      </c>
      <c r="G88" s="10">
        <f t="shared" si="32"/>
        <v>2635.4979999999996</v>
      </c>
      <c r="H88" s="10">
        <f>D88+фев!H88</f>
        <v>60097.575000000004</v>
      </c>
      <c r="I88" s="8">
        <f>E88+фев!I88</f>
        <v>56253.248999999996</v>
      </c>
      <c r="J88" s="10">
        <f>F88+фев!J88</f>
        <v>55381.642</v>
      </c>
      <c r="K88" s="10">
        <f t="shared" si="33"/>
        <v>-871.60699999999633</v>
      </c>
      <c r="L88" s="16">
        <f t="shared" si="38"/>
        <v>-1.5494340602442294</v>
      </c>
      <c r="M88" s="117"/>
      <c r="N88" s="118"/>
      <c r="O88" s="30">
        <f>J88+J92+J98</f>
        <v>57593.972999999998</v>
      </c>
      <c r="P88">
        <v>60000.957999999999</v>
      </c>
      <c r="Q88">
        <f t="shared" si="29"/>
        <v>60097.575000000004</v>
      </c>
      <c r="R88" s="44">
        <f>E88+фев!I88</f>
        <v>56253.248999999996</v>
      </c>
      <c r="S88" s="30">
        <f>F88+фев!J88</f>
        <v>55381.642</v>
      </c>
    </row>
    <row r="89" spans="1:19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87">
        <v>1200.789</v>
      </c>
      <c r="G89" s="10">
        <f t="shared" si="32"/>
        <v>188.20600000000002</v>
      </c>
      <c r="H89" s="10">
        <f>D89+фев!H89</f>
        <v>3305.364</v>
      </c>
      <c r="I89" s="8">
        <f>E89+фев!I89</f>
        <v>3037.7489999999998</v>
      </c>
      <c r="J89" s="8">
        <f>F89+фев!J89</f>
        <v>3107.9809999999998</v>
      </c>
      <c r="K89" s="10">
        <f t="shared" si="33"/>
        <v>70.231999999999971</v>
      </c>
      <c r="L89" s="16">
        <f t="shared" si="38"/>
        <v>2.3119750841823987</v>
      </c>
      <c r="M89" s="117"/>
      <c r="N89" s="118"/>
      <c r="O89">
        <f>P89-J89</f>
        <v>144.41900000000032</v>
      </c>
      <c r="P89">
        <v>3252.4</v>
      </c>
      <c r="Q89">
        <f t="shared" si="29"/>
        <v>3305.364</v>
      </c>
      <c r="R89" s="44">
        <f>E89+фев!I89</f>
        <v>3037.7489999999998</v>
      </c>
      <c r="S89" s="30">
        <f>F89+фев!J89</f>
        <v>3107.9809999999998</v>
      </c>
    </row>
    <row r="90" spans="1:19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6">
        <v>653.43799999999999</v>
      </c>
      <c r="G90" s="10">
        <f t="shared" si="32"/>
        <v>-190.39499999999998</v>
      </c>
      <c r="H90" s="10">
        <f>D90+фев!H90</f>
        <v>2644.2960000000003</v>
      </c>
      <c r="I90" s="8">
        <f>E90+фев!I90</f>
        <v>2531.4989999999998</v>
      </c>
      <c r="J90" s="8">
        <f>F90+фев!J90</f>
        <v>1711.7060000000001</v>
      </c>
      <c r="K90" s="10">
        <f t="shared" si="33"/>
        <v>-819.79299999999967</v>
      </c>
      <c r="L90" s="16">
        <f t="shared" si="38"/>
        <v>-32.383698354216207</v>
      </c>
      <c r="M90" s="67"/>
      <c r="N90" s="68"/>
      <c r="O90">
        <f>P90-J90</f>
        <v>156.45499999999993</v>
      </c>
      <c r="P90">
        <v>1868.1610000000001</v>
      </c>
      <c r="Q90">
        <f t="shared" si="29"/>
        <v>2644.2960000000003</v>
      </c>
      <c r="R90" s="44">
        <f>E90+фев!I90</f>
        <v>2531.4989999999998</v>
      </c>
      <c r="S90" s="30">
        <f>F90+фев!J90</f>
        <v>1711.7060000000001</v>
      </c>
    </row>
    <row r="91" spans="1:19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6">
        <v>311.52199999999999</v>
      </c>
      <c r="G91" s="10">
        <f t="shared" si="32"/>
        <v>30.271999999999991</v>
      </c>
      <c r="H91" s="10">
        <f>D91+фев!H91</f>
        <v>0</v>
      </c>
      <c r="I91" s="8">
        <f>E91+фев!I91</f>
        <v>843.75</v>
      </c>
      <c r="J91" s="8">
        <f>F91+фев!J91</f>
        <v>810.86300000000006</v>
      </c>
      <c r="K91" s="10">
        <f t="shared" si="33"/>
        <v>-32.886999999999944</v>
      </c>
      <c r="L91" s="16">
        <f t="shared" si="38"/>
        <v>-3.8977185185185124</v>
      </c>
      <c r="M91" s="67"/>
      <c r="N91" s="68"/>
      <c r="O91">
        <f>P91-J91</f>
        <v>-12.030000000000086</v>
      </c>
      <c r="P91">
        <v>798.83299999999997</v>
      </c>
      <c r="Q91">
        <f t="shared" si="29"/>
        <v>0</v>
      </c>
      <c r="R91" s="44">
        <f>E91+фев!I91</f>
        <v>843.75</v>
      </c>
      <c r="S91" s="30">
        <f>F91+фев!J91</f>
        <v>810.86300000000006</v>
      </c>
    </row>
    <row r="92" spans="1:19" ht="17.25" customHeight="1">
      <c r="A92" s="8"/>
      <c r="B92" s="9" t="s">
        <v>316</v>
      </c>
      <c r="C92" s="8" t="s">
        <v>4</v>
      </c>
      <c r="D92" s="10"/>
      <c r="E92" s="8"/>
      <c r="F92" s="10">
        <v>115.58</v>
      </c>
      <c r="G92" s="10"/>
      <c r="H92" s="10">
        <f>D92+фев!H92</f>
        <v>0</v>
      </c>
      <c r="I92" s="8">
        <f>E92+фев!I92</f>
        <v>0</v>
      </c>
      <c r="J92" s="8">
        <f>F92+фев!J92</f>
        <v>508.62899999999996</v>
      </c>
      <c r="K92" s="10"/>
      <c r="L92" s="16"/>
      <c r="M92" s="67"/>
      <c r="N92" s="68"/>
      <c r="P92">
        <f>J92+J149</f>
        <v>719.76900000000001</v>
      </c>
      <c r="Q92">
        <f t="shared" si="29"/>
        <v>0</v>
      </c>
      <c r="R92" s="44">
        <f>E92+фев!I92</f>
        <v>0</v>
      </c>
      <c r="S92" s="30">
        <f>F92+фев!J92</f>
        <v>508.62899999999996</v>
      </c>
    </row>
    <row r="93" spans="1:19" ht="17.25" customHeight="1">
      <c r="A93" s="65" t="s">
        <v>78</v>
      </c>
      <c r="B93" s="6" t="s">
        <v>79</v>
      </c>
      <c r="C93" s="65" t="s">
        <v>4</v>
      </c>
      <c r="D93" s="7">
        <f>D94</f>
        <v>12258.85</v>
      </c>
      <c r="E93" s="21">
        <f>E94</f>
        <v>12219.75</v>
      </c>
      <c r="F93" s="7">
        <f>F94</f>
        <v>11186.638999999999</v>
      </c>
      <c r="G93" s="10">
        <f t="shared" si="32"/>
        <v>-1033.1110000000008</v>
      </c>
      <c r="H93" s="7">
        <f>H94</f>
        <v>36776.550000000003</v>
      </c>
      <c r="I93" s="21">
        <f>I94</f>
        <v>36659.25</v>
      </c>
      <c r="J93" s="7">
        <f>J94</f>
        <v>33187.892999999996</v>
      </c>
      <c r="K93" s="10">
        <f t="shared" si="33"/>
        <v>-3471.3570000000036</v>
      </c>
      <c r="L93" s="16">
        <f t="shared" si="38"/>
        <v>-9.469252644284877</v>
      </c>
      <c r="M93" s="110"/>
      <c r="N93" s="111"/>
      <c r="Q93">
        <f t="shared" si="29"/>
        <v>36776.550000000003</v>
      </c>
      <c r="R93" s="44">
        <f>E93+фев!I93</f>
        <v>36659.25</v>
      </c>
      <c r="S93" s="30">
        <f>F93+фев!J93</f>
        <v>33187.892999999996</v>
      </c>
    </row>
    <row r="94" spans="1:19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6">
        <v>11186.638999999999</v>
      </c>
      <c r="G94" s="10">
        <f t="shared" si="32"/>
        <v>-1033.1110000000008</v>
      </c>
      <c r="H94" s="10">
        <f>D94+фев!H94</f>
        <v>36776.550000000003</v>
      </c>
      <c r="I94" s="8">
        <f>E94+фев!I94</f>
        <v>36659.25</v>
      </c>
      <c r="J94" s="8">
        <f>F94+фев!J94</f>
        <v>33187.892999999996</v>
      </c>
      <c r="K94" s="10">
        <f t="shared" si="33"/>
        <v>-3471.3570000000036</v>
      </c>
      <c r="L94" s="16">
        <f t="shared" si="38"/>
        <v>-9.469252644284877</v>
      </c>
      <c r="M94" s="110"/>
      <c r="N94" s="111"/>
      <c r="O94">
        <f>P94-J94</f>
        <v>-819.50699999999779</v>
      </c>
      <c r="P94">
        <v>32368.385999999999</v>
      </c>
      <c r="Q94">
        <f t="shared" si="29"/>
        <v>36776.550000000003</v>
      </c>
      <c r="R94" s="44">
        <f>E94+фев!I94</f>
        <v>36659.25</v>
      </c>
      <c r="S94" s="30">
        <f>F94+фев!J94</f>
        <v>33187.892999999996</v>
      </c>
    </row>
    <row r="95" spans="1:19" ht="17.25" customHeight="1">
      <c r="A95" s="65" t="s">
        <v>82</v>
      </c>
      <c r="B95" s="6" t="s">
        <v>83</v>
      </c>
      <c r="C95" s="65" t="s">
        <v>4</v>
      </c>
      <c r="D95" s="7">
        <f t="shared" ref="D95:J95" si="39">D96</f>
        <v>588.22500000000002</v>
      </c>
      <c r="E95" s="7">
        <f t="shared" si="39"/>
        <v>291.66699999999997</v>
      </c>
      <c r="F95" s="7">
        <f t="shared" si="39"/>
        <v>0</v>
      </c>
      <c r="G95" s="10">
        <f t="shared" si="32"/>
        <v>-291.66699999999997</v>
      </c>
      <c r="H95" s="7">
        <f t="shared" si="39"/>
        <v>1764.6750000000002</v>
      </c>
      <c r="I95" s="7">
        <f t="shared" si="39"/>
        <v>875.00099999999998</v>
      </c>
      <c r="J95" s="7">
        <f t="shared" si="39"/>
        <v>0.76900000000000002</v>
      </c>
      <c r="K95" s="10">
        <f t="shared" si="33"/>
        <v>-874.23199999999997</v>
      </c>
      <c r="L95" s="16">
        <f t="shared" si="38"/>
        <v>-99.912114386154983</v>
      </c>
      <c r="M95" s="110"/>
      <c r="N95" s="111"/>
      <c r="Q95">
        <f t="shared" si="29"/>
        <v>1764.6750000000002</v>
      </c>
      <c r="R95" s="44">
        <f>E95+фев!I95</f>
        <v>875.00099999999998</v>
      </c>
      <c r="S95" s="30">
        <f>F95+фев!J95</f>
        <v>0.76800000000000002</v>
      </c>
    </row>
    <row r="96" spans="1:19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/>
      <c r="G96" s="10">
        <f t="shared" si="32"/>
        <v>-291.66699999999997</v>
      </c>
      <c r="H96" s="10">
        <f>D96+фев!H96</f>
        <v>1764.6750000000002</v>
      </c>
      <c r="I96" s="8">
        <f>E96+фев!I96</f>
        <v>875.00099999999998</v>
      </c>
      <c r="J96" s="8">
        <v>0.76900000000000002</v>
      </c>
      <c r="K96" s="10">
        <f t="shared" si="33"/>
        <v>-874.23199999999997</v>
      </c>
      <c r="L96" s="16">
        <f t="shared" si="38"/>
        <v>-99.912114386154983</v>
      </c>
      <c r="M96" s="117" t="s">
        <v>299</v>
      </c>
      <c r="N96" s="118"/>
      <c r="Q96">
        <f t="shared" si="29"/>
        <v>1764.6750000000002</v>
      </c>
      <c r="R96" s="44">
        <f>E96+фев!I96</f>
        <v>875.00099999999998</v>
      </c>
      <c r="S96" s="30">
        <f>F96+фев!J96</f>
        <v>0.76800000000000002</v>
      </c>
    </row>
    <row r="97" spans="1:19" ht="17.25" customHeight="1">
      <c r="A97" s="65" t="s">
        <v>86</v>
      </c>
      <c r="B97" s="6" t="s">
        <v>87</v>
      </c>
      <c r="C97" s="65" t="s">
        <v>4</v>
      </c>
      <c r="D97" s="7">
        <f t="shared" ref="D97" si="40">D98+D99+D103+D104+D109+D110</f>
        <v>2575.1889999999999</v>
      </c>
      <c r="E97" s="7">
        <f>E98+E99+E103+E104+E109+E110</f>
        <v>2562.3330000000001</v>
      </c>
      <c r="F97" s="7">
        <f>F98+F99+F103+F104+F109+F110</f>
        <v>2242.8465000000006</v>
      </c>
      <c r="G97" s="10">
        <f t="shared" si="32"/>
        <v>-319.48649999999952</v>
      </c>
      <c r="H97" s="7">
        <f t="shared" ref="H97" si="41">H98+H99+H103+H104+H109+H110</f>
        <v>7725.567</v>
      </c>
      <c r="I97" s="7">
        <f>I98+I99+I103+I104+I109+I110</f>
        <v>7686.9989999999998</v>
      </c>
      <c r="J97" s="7">
        <f>J98+J99+J103+J104+J109+J110</f>
        <v>6183.1195000000007</v>
      </c>
      <c r="K97" s="10">
        <f t="shared" si="33"/>
        <v>-1503.8794999999991</v>
      </c>
      <c r="L97" s="16">
        <f t="shared" si="38"/>
        <v>-19.563935158570974</v>
      </c>
      <c r="M97" s="110"/>
      <c r="N97" s="111"/>
      <c r="Q97">
        <f t="shared" si="29"/>
        <v>7725.5669999999991</v>
      </c>
      <c r="R97" s="44">
        <f>E97+фев!I97</f>
        <v>7686.9989999999998</v>
      </c>
      <c r="S97" s="30">
        <f>F97+фев!J97</f>
        <v>6183.1195000000007</v>
      </c>
    </row>
    <row r="98" spans="1:19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8">
        <v>537.87800000000004</v>
      </c>
      <c r="G98" s="10">
        <f t="shared" si="32"/>
        <v>-5.2049999999999272</v>
      </c>
      <c r="H98" s="10">
        <f>D98+фев!H98</f>
        <v>1879.2510000000002</v>
      </c>
      <c r="I98" s="8">
        <f>E98+фев!I98</f>
        <v>1629.2489999999998</v>
      </c>
      <c r="J98" s="8">
        <f>F98+фев!J98</f>
        <v>1703.7020000000002</v>
      </c>
      <c r="K98" s="10">
        <f t="shared" si="33"/>
        <v>74.453000000000429</v>
      </c>
      <c r="L98" s="16">
        <f t="shared" si="38"/>
        <v>4.5697741720265252</v>
      </c>
      <c r="M98" s="117" t="s">
        <v>298</v>
      </c>
      <c r="N98" s="118"/>
      <c r="Q98">
        <f t="shared" si="29"/>
        <v>1879.2510000000002</v>
      </c>
      <c r="R98" s="44">
        <f>E98+фев!I98</f>
        <v>1629.2489999999998</v>
      </c>
      <c r="S98" s="30">
        <f>F98+фев!J98</f>
        <v>1703.7020000000002</v>
      </c>
    </row>
    <row r="99" spans="1:19" ht="53.25" customHeight="1">
      <c r="A99" s="8" t="s">
        <v>90</v>
      </c>
      <c r="B99" s="20" t="s">
        <v>242</v>
      </c>
      <c r="C99" s="8" t="s">
        <v>4</v>
      </c>
      <c r="D99" s="10">
        <f t="shared" ref="D99:F99" si="42">D100+D101+D102</f>
        <v>107.703</v>
      </c>
      <c r="E99" s="8">
        <v>107.667</v>
      </c>
      <c r="F99" s="10">
        <f t="shared" si="42"/>
        <v>0</v>
      </c>
      <c r="G99" s="10">
        <f t="shared" si="32"/>
        <v>-107.667</v>
      </c>
      <c r="H99" s="10">
        <f t="shared" ref="H99" si="43">H100+H101+H102</f>
        <v>323.10899999999998</v>
      </c>
      <c r="I99" s="8">
        <f>E99+фев!I99</f>
        <v>323.00099999999998</v>
      </c>
      <c r="J99" s="10">
        <f t="shared" ref="J99" si="44">J100+J101+J102</f>
        <v>0</v>
      </c>
      <c r="K99" s="10">
        <f t="shared" si="33"/>
        <v>-323.00099999999998</v>
      </c>
      <c r="L99" s="16">
        <f t="shared" si="38"/>
        <v>-100</v>
      </c>
      <c r="M99" s="110"/>
      <c r="N99" s="111"/>
      <c r="Q99">
        <f t="shared" si="29"/>
        <v>323.10900000000004</v>
      </c>
      <c r="R99" s="44">
        <f>E99+фев!I99</f>
        <v>323.00099999999998</v>
      </c>
      <c r="S99" s="30">
        <f>F99+фев!J99</f>
        <v>0</v>
      </c>
    </row>
    <row r="100" spans="1:19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32"/>
        <v>0</v>
      </c>
      <c r="H100" s="10">
        <f>D100+фев!H100</f>
        <v>136.34699999999998</v>
      </c>
      <c r="I100" s="8"/>
      <c r="J100" s="8">
        <f>F100+фев!J100</f>
        <v>0</v>
      </c>
      <c r="K100" s="10">
        <f t="shared" si="33"/>
        <v>0</v>
      </c>
      <c r="L100" s="16"/>
      <c r="M100" s="110"/>
      <c r="N100" s="111"/>
      <c r="Q100">
        <f t="shared" si="29"/>
        <v>136.34699999999998</v>
      </c>
      <c r="R100" s="44">
        <f>E100+фев!I100</f>
        <v>0</v>
      </c>
      <c r="S100" s="30">
        <f>F100+фев!J100</f>
        <v>0</v>
      </c>
    </row>
    <row r="101" spans="1:19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32"/>
        <v>0</v>
      </c>
      <c r="H101" s="10">
        <f>D101+фев!H101</f>
        <v>186.762</v>
      </c>
      <c r="I101" s="8"/>
      <c r="J101" s="8">
        <f>F101+фев!J101</f>
        <v>0</v>
      </c>
      <c r="K101" s="10">
        <f t="shared" si="33"/>
        <v>0</v>
      </c>
      <c r="L101" s="16"/>
      <c r="M101" s="110"/>
      <c r="N101" s="111"/>
      <c r="Q101">
        <f t="shared" si="29"/>
        <v>186.762</v>
      </c>
      <c r="R101" s="44">
        <f>E101+фев!I101</f>
        <v>0</v>
      </c>
      <c r="S101" s="30">
        <f>F101+фев!J101</f>
        <v>0</v>
      </c>
    </row>
    <row r="102" spans="1:19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32"/>
        <v>0</v>
      </c>
      <c r="H102" s="10">
        <f>D102+фев!H102</f>
        <v>0</v>
      </c>
      <c r="I102" s="8"/>
      <c r="J102" s="8">
        <f>F102+фев!J102</f>
        <v>0</v>
      </c>
      <c r="K102" s="10">
        <f t="shared" si="33"/>
        <v>0</v>
      </c>
      <c r="L102" s="16"/>
      <c r="M102" s="110"/>
      <c r="N102" s="111"/>
      <c r="Q102">
        <f t="shared" si="29"/>
        <v>0</v>
      </c>
      <c r="R102" s="44">
        <f>E102+фев!I102</f>
        <v>0</v>
      </c>
      <c r="S102" s="30">
        <f>F102+фев!J102</f>
        <v>0</v>
      </c>
    </row>
    <row r="103" spans="1:19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32"/>
        <v>-1.333</v>
      </c>
      <c r="H103" s="10">
        <f>D103+фев!H103</f>
        <v>3.9269999999999996</v>
      </c>
      <c r="I103" s="8">
        <f>E103+фев!I103</f>
        <v>3.9989999999999997</v>
      </c>
      <c r="J103" s="8">
        <f>F103+фев!J103</f>
        <v>0</v>
      </c>
      <c r="K103" s="10">
        <f t="shared" si="33"/>
        <v>-3.9989999999999997</v>
      </c>
      <c r="L103" s="16">
        <f t="shared" si="38"/>
        <v>-100</v>
      </c>
      <c r="M103" s="110"/>
      <c r="N103" s="111"/>
      <c r="Q103">
        <f t="shared" si="29"/>
        <v>3.9269999999999996</v>
      </c>
      <c r="R103" s="44">
        <f>E103+фев!I103</f>
        <v>3.9989999999999997</v>
      </c>
      <c r="S103" s="30">
        <f>F103+фев!J103</f>
        <v>0</v>
      </c>
    </row>
    <row r="104" spans="1:19" ht="36" customHeight="1">
      <c r="A104" s="18" t="s">
        <v>105</v>
      </c>
      <c r="B104" s="20" t="s">
        <v>99</v>
      </c>
      <c r="C104" s="8" t="s">
        <v>4</v>
      </c>
      <c r="D104" s="10">
        <f t="shared" ref="D104:F104" si="45">D105+D106+D107+D108</f>
        <v>186.095</v>
      </c>
      <c r="E104" s="10">
        <f t="shared" si="45"/>
        <v>152.833</v>
      </c>
      <c r="F104" s="10">
        <f t="shared" si="45"/>
        <v>76.244</v>
      </c>
      <c r="G104" s="10">
        <f t="shared" si="32"/>
        <v>-76.588999999999999</v>
      </c>
      <c r="H104" s="10">
        <f t="shared" ref="H104:J104" si="46">H105+H106+H107+H108</f>
        <v>558.28500000000008</v>
      </c>
      <c r="I104" s="10">
        <f t="shared" si="46"/>
        <v>458.49900000000002</v>
      </c>
      <c r="J104" s="10">
        <f t="shared" si="46"/>
        <v>223.90700000000001</v>
      </c>
      <c r="K104" s="10">
        <f t="shared" si="33"/>
        <v>-234.59200000000001</v>
      </c>
      <c r="L104" s="16">
        <f t="shared" si="38"/>
        <v>-51.165215191309031</v>
      </c>
      <c r="M104" s="110"/>
      <c r="N104" s="111"/>
      <c r="Q104">
        <f t="shared" si="29"/>
        <v>558.28499999999997</v>
      </c>
      <c r="R104" s="44">
        <f>E104+фев!I104</f>
        <v>458.49900000000002</v>
      </c>
      <c r="S104" s="30">
        <f>F104+фев!J104</f>
        <v>223.90700000000001</v>
      </c>
    </row>
    <row r="105" spans="1:19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/>
      <c r="G105" s="10">
        <f t="shared" si="32"/>
        <v>-43.582999999999998</v>
      </c>
      <c r="H105" s="10">
        <f>D105+фев!H105</f>
        <v>130.71299999999999</v>
      </c>
      <c r="I105" s="8">
        <f>E105+фев!I105</f>
        <v>130.749</v>
      </c>
      <c r="J105" s="8">
        <f>F105+фев!J105</f>
        <v>0</v>
      </c>
      <c r="K105" s="10">
        <f t="shared" si="33"/>
        <v>-130.749</v>
      </c>
      <c r="L105" s="16">
        <f t="shared" si="38"/>
        <v>-100</v>
      </c>
      <c r="M105" s="110"/>
      <c r="N105" s="111"/>
      <c r="Q105">
        <f t="shared" si="29"/>
        <v>130.71299999999999</v>
      </c>
      <c r="R105" s="44">
        <f>E105+фев!I105</f>
        <v>130.749</v>
      </c>
      <c r="S105" s="30">
        <f>F105+фев!J105</f>
        <v>0</v>
      </c>
    </row>
    <row r="106" spans="1:19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8">
        <v>35.643999999999998</v>
      </c>
      <c r="G106" s="10">
        <f t="shared" si="32"/>
        <v>-47.273000000000003</v>
      </c>
      <c r="H106" s="10">
        <f>D106+фев!H106</f>
        <v>348.62700000000001</v>
      </c>
      <c r="I106" s="8">
        <f>E106+фев!I106</f>
        <v>248.751</v>
      </c>
      <c r="J106" s="8">
        <f>F106+фев!J106</f>
        <v>183.30700000000002</v>
      </c>
      <c r="K106" s="10">
        <f t="shared" si="33"/>
        <v>-65.443999999999988</v>
      </c>
      <c r="L106" s="16">
        <f t="shared" si="38"/>
        <v>-26.309039963658432</v>
      </c>
      <c r="M106" s="112" t="s">
        <v>287</v>
      </c>
      <c r="N106" s="113"/>
      <c r="Q106">
        <f t="shared" si="29"/>
        <v>348.62700000000001</v>
      </c>
      <c r="R106" s="44">
        <f>E106+фев!I106</f>
        <v>248.751</v>
      </c>
      <c r="S106" s="30">
        <f>F106+фев!J106</f>
        <v>183.30700000000002</v>
      </c>
    </row>
    <row r="107" spans="1:19" ht="37.5" customHeight="1">
      <c r="A107" s="8" t="s">
        <v>245</v>
      </c>
      <c r="B107" s="20" t="s">
        <v>321</v>
      </c>
      <c r="C107" s="8" t="s">
        <v>4</v>
      </c>
      <c r="D107" s="10">
        <v>26.315000000000001</v>
      </c>
      <c r="E107" s="8">
        <v>26.332999999999998</v>
      </c>
      <c r="F107" s="10">
        <v>40.6</v>
      </c>
      <c r="G107" s="10">
        <f t="shared" si="32"/>
        <v>14.267000000000003</v>
      </c>
      <c r="H107" s="10">
        <f>D107+фев!H107</f>
        <v>78.945000000000007</v>
      </c>
      <c r="I107" s="8">
        <f>E107+фев!I107</f>
        <v>78.998999999999995</v>
      </c>
      <c r="J107" s="10">
        <f>F107+фев!J107</f>
        <v>40.6</v>
      </c>
      <c r="K107" s="10">
        <f t="shared" si="33"/>
        <v>-38.398999999999994</v>
      </c>
      <c r="L107" s="16">
        <f t="shared" si="38"/>
        <v>-48.606944391701155</v>
      </c>
      <c r="M107" s="110"/>
      <c r="N107" s="111"/>
      <c r="Q107">
        <f t="shared" si="29"/>
        <v>78.945000000000007</v>
      </c>
      <c r="R107" s="44">
        <f>E107+фев!I107</f>
        <v>78.998999999999995</v>
      </c>
      <c r="S107" s="30">
        <f>F107+фев!J107</f>
        <v>40.6</v>
      </c>
    </row>
    <row r="108" spans="1:19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32"/>
        <v>0</v>
      </c>
      <c r="H108" s="10">
        <f>D108+ян!H108</f>
        <v>0</v>
      </c>
      <c r="I108" s="8">
        <f>E108+фев!I108</f>
        <v>0</v>
      </c>
      <c r="J108" s="8">
        <f>F108+фев!J108</f>
        <v>0</v>
      </c>
      <c r="K108" s="10">
        <f t="shared" si="33"/>
        <v>0</v>
      </c>
      <c r="L108" s="16" t="e">
        <f t="shared" si="38"/>
        <v>#DIV/0!</v>
      </c>
      <c r="M108" s="110"/>
      <c r="N108" s="111"/>
      <c r="Q108">
        <f t="shared" si="29"/>
        <v>0</v>
      </c>
      <c r="R108" s="44">
        <f>E108+фев!I108</f>
        <v>0</v>
      </c>
      <c r="S108" s="30">
        <f>F108+фев!J108</f>
        <v>0</v>
      </c>
    </row>
    <row r="109" spans="1:19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6">
        <f>15.207+18.866+0.256+3.286+1.417+0.035</f>
        <v>39.067</v>
      </c>
      <c r="G109" s="10">
        <f t="shared" si="32"/>
        <v>-19.100000000000001</v>
      </c>
      <c r="H109" s="10">
        <f>D109+фев!H109</f>
        <v>274.452</v>
      </c>
      <c r="I109" s="8">
        <f>E109+фев!I109</f>
        <v>174.501</v>
      </c>
      <c r="J109" s="8">
        <f>F109+фев!J109</f>
        <v>103.60499999999999</v>
      </c>
      <c r="K109" s="10">
        <f t="shared" si="33"/>
        <v>-70.896000000000015</v>
      </c>
      <c r="L109" s="16">
        <f t="shared" si="38"/>
        <v>-40.627847404885941</v>
      </c>
      <c r="M109" s="110"/>
      <c r="N109" s="111"/>
      <c r="P109" s="79">
        <f>45.621+46.19+0.769+9.309+1.417+0.3</f>
        <v>103.60600000000001</v>
      </c>
      <c r="Q109">
        <f t="shared" si="29"/>
        <v>274.452</v>
      </c>
      <c r="R109" s="44">
        <f>E109+фев!I109</f>
        <v>174.501</v>
      </c>
      <c r="S109" s="30">
        <f>F109+фев!J109</f>
        <v>103.60499999999999</v>
      </c>
    </row>
    <row r="110" spans="1:19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1589.6575000000003</v>
      </c>
      <c r="G110" s="10">
        <f t="shared" si="32"/>
        <v>-109.59249999999975</v>
      </c>
      <c r="H110" s="10">
        <f>H111+H115+H119+H123+H124+H125+H126+H127+H128+H129+H130+H131+H132+H133+H134+H135</f>
        <v>4686.5429999999997</v>
      </c>
      <c r="I110" s="10">
        <f>I111+I115+I119+I123+I124+I125+I126+I127+I128+I129+I130+I131+I132+I133+I134+I135+I136+I137</f>
        <v>5097.75</v>
      </c>
      <c r="J110" s="10">
        <f>J111+J115+J119+J123+J124+J125+J126+J127+J128+J129+J130+J131+J132+J133+J134+J135+J136+J137</f>
        <v>4151.9055000000008</v>
      </c>
      <c r="K110" s="10">
        <f t="shared" si="33"/>
        <v>-945.84449999999924</v>
      </c>
      <c r="L110" s="16">
        <f t="shared" si="38"/>
        <v>-18.554156245402368</v>
      </c>
      <c r="M110" s="116"/>
      <c r="N110" s="111"/>
      <c r="Q110">
        <f t="shared" si="29"/>
        <v>4686.5429999999997</v>
      </c>
      <c r="R110" s="44">
        <f>E110+фев!I110</f>
        <v>5097.75</v>
      </c>
      <c r="S110" s="30">
        <f>F110+фев!J110</f>
        <v>4151.9055000000008</v>
      </c>
    </row>
    <row r="111" spans="1:19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383.13</v>
      </c>
      <c r="G111" s="10">
        <f t="shared" si="32"/>
        <v>-48.286999999999978</v>
      </c>
      <c r="H111" s="10">
        <f>D111+фев!H111</f>
        <v>1294.143</v>
      </c>
      <c r="I111" s="8">
        <f>E111+фев!I111</f>
        <v>1294.251</v>
      </c>
      <c r="J111" s="10">
        <f>J112+J113+J114</f>
        <v>898.61099999999999</v>
      </c>
      <c r="K111" s="10">
        <f t="shared" si="33"/>
        <v>-395.64</v>
      </c>
      <c r="L111" s="16">
        <f t="shared" si="38"/>
        <v>-30.569031818403076</v>
      </c>
      <c r="M111" s="121"/>
      <c r="N111" s="122"/>
      <c r="Q111">
        <f t="shared" si="29"/>
        <v>1294.143</v>
      </c>
      <c r="R111" s="44">
        <f>E111+фев!I111</f>
        <v>1294.251</v>
      </c>
      <c r="S111" s="30">
        <f>F111+фев!J111</f>
        <v>898.61099999999999</v>
      </c>
    </row>
    <row r="112" spans="1:19" ht="17.25" customHeight="1">
      <c r="A112" s="18"/>
      <c r="B112" s="9" t="s">
        <v>221</v>
      </c>
      <c r="C112" s="8" t="s">
        <v>4</v>
      </c>
      <c r="D112" s="10"/>
      <c r="E112" s="8"/>
      <c r="F112" s="10">
        <v>351.13</v>
      </c>
      <c r="G112" s="10">
        <f t="shared" si="32"/>
        <v>351.13</v>
      </c>
      <c r="H112" s="10"/>
      <c r="I112" s="8"/>
      <c r="J112" s="10">
        <f>F112+фев!J112</f>
        <v>764.79</v>
      </c>
      <c r="K112" s="10">
        <f t="shared" si="33"/>
        <v>764.79</v>
      </c>
      <c r="L112" s="16"/>
      <c r="M112" s="110"/>
      <c r="N112" s="111"/>
      <c r="Q112">
        <f t="shared" si="29"/>
        <v>0</v>
      </c>
      <c r="R112" s="44">
        <f>E112+фев!I112</f>
        <v>0</v>
      </c>
      <c r="S112" s="30">
        <f>F112+фев!J112</f>
        <v>764.79</v>
      </c>
    </row>
    <row r="113" spans="1:19" ht="36" customHeight="1">
      <c r="A113" s="18"/>
      <c r="B113" s="9" t="s">
        <v>222</v>
      </c>
      <c r="C113" s="8" t="s">
        <v>4</v>
      </c>
      <c r="D113" s="10"/>
      <c r="E113" s="8"/>
      <c r="F113" s="10">
        <v>32</v>
      </c>
      <c r="G113" s="10">
        <f t="shared" si="32"/>
        <v>32</v>
      </c>
      <c r="H113" s="10"/>
      <c r="I113" s="8"/>
      <c r="J113" s="8">
        <f>F113+фев!J113</f>
        <v>133.821</v>
      </c>
      <c r="K113" s="10">
        <f t="shared" si="33"/>
        <v>133.821</v>
      </c>
      <c r="L113" s="16"/>
      <c r="M113" s="110"/>
      <c r="N113" s="111"/>
      <c r="Q113">
        <f t="shared" si="29"/>
        <v>0</v>
      </c>
      <c r="R113" s="44">
        <f>E113+фев!I113</f>
        <v>0</v>
      </c>
      <c r="S113" s="30">
        <f>F113+фев!J113</f>
        <v>133.821</v>
      </c>
    </row>
    <row r="114" spans="1:19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32"/>
        <v>0</v>
      </c>
      <c r="H114" s="10"/>
      <c r="I114" s="8"/>
      <c r="J114" s="8">
        <f>F114+фев!J114</f>
        <v>0</v>
      </c>
      <c r="K114" s="10">
        <f t="shared" si="33"/>
        <v>0</v>
      </c>
      <c r="L114" s="16"/>
      <c r="M114" s="110"/>
      <c r="N114" s="111"/>
      <c r="Q114">
        <f t="shared" si="29"/>
        <v>0</v>
      </c>
      <c r="R114" s="44">
        <f>E114+фев!I114</f>
        <v>0</v>
      </c>
      <c r="S114" s="30">
        <f>F114+фев!J114</f>
        <v>0</v>
      </c>
    </row>
    <row r="115" spans="1:19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47">D116+D117+D118</f>
        <v>121.34400000000001</v>
      </c>
      <c r="E115" s="10">
        <v>121.333</v>
      </c>
      <c r="F115" s="10">
        <f t="shared" si="47"/>
        <v>0</v>
      </c>
      <c r="G115" s="10">
        <f t="shared" si="32"/>
        <v>-121.333</v>
      </c>
      <c r="H115" s="10">
        <f t="shared" ref="H115" si="48">H116+H117+H118</f>
        <v>364.03199999999998</v>
      </c>
      <c r="I115" s="8">
        <f>E115+фев!I115</f>
        <v>363.99900000000002</v>
      </c>
      <c r="J115" s="10">
        <f t="shared" ref="J115" si="49">J116+J117+J118</f>
        <v>0</v>
      </c>
      <c r="K115" s="10">
        <f t="shared" si="33"/>
        <v>-363.99900000000002</v>
      </c>
      <c r="L115" s="16">
        <f t="shared" si="38"/>
        <v>-100</v>
      </c>
      <c r="M115" s="110"/>
      <c r="N115" s="111"/>
      <c r="Q115">
        <f t="shared" si="29"/>
        <v>364.03200000000004</v>
      </c>
      <c r="R115" s="44">
        <f>E115+фев!I115</f>
        <v>363.99900000000002</v>
      </c>
      <c r="S115" s="30">
        <f>F115+фев!J115</f>
        <v>0</v>
      </c>
    </row>
    <row r="116" spans="1:19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32"/>
        <v>0</v>
      </c>
      <c r="H116" s="10">
        <f>D116+фев!H116</f>
        <v>258.96600000000001</v>
      </c>
      <c r="I116" s="8"/>
      <c r="J116" s="8">
        <f>F116+фев!J116</f>
        <v>0</v>
      </c>
      <c r="K116" s="10">
        <f t="shared" si="33"/>
        <v>0</v>
      </c>
      <c r="L116" s="16"/>
      <c r="M116" s="110"/>
      <c r="N116" s="111"/>
      <c r="Q116">
        <f t="shared" si="29"/>
        <v>258.96600000000001</v>
      </c>
      <c r="R116" s="44">
        <f>E116+фев!I116</f>
        <v>0</v>
      </c>
      <c r="S116" s="30">
        <f>F116+фев!J116</f>
        <v>0</v>
      </c>
    </row>
    <row r="117" spans="1:19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32"/>
        <v>0</v>
      </c>
      <c r="H117" s="10">
        <f>D117+фев!H117</f>
        <v>95.28</v>
      </c>
      <c r="I117" s="8"/>
      <c r="J117" s="8">
        <f>F117+фев!J117</f>
        <v>0</v>
      </c>
      <c r="K117" s="10">
        <f t="shared" si="33"/>
        <v>0</v>
      </c>
      <c r="L117" s="16"/>
      <c r="M117" s="110"/>
      <c r="N117" s="111"/>
      <c r="Q117">
        <f t="shared" si="29"/>
        <v>95.28</v>
      </c>
      <c r="R117" s="44">
        <f>E117+фев!I117</f>
        <v>0</v>
      </c>
      <c r="S117" s="30">
        <f>F117+фев!J117</f>
        <v>0</v>
      </c>
    </row>
    <row r="118" spans="1:19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32"/>
        <v>0</v>
      </c>
      <c r="H118" s="10">
        <f>D118+фев!H118</f>
        <v>9.7859999999999996</v>
      </c>
      <c r="I118" s="8"/>
      <c r="J118" s="8">
        <f>F118+фев!J118</f>
        <v>0</v>
      </c>
      <c r="K118" s="10">
        <f t="shared" si="33"/>
        <v>0</v>
      </c>
      <c r="L118" s="16"/>
      <c r="M118" s="110"/>
      <c r="N118" s="111"/>
      <c r="Q118">
        <f t="shared" si="29"/>
        <v>9.7859999999999996</v>
      </c>
      <c r="R118" s="44">
        <f>E118+фев!I118</f>
        <v>0</v>
      </c>
      <c r="S118" s="30">
        <f>F118+фев!J118</f>
        <v>0</v>
      </c>
    </row>
    <row r="119" spans="1:19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217.61449999999999</v>
      </c>
      <c r="G119" s="10">
        <f t="shared" si="32"/>
        <v>-138.88550000000001</v>
      </c>
      <c r="H119" s="10">
        <f>H120</f>
        <v>1142.547</v>
      </c>
      <c r="I119" s="8">
        <f>E119+фев!I119</f>
        <v>1069.5</v>
      </c>
      <c r="J119" s="10">
        <f>J120</f>
        <v>1016.7865</v>
      </c>
      <c r="K119" s="10">
        <f t="shared" si="33"/>
        <v>-52.713499999999954</v>
      </c>
      <c r="L119" s="16">
        <f t="shared" si="38"/>
        <v>-4.9287985039738151</v>
      </c>
      <c r="M119" s="110"/>
      <c r="N119" s="111"/>
      <c r="Q119">
        <f t="shared" si="29"/>
        <v>1142.547</v>
      </c>
      <c r="R119" s="44">
        <f>E119+фев!I119</f>
        <v>1069.5</v>
      </c>
      <c r="S119" s="30">
        <f>F119+фев!J119</f>
        <v>1016.7865</v>
      </c>
    </row>
    <row r="120" spans="1:19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217.61449999999999</v>
      </c>
      <c r="G120" s="10">
        <f t="shared" si="32"/>
        <v>-138.88550000000001</v>
      </c>
      <c r="H120" s="10">
        <f>D120+фев!H120</f>
        <v>1142.547</v>
      </c>
      <c r="I120" s="8">
        <f>E120+фев!I120</f>
        <v>1069.5</v>
      </c>
      <c r="J120" s="8">
        <f>F120+фев!J120</f>
        <v>1016.7865</v>
      </c>
      <c r="K120" s="10">
        <f t="shared" si="33"/>
        <v>-52.713499999999954</v>
      </c>
      <c r="L120" s="16">
        <f t="shared" si="38"/>
        <v>-4.9287985039738151</v>
      </c>
      <c r="M120" s="110"/>
      <c r="N120" s="111"/>
      <c r="Q120">
        <f t="shared" si="29"/>
        <v>1142.547</v>
      </c>
      <c r="R120" s="44">
        <f>E120+фев!I120</f>
        <v>1069.5</v>
      </c>
      <c r="S120" s="30">
        <f>F120+фев!J120</f>
        <v>1016.7865</v>
      </c>
    </row>
    <row r="121" spans="1:19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435.22899999999998</v>
      </c>
      <c r="G121" s="10">
        <f t="shared" si="32"/>
        <v>-277.77100000000002</v>
      </c>
      <c r="H121" s="10">
        <f>D121+фев!H121</f>
        <v>2285.0969999999998</v>
      </c>
      <c r="I121" s="8">
        <f>E121+фев!I121</f>
        <v>2139</v>
      </c>
      <c r="J121" s="8">
        <f>F121+фев!J121</f>
        <v>2033.5720000000001</v>
      </c>
      <c r="K121" s="10">
        <f t="shared" si="33"/>
        <v>-105.42799999999988</v>
      </c>
      <c r="L121" s="16">
        <f t="shared" si="38"/>
        <v>-4.9288452547919537</v>
      </c>
      <c r="M121" s="110"/>
      <c r="N121" s="111"/>
      <c r="Q121">
        <f t="shared" si="29"/>
        <v>2285.0969999999998</v>
      </c>
      <c r="R121" s="44">
        <f>E121+фев!I121</f>
        <v>2139</v>
      </c>
      <c r="S121" s="30">
        <f>F121+фев!J121</f>
        <v>2033.5720000000001</v>
      </c>
    </row>
    <row r="122" spans="1:19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32"/>
        <v>0</v>
      </c>
      <c r="H122" s="11">
        <v>0.5</v>
      </c>
      <c r="I122" s="11">
        <v>0.5</v>
      </c>
      <c r="J122" s="11">
        <v>0.5</v>
      </c>
      <c r="K122" s="10">
        <f t="shared" si="33"/>
        <v>0</v>
      </c>
      <c r="L122" s="16">
        <f t="shared" si="38"/>
        <v>0</v>
      </c>
      <c r="M122" s="110"/>
      <c r="N122" s="111"/>
      <c r="Q122">
        <f t="shared" si="29"/>
        <v>1.5</v>
      </c>
      <c r="R122" s="44">
        <f>E122+фев!I122</f>
        <v>1</v>
      </c>
      <c r="S122" s="30">
        <f>F122+фев!J122</f>
        <v>1</v>
      </c>
    </row>
    <row r="123" spans="1:19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32"/>
        <v>-1.083</v>
      </c>
      <c r="H123" s="10">
        <f>D123+фев!H123</f>
        <v>3.3360000000000003</v>
      </c>
      <c r="I123" s="8">
        <f>E123+фев!I123</f>
        <v>3.2489999999999997</v>
      </c>
      <c r="J123" s="8">
        <f>F123+фев!J123</f>
        <v>0</v>
      </c>
      <c r="K123" s="10">
        <f t="shared" si="33"/>
        <v>-3.2489999999999997</v>
      </c>
      <c r="L123" s="16">
        <f t="shared" si="38"/>
        <v>-100</v>
      </c>
      <c r="M123" s="110"/>
      <c r="N123" s="111"/>
      <c r="Q123">
        <f t="shared" si="29"/>
        <v>3.3360000000000003</v>
      </c>
      <c r="R123" s="44">
        <f>E123+фев!I123</f>
        <v>3.2489999999999997</v>
      </c>
      <c r="S123" s="30">
        <f>F123+фев!J123</f>
        <v>0</v>
      </c>
    </row>
    <row r="124" spans="1:19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10">
        <v>45</v>
      </c>
      <c r="G124" s="10">
        <f t="shared" si="32"/>
        <v>-7.1670000000000016</v>
      </c>
      <c r="H124" s="10">
        <f>D124+фев!H124</f>
        <v>159.51</v>
      </c>
      <c r="I124" s="8">
        <f>E124+фев!I124</f>
        <v>156.501</v>
      </c>
      <c r="J124" s="10">
        <f>F124+фев!J124</f>
        <v>135</v>
      </c>
      <c r="K124" s="10">
        <f t="shared" si="33"/>
        <v>-21.501000000000005</v>
      </c>
      <c r="L124" s="16">
        <f t="shared" si="38"/>
        <v>-13.738570360572776</v>
      </c>
      <c r="M124" s="110"/>
      <c r="N124" s="111"/>
      <c r="Q124">
        <f t="shared" si="29"/>
        <v>159.51</v>
      </c>
      <c r="R124" s="44">
        <f>E124+фев!I124</f>
        <v>156.501</v>
      </c>
      <c r="S124" s="30">
        <f>F124+фев!J124</f>
        <v>135</v>
      </c>
    </row>
    <row r="125" spans="1:19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8">
        <f>305.95+216.775</f>
        <v>522.72500000000002</v>
      </c>
      <c r="G125" s="10">
        <f t="shared" si="32"/>
        <v>111.392</v>
      </c>
      <c r="H125" s="10">
        <f>D125+фев!H125</f>
        <v>1234.0500000000002</v>
      </c>
      <c r="I125" s="8">
        <f>E125+фев!I125</f>
        <v>1233.999</v>
      </c>
      <c r="J125" s="8">
        <f>F125+фев!J125</f>
        <v>1432.9880000000001</v>
      </c>
      <c r="K125" s="10">
        <f t="shared" si="33"/>
        <v>198.98900000000003</v>
      </c>
      <c r="L125" s="16">
        <f t="shared" si="38"/>
        <v>16.125539809999847</v>
      </c>
      <c r="M125" s="112" t="s">
        <v>294</v>
      </c>
      <c r="N125" s="113"/>
      <c r="P125">
        <f>838.725+594.263</f>
        <v>1432.9880000000001</v>
      </c>
      <c r="Q125">
        <f t="shared" si="29"/>
        <v>1234.0500000000002</v>
      </c>
      <c r="R125" s="44">
        <f>E125+фев!I125</f>
        <v>1233.999</v>
      </c>
      <c r="S125" s="30">
        <f>F125+фев!J125</f>
        <v>1432.9880000000001</v>
      </c>
    </row>
    <row r="126" spans="1:19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10">
        <v>106.14</v>
      </c>
      <c r="G126" s="10">
        <f t="shared" si="32"/>
        <v>57.472999999999999</v>
      </c>
      <c r="H126" s="10">
        <f>D126+фев!H126</f>
        <v>146.11199999999999</v>
      </c>
      <c r="I126" s="8">
        <f>E126+фев!I126</f>
        <v>146.001</v>
      </c>
      <c r="J126" s="10">
        <f>F126+фев!J126</f>
        <v>159.24</v>
      </c>
      <c r="K126" s="10">
        <f t="shared" si="33"/>
        <v>13.239000000000004</v>
      </c>
      <c r="L126" s="16">
        <f t="shared" si="38"/>
        <v>9.067746111328006</v>
      </c>
      <c r="M126" s="110"/>
      <c r="N126" s="111"/>
      <c r="Q126">
        <f t="shared" si="29"/>
        <v>146.11199999999999</v>
      </c>
      <c r="R126" s="44">
        <f>E126+фев!I126</f>
        <v>146.001</v>
      </c>
      <c r="S126" s="30">
        <f>F126+фев!J126</f>
        <v>159.24</v>
      </c>
    </row>
    <row r="127" spans="1:19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8"/>
      <c r="G127" s="10">
        <f t="shared" si="32"/>
        <v>-38</v>
      </c>
      <c r="H127" s="10">
        <f>D127+фев!H127</f>
        <v>114.03899999999999</v>
      </c>
      <c r="I127" s="8">
        <f>E127+фев!I127</f>
        <v>114</v>
      </c>
      <c r="J127" s="8">
        <f>F127+фев!J127</f>
        <v>0</v>
      </c>
      <c r="K127" s="10">
        <f t="shared" si="33"/>
        <v>-114</v>
      </c>
      <c r="L127" s="16">
        <f t="shared" si="38"/>
        <v>-100</v>
      </c>
      <c r="M127" s="110"/>
      <c r="N127" s="111"/>
      <c r="Q127">
        <f t="shared" si="29"/>
        <v>114.03899999999999</v>
      </c>
      <c r="R127" s="44">
        <f>E127+фев!I127</f>
        <v>114</v>
      </c>
      <c r="S127" s="30">
        <f>F127+фев!J127</f>
        <v>0</v>
      </c>
    </row>
    <row r="128" spans="1:19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>
        <v>235.87899999999999</v>
      </c>
      <c r="G128" s="10">
        <f t="shared" si="32"/>
        <v>235.87899999999999</v>
      </c>
      <c r="H128" s="10">
        <f>D128+фев!H128</f>
        <v>0</v>
      </c>
      <c r="I128" s="8">
        <f>E128+фев!I128</f>
        <v>0</v>
      </c>
      <c r="J128" s="8">
        <f>F128+фев!J128</f>
        <v>271.77100000000002</v>
      </c>
      <c r="K128" s="10">
        <f t="shared" si="33"/>
        <v>271.77100000000002</v>
      </c>
      <c r="L128" s="16" t="e">
        <f t="shared" si="38"/>
        <v>#DIV/0!</v>
      </c>
      <c r="M128" s="110"/>
      <c r="N128" s="111"/>
      <c r="Q128">
        <f t="shared" si="29"/>
        <v>0</v>
      </c>
      <c r="R128" s="44">
        <f>E128+фев!I128</f>
        <v>0</v>
      </c>
      <c r="S128" s="30">
        <f>F128+фев!J128</f>
        <v>271.77100000000002</v>
      </c>
    </row>
    <row r="129" spans="1:19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32"/>
        <v>0</v>
      </c>
      <c r="H129" s="10">
        <f>D129+фев!H129</f>
        <v>0</v>
      </c>
      <c r="I129" s="8">
        <f>E129+фев!I129</f>
        <v>0</v>
      </c>
      <c r="J129" s="8">
        <f>F129+фев!J129</f>
        <v>0</v>
      </c>
      <c r="K129" s="10">
        <f t="shared" si="33"/>
        <v>0</v>
      </c>
      <c r="L129" s="16" t="e">
        <f t="shared" si="38"/>
        <v>#DIV/0!</v>
      </c>
      <c r="M129" s="110"/>
      <c r="N129" s="111"/>
      <c r="Q129">
        <f t="shared" si="29"/>
        <v>0</v>
      </c>
      <c r="R129" s="44">
        <f>E129+фев!I129</f>
        <v>0</v>
      </c>
      <c r="S129" s="30">
        <f>F129+фев!J129</f>
        <v>0</v>
      </c>
    </row>
    <row r="130" spans="1:19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32"/>
        <v>0</v>
      </c>
      <c r="H130" s="10">
        <f>D130+фев!H130</f>
        <v>0</v>
      </c>
      <c r="I130" s="8">
        <f>E130+фев!I130</f>
        <v>0</v>
      </c>
      <c r="J130" s="8">
        <f>F130+фев!J130</f>
        <v>0</v>
      </c>
      <c r="K130" s="10">
        <f t="shared" si="33"/>
        <v>0</v>
      </c>
      <c r="L130" s="16" t="e">
        <f t="shared" si="38"/>
        <v>#DIV/0!</v>
      </c>
      <c r="M130" s="112" t="s">
        <v>288</v>
      </c>
      <c r="N130" s="113"/>
      <c r="Q130">
        <f t="shared" si="29"/>
        <v>0</v>
      </c>
      <c r="R130" s="44">
        <f>E130+фев!I130</f>
        <v>0</v>
      </c>
      <c r="S130" s="30">
        <f>F130+фев!J130</f>
        <v>0</v>
      </c>
    </row>
    <row r="131" spans="1:19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8"/>
      <c r="G131" s="10">
        <f t="shared" si="32"/>
        <v>-69.75</v>
      </c>
      <c r="H131" s="10">
        <f>D131+фев!H131</f>
        <v>209.34899999999999</v>
      </c>
      <c r="I131" s="8">
        <f>E131+фев!I131</f>
        <v>209.25</v>
      </c>
      <c r="J131" s="8">
        <f>F131+фев!J131</f>
        <v>0</v>
      </c>
      <c r="K131" s="10">
        <f t="shared" si="33"/>
        <v>-209.25</v>
      </c>
      <c r="L131" s="16">
        <f t="shared" si="38"/>
        <v>-100</v>
      </c>
      <c r="M131" s="110"/>
      <c r="N131" s="111"/>
      <c r="Q131">
        <f t="shared" si="29"/>
        <v>209.34899999999999</v>
      </c>
      <c r="R131" s="44">
        <f>E131+фев!I131</f>
        <v>209.25</v>
      </c>
      <c r="S131" s="30">
        <f>F131+фев!J131</f>
        <v>0</v>
      </c>
    </row>
    <row r="132" spans="1:19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32"/>
        <v>0</v>
      </c>
      <c r="H132" s="10">
        <f>D132+фев!H132</f>
        <v>0</v>
      </c>
      <c r="I132" s="8">
        <f>E132+фев!I132</f>
        <v>0</v>
      </c>
      <c r="J132" s="8">
        <f>F132+фев!J132</f>
        <v>0</v>
      </c>
      <c r="K132" s="10">
        <f t="shared" si="33"/>
        <v>0</v>
      </c>
      <c r="L132" s="16"/>
      <c r="M132" s="110"/>
      <c r="N132" s="111"/>
      <c r="Q132">
        <f t="shared" si="29"/>
        <v>0</v>
      </c>
      <c r="R132" s="44">
        <f>E132+фев!I132</f>
        <v>0</v>
      </c>
      <c r="S132" s="30">
        <f>F132+фев!J132</f>
        <v>0</v>
      </c>
    </row>
    <row r="133" spans="1:19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32"/>
        <v>0</v>
      </c>
      <c r="H133" s="10">
        <f>D133+фев!H133</f>
        <v>0</v>
      </c>
      <c r="I133" s="8">
        <f>E133+фев!I133</f>
        <v>0</v>
      </c>
      <c r="J133" s="8">
        <f>F133+фев!J133</f>
        <v>0</v>
      </c>
      <c r="K133" s="10">
        <f t="shared" si="33"/>
        <v>0</v>
      </c>
      <c r="L133" s="16"/>
      <c r="M133" s="110"/>
      <c r="N133" s="111"/>
      <c r="Q133">
        <f t="shared" si="29"/>
        <v>0</v>
      </c>
      <c r="R133" s="44">
        <f>E133+фев!I133</f>
        <v>0</v>
      </c>
      <c r="S133" s="30">
        <f>F133+фев!J133</f>
        <v>0</v>
      </c>
    </row>
    <row r="134" spans="1:19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32"/>
        <v>-6.5</v>
      </c>
      <c r="H134" s="10">
        <f>D134+фев!H134</f>
        <v>19.424999999999997</v>
      </c>
      <c r="I134" s="8">
        <f>E134+фев!I134</f>
        <v>19.5</v>
      </c>
      <c r="J134" s="8">
        <f>F134+фев!J134</f>
        <v>0</v>
      </c>
      <c r="K134" s="10">
        <f t="shared" si="33"/>
        <v>-19.5</v>
      </c>
      <c r="L134" s="16">
        <f t="shared" si="38"/>
        <v>-100</v>
      </c>
      <c r="M134" s="110"/>
      <c r="N134" s="111"/>
      <c r="Q134">
        <f t="shared" si="29"/>
        <v>19.424999999999997</v>
      </c>
      <c r="R134" s="44">
        <f>E134+фев!I134</f>
        <v>19.5</v>
      </c>
      <c r="S134" s="30">
        <f>F134+фев!J134</f>
        <v>0</v>
      </c>
    </row>
    <row r="135" spans="1:19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32"/>
        <v>0</v>
      </c>
      <c r="H135" s="10">
        <f>D135+фев!H135</f>
        <v>0</v>
      </c>
      <c r="I135" s="8">
        <f>E135+фев!I135</f>
        <v>0</v>
      </c>
      <c r="J135" s="8">
        <f>F135+фев!J135</f>
        <v>0</v>
      </c>
      <c r="K135" s="10">
        <f t="shared" si="33"/>
        <v>0</v>
      </c>
      <c r="L135" s="16"/>
      <c r="M135" s="110"/>
      <c r="N135" s="111"/>
      <c r="Q135">
        <f t="shared" si="29"/>
        <v>0</v>
      </c>
      <c r="R135" s="44">
        <f>E135+фев!I135</f>
        <v>0</v>
      </c>
      <c r="S135" s="30">
        <f>F135+фев!J135</f>
        <v>0</v>
      </c>
    </row>
    <row r="136" spans="1:19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10">
        <v>79.168999999999997</v>
      </c>
      <c r="G136" s="10">
        <f t="shared" si="32"/>
        <v>1.9999999999953388E-3</v>
      </c>
      <c r="H136" s="10">
        <f>D136+фев!H136</f>
        <v>0</v>
      </c>
      <c r="I136" s="8">
        <f>E136+фев!I136</f>
        <v>237.501</v>
      </c>
      <c r="J136" s="8">
        <f>F136+фев!J136</f>
        <v>237.50900000000001</v>
      </c>
      <c r="K136" s="10">
        <f t="shared" si="33"/>
        <v>8.0000000000097771E-3</v>
      </c>
      <c r="L136" s="16">
        <f t="shared" si="38"/>
        <v>3.3684068698699274E-3</v>
      </c>
      <c r="M136" s="63"/>
      <c r="N136" s="64"/>
      <c r="Q136">
        <f t="shared" si="29"/>
        <v>0</v>
      </c>
      <c r="R136" s="44">
        <f>E136+фев!I136</f>
        <v>237.501</v>
      </c>
      <c r="S136" s="30">
        <f>F136+фев!J136</f>
        <v>237.50900000000001</v>
      </c>
    </row>
    <row r="137" spans="1:19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8"/>
      <c r="G137" s="10">
        <f t="shared" si="32"/>
        <v>-83.332999999999998</v>
      </c>
      <c r="H137" s="10">
        <f>D137+фев!H137</f>
        <v>0</v>
      </c>
      <c r="I137" s="8">
        <f>E137+фев!I137</f>
        <v>249.999</v>
      </c>
      <c r="J137" s="8">
        <f>F137+фев!J137</f>
        <v>0</v>
      </c>
      <c r="K137" s="10">
        <f t="shared" si="33"/>
        <v>-249.999</v>
      </c>
      <c r="L137" s="16">
        <f t="shared" si="38"/>
        <v>-100</v>
      </c>
      <c r="M137" s="63"/>
      <c r="N137" s="64"/>
      <c r="Q137">
        <f t="shared" ref="Q137:Q200" si="50">D137*3</f>
        <v>0</v>
      </c>
      <c r="R137" s="44">
        <f>E137+фев!I137</f>
        <v>249.999</v>
      </c>
      <c r="S137" s="30">
        <f>F137+фев!J137</f>
        <v>0</v>
      </c>
    </row>
    <row r="138" spans="1:19" ht="17.25" customHeight="1">
      <c r="A138" s="65" t="s">
        <v>126</v>
      </c>
      <c r="B138" s="6" t="s">
        <v>127</v>
      </c>
      <c r="C138" s="8" t="s">
        <v>4</v>
      </c>
      <c r="D138" s="7">
        <f t="shared" ref="D138:J138" si="51">D139</f>
        <v>3385.116</v>
      </c>
      <c r="E138" s="7">
        <f t="shared" si="51"/>
        <v>2989.2490000000003</v>
      </c>
      <c r="F138" s="7">
        <f t="shared" si="51"/>
        <v>2402.6569999999997</v>
      </c>
      <c r="G138" s="10">
        <f t="shared" si="32"/>
        <v>-586.59200000000055</v>
      </c>
      <c r="H138" s="7">
        <f t="shared" si="51"/>
        <v>10155.348000000002</v>
      </c>
      <c r="I138" s="7">
        <f t="shared" si="51"/>
        <v>8967.7469999999994</v>
      </c>
      <c r="J138" s="7">
        <f t="shared" si="51"/>
        <v>6748.8130000000001</v>
      </c>
      <c r="K138" s="10">
        <f t="shared" si="33"/>
        <v>-2218.9339999999993</v>
      </c>
      <c r="L138" s="16">
        <f t="shared" si="38"/>
        <v>-24.743494659249414</v>
      </c>
      <c r="M138" s="110"/>
      <c r="N138" s="111"/>
      <c r="O138" s="30">
        <f>P138-J138</f>
        <v>210.8159999999998</v>
      </c>
      <c r="P138">
        <v>6959.6289999999999</v>
      </c>
      <c r="Q138">
        <f t="shared" si="50"/>
        <v>10155.348</v>
      </c>
      <c r="R138" s="44">
        <f>E138+фев!I138</f>
        <v>8967.7470000000012</v>
      </c>
      <c r="S138" s="30">
        <f>F138+фев!J138</f>
        <v>6748.8130000000001</v>
      </c>
    </row>
    <row r="139" spans="1:19" ht="17.25" customHeight="1">
      <c r="A139" s="65">
        <v>6</v>
      </c>
      <c r="B139" s="6" t="s">
        <v>128</v>
      </c>
      <c r="C139" s="65" t="s">
        <v>4</v>
      </c>
      <c r="D139" s="7">
        <f>D140+D145+D146+D147+D148+D149+D150+D151+D154+D156+D172+D176+D177+D179+D184+D183+D188</f>
        <v>3385.116</v>
      </c>
      <c r="E139" s="7">
        <f t="shared" ref="E139:F139" si="52">E140+E145+E146+E147+E148+E149+E150+E151+E154+E156+E172+E176+E177+E179+E184+E183+E188</f>
        <v>2989.2490000000003</v>
      </c>
      <c r="F139" s="7">
        <f t="shared" si="52"/>
        <v>2402.6569999999997</v>
      </c>
      <c r="G139" s="10">
        <f>F139-E139</f>
        <v>-586.59200000000055</v>
      </c>
      <c r="H139" s="7">
        <f t="shared" ref="H139:J139" si="53">H140+H145+H146+H147+H148+H149+H150+H151+H154+H156+H172+H176+H177+H179+H184+H183+H188</f>
        <v>10155.348000000002</v>
      </c>
      <c r="I139" s="7">
        <f t="shared" si="53"/>
        <v>8967.7469999999994</v>
      </c>
      <c r="J139" s="7">
        <f t="shared" si="53"/>
        <v>6748.8130000000001</v>
      </c>
      <c r="K139" s="10">
        <f t="shared" si="33"/>
        <v>-2218.9339999999993</v>
      </c>
      <c r="L139" s="16">
        <f t="shared" si="38"/>
        <v>-24.743494659249414</v>
      </c>
      <c r="M139" s="110"/>
      <c r="N139" s="111"/>
      <c r="O139">
        <v>2402.6579999999999</v>
      </c>
      <c r="P139" s="30">
        <f>O139-F139</f>
        <v>1.0000000002037268E-3</v>
      </c>
      <c r="Q139">
        <f t="shared" si="50"/>
        <v>10155.348</v>
      </c>
      <c r="R139" s="44">
        <f>E139+фев!I139</f>
        <v>8967.7470000000012</v>
      </c>
      <c r="S139" s="30">
        <f>F139+фев!J139</f>
        <v>6748.8130000000001</v>
      </c>
    </row>
    <row r="140" spans="1:19" ht="17.25" customHeight="1">
      <c r="A140" s="65" t="s">
        <v>129</v>
      </c>
      <c r="B140" s="6" t="s">
        <v>130</v>
      </c>
      <c r="C140" s="65" t="s">
        <v>4</v>
      </c>
      <c r="D140" s="7">
        <f t="shared" ref="D140:F140" si="54">D141+D142</f>
        <v>97.608999999999995</v>
      </c>
      <c r="E140" s="7">
        <f t="shared" si="54"/>
        <v>97.582999999999998</v>
      </c>
      <c r="F140" s="7">
        <f t="shared" si="54"/>
        <v>42.51</v>
      </c>
      <c r="G140" s="10">
        <f t="shared" ref="G140:G204" si="55">F140-E140</f>
        <v>-55.073</v>
      </c>
      <c r="H140" s="7">
        <f t="shared" ref="H140:J140" si="56">H141+H142</f>
        <v>292.827</v>
      </c>
      <c r="I140" s="7">
        <f t="shared" si="56"/>
        <v>292.74900000000002</v>
      </c>
      <c r="J140" s="7">
        <f t="shared" si="56"/>
        <v>252.578</v>
      </c>
      <c r="K140" s="10">
        <f t="shared" ref="K140:K204" si="57">J140-I140</f>
        <v>-40.171000000000021</v>
      </c>
      <c r="L140" s="16">
        <f t="shared" si="38"/>
        <v>-13.721993926537756</v>
      </c>
      <c r="M140" s="110"/>
      <c r="N140" s="111"/>
      <c r="Q140">
        <f t="shared" si="50"/>
        <v>292.827</v>
      </c>
      <c r="R140" s="44">
        <f>E140+фев!I140</f>
        <v>292.74900000000002</v>
      </c>
      <c r="S140" s="30">
        <f>F140+фев!J140</f>
        <v>252.57799999999997</v>
      </c>
    </row>
    <row r="141" spans="1:19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87">
        <v>42.51</v>
      </c>
      <c r="G141" s="10">
        <f t="shared" si="55"/>
        <v>9.9999999999980105E-3</v>
      </c>
      <c r="H141" s="10">
        <f>D141+фев!H141</f>
        <v>127.65899999999999</v>
      </c>
      <c r="I141" s="8">
        <f>E141+фев!I141</f>
        <v>127.5</v>
      </c>
      <c r="J141" s="10">
        <f>F141+фев!J141</f>
        <v>127.53</v>
      </c>
      <c r="K141" s="10">
        <f t="shared" si="57"/>
        <v>3.0000000000001137E-2</v>
      </c>
      <c r="L141" s="16">
        <f t="shared" si="38"/>
        <v>2.3529411764706774E-2</v>
      </c>
      <c r="M141" s="110"/>
      <c r="N141" s="111"/>
      <c r="Q141">
        <f t="shared" si="50"/>
        <v>127.65899999999999</v>
      </c>
      <c r="R141" s="44">
        <f>E141+фев!I141</f>
        <v>127.5</v>
      </c>
      <c r="S141" s="30">
        <f>F141+фев!J141</f>
        <v>127.53</v>
      </c>
    </row>
    <row r="142" spans="1:19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55"/>
        <v>-55.082999999999998</v>
      </c>
      <c r="H142" s="10">
        <f>D142+фев!H142</f>
        <v>165.16800000000001</v>
      </c>
      <c r="I142" s="8">
        <f>E142+фев!I142</f>
        <v>165.249</v>
      </c>
      <c r="J142" s="8">
        <f>F142+фев!J142</f>
        <v>125.048</v>
      </c>
      <c r="K142" s="10">
        <f t="shared" si="57"/>
        <v>-40.200999999999993</v>
      </c>
      <c r="L142" s="16">
        <f t="shared" si="38"/>
        <v>-24.327529969924171</v>
      </c>
      <c r="M142" s="110"/>
      <c r="N142" s="111"/>
      <c r="Q142">
        <f t="shared" si="50"/>
        <v>165.16800000000001</v>
      </c>
      <c r="R142" s="44">
        <f>E142+фев!I142</f>
        <v>165.249</v>
      </c>
      <c r="S142" s="30">
        <f>F142+фев!J142</f>
        <v>125.048</v>
      </c>
    </row>
    <row r="143" spans="1:19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55"/>
        <v>-2817</v>
      </c>
      <c r="H143" s="10">
        <f>D143+фев!H143</f>
        <v>8450.0010000000002</v>
      </c>
      <c r="I143" s="59"/>
      <c r="J143" s="8">
        <f>F143+фев!J143</f>
        <v>0</v>
      </c>
      <c r="K143" s="10">
        <f t="shared" si="57"/>
        <v>0</v>
      </c>
      <c r="L143" s="16"/>
      <c r="M143" s="110"/>
      <c r="N143" s="111"/>
      <c r="Q143">
        <f t="shared" si="50"/>
        <v>8450.0010000000002</v>
      </c>
      <c r="R143" s="44">
        <f>E143+фев!I143</f>
        <v>2817</v>
      </c>
      <c r="S143" s="30">
        <f>F143+фев!J143</f>
        <v>0</v>
      </c>
    </row>
    <row r="144" spans="1:19" ht="17.25" customHeight="1">
      <c r="A144" s="8"/>
      <c r="B144" s="12" t="s">
        <v>15</v>
      </c>
      <c r="C144" s="13" t="s">
        <v>16</v>
      </c>
      <c r="D144" s="16">
        <f t="shared" ref="D144:F144" si="58">D142/D143*1000</f>
        <v>19.546506562543602</v>
      </c>
      <c r="E144" s="16">
        <f t="shared" si="58"/>
        <v>19.553780617678381</v>
      </c>
      <c r="F144" s="16" t="e">
        <f t="shared" si="58"/>
        <v>#DIV/0!</v>
      </c>
      <c r="G144" s="10" t="e">
        <f t="shared" si="55"/>
        <v>#DIV/0!</v>
      </c>
      <c r="H144" s="16">
        <f t="shared" ref="H144" si="59">H142/H143*1000</f>
        <v>19.546506562543605</v>
      </c>
      <c r="I144" s="8"/>
      <c r="J144" s="13"/>
      <c r="K144" s="10">
        <f t="shared" si="57"/>
        <v>0</v>
      </c>
      <c r="L144" s="16"/>
      <c r="M144" s="110"/>
      <c r="N144" s="111"/>
      <c r="Q144">
        <f t="shared" si="50"/>
        <v>58.639519687630809</v>
      </c>
      <c r="R144" s="44">
        <f>E144+фев!I144</f>
        <v>19.553780617678381</v>
      </c>
      <c r="S144" s="30" t="e">
        <f>F144+фев!J144</f>
        <v>#DIV/0!</v>
      </c>
    </row>
    <row r="145" spans="1:19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87">
        <f>1643.522-F149</f>
        <v>1605.9289999999999</v>
      </c>
      <c r="G145" s="10">
        <f t="shared" si="55"/>
        <v>189.51199999999994</v>
      </c>
      <c r="H145" s="10">
        <f>D145+фев!H145</f>
        <v>5743.0739999999996</v>
      </c>
      <c r="I145" s="8">
        <f>E145+фев!I145</f>
        <v>4249.2510000000002</v>
      </c>
      <c r="J145" s="10">
        <f>F145+фев!J145</f>
        <v>3860.1009999999997</v>
      </c>
      <c r="K145" s="10">
        <f t="shared" si="57"/>
        <v>-389.15000000000055</v>
      </c>
      <c r="L145" s="16">
        <f t="shared" si="38"/>
        <v>-9.1580845659623442</v>
      </c>
      <c r="M145" s="117"/>
      <c r="N145" s="118"/>
      <c r="P145" s="30">
        <f>J145+J149</f>
        <v>4071.2409999999995</v>
      </c>
      <c r="Q145">
        <f t="shared" si="50"/>
        <v>5743.0739999999996</v>
      </c>
      <c r="R145" s="44">
        <f>E145+фев!I145</f>
        <v>4249.2510000000002</v>
      </c>
      <c r="S145" s="30">
        <f>F145+фев!J145</f>
        <v>3860.1009999999997</v>
      </c>
    </row>
    <row r="146" spans="1:19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6">
        <v>97.698999999999998</v>
      </c>
      <c r="G146" s="10">
        <f t="shared" si="55"/>
        <v>21.198999999999998</v>
      </c>
      <c r="H146" s="10">
        <f>D146+фев!H146</f>
        <v>315.87</v>
      </c>
      <c r="I146" s="8">
        <f>E146+фев!I146</f>
        <v>229.5</v>
      </c>
      <c r="J146" s="8">
        <f>F146+фев!J146</f>
        <v>240.94299999999998</v>
      </c>
      <c r="K146" s="10">
        <f t="shared" si="57"/>
        <v>11.442999999999984</v>
      </c>
      <c r="L146" s="16">
        <f t="shared" si="38"/>
        <v>4.9860566448801675</v>
      </c>
      <c r="M146" s="117"/>
      <c r="N146" s="118"/>
      <c r="Q146">
        <f t="shared" si="50"/>
        <v>315.87</v>
      </c>
      <c r="R146" s="44">
        <f>E146+фев!I146</f>
        <v>229.5</v>
      </c>
      <c r="S146" s="30">
        <f>F146+фев!J146</f>
        <v>240.94299999999998</v>
      </c>
    </row>
    <row r="147" spans="1:19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6">
        <v>45.122999999999998</v>
      </c>
      <c r="G147" s="10">
        <f t="shared" si="55"/>
        <v>-18.627000000000002</v>
      </c>
      <c r="H147" s="10">
        <f>D147+фев!H147</f>
        <v>252.696</v>
      </c>
      <c r="I147" s="8">
        <f>E147+фев!I147</f>
        <v>191.25</v>
      </c>
      <c r="J147" s="8">
        <f>F147+фев!J147</f>
        <v>113.01999999999998</v>
      </c>
      <c r="K147" s="10">
        <f t="shared" si="57"/>
        <v>-78.230000000000018</v>
      </c>
      <c r="L147" s="16">
        <f t="shared" si="38"/>
        <v>-40.904575163398704</v>
      </c>
      <c r="M147" s="67"/>
      <c r="N147" s="68"/>
      <c r="Q147">
        <f t="shared" si="50"/>
        <v>252.696</v>
      </c>
      <c r="R147" s="44">
        <f>E147+фев!I147</f>
        <v>191.25</v>
      </c>
      <c r="S147" s="30">
        <f>F147+фев!J147</f>
        <v>113.01999999999998</v>
      </c>
    </row>
    <row r="148" spans="1:19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6">
        <v>21.332000000000001</v>
      </c>
      <c r="G148" s="10">
        <f t="shared" si="55"/>
        <v>8.2000000000000739E-2</v>
      </c>
      <c r="H148" s="10">
        <f>D148+фев!H148</f>
        <v>0</v>
      </c>
      <c r="I148" s="8">
        <f>E148+фев!I148</f>
        <v>63.75</v>
      </c>
      <c r="J148" s="8">
        <f>F148+фев!J148</f>
        <v>51.120000000000005</v>
      </c>
      <c r="K148" s="10">
        <f t="shared" si="57"/>
        <v>-12.629999999999995</v>
      </c>
      <c r="L148" s="16">
        <f t="shared" si="38"/>
        <v>-19.811764705882347</v>
      </c>
      <c r="M148" s="67"/>
      <c r="N148" s="68"/>
      <c r="O148">
        <f>P148-J148</f>
        <v>1.627999999999993</v>
      </c>
      <c r="P148">
        <v>52.747999999999998</v>
      </c>
      <c r="Q148">
        <f t="shared" si="50"/>
        <v>0</v>
      </c>
      <c r="R148" s="44">
        <f>E148+фев!I148</f>
        <v>63.75</v>
      </c>
      <c r="S148" s="30">
        <f>F148+фев!J148</f>
        <v>51.120000000000005</v>
      </c>
    </row>
    <row r="149" spans="1:19" ht="17.25" customHeight="1">
      <c r="A149" s="8"/>
      <c r="B149" s="9" t="s">
        <v>315</v>
      </c>
      <c r="C149" s="8" t="s">
        <v>4</v>
      </c>
      <c r="D149" s="10"/>
      <c r="E149" s="10"/>
      <c r="F149" s="10">
        <v>37.593000000000004</v>
      </c>
      <c r="G149" s="10">
        <f t="shared" si="55"/>
        <v>37.593000000000004</v>
      </c>
      <c r="H149" s="10">
        <f>D149+фев!H149</f>
        <v>0</v>
      </c>
      <c r="I149" s="8">
        <f>E149+фев!I149</f>
        <v>0</v>
      </c>
      <c r="J149" s="8">
        <f>F149+фев!J149</f>
        <v>211.14000000000004</v>
      </c>
      <c r="K149" s="10"/>
      <c r="L149" s="16"/>
      <c r="M149" s="67"/>
      <c r="N149" s="68"/>
      <c r="Q149">
        <f t="shared" si="50"/>
        <v>0</v>
      </c>
      <c r="R149" s="44">
        <f>E149+фев!I149</f>
        <v>0</v>
      </c>
      <c r="S149" s="30">
        <f>F149+фев!J149</f>
        <v>211.14000000000004</v>
      </c>
    </row>
    <row r="150" spans="1:19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6">
        <v>97.936999999999998</v>
      </c>
      <c r="G150" s="10">
        <f t="shared" si="55"/>
        <v>20.353999999999999</v>
      </c>
      <c r="H150" s="10">
        <f>D150+фев!H150</f>
        <v>232.74</v>
      </c>
      <c r="I150" s="8">
        <f>E150+фев!I150</f>
        <v>232.749</v>
      </c>
      <c r="J150" s="10">
        <f>F150+фев!J150</f>
        <v>438.529</v>
      </c>
      <c r="K150" s="10">
        <f t="shared" si="57"/>
        <v>205.78</v>
      </c>
      <c r="L150" s="16">
        <f t="shared" si="38"/>
        <v>88.412839582554597</v>
      </c>
      <c r="M150" s="117" t="s">
        <v>301</v>
      </c>
      <c r="N150" s="118"/>
      <c r="O150">
        <f>J150-P150</f>
        <v>-14.600999999999999</v>
      </c>
      <c r="P150">
        <v>453.13</v>
      </c>
      <c r="Q150">
        <f t="shared" si="50"/>
        <v>232.74</v>
      </c>
      <c r="R150" s="44">
        <f>E150+фев!I150</f>
        <v>232.749</v>
      </c>
      <c r="S150" s="30">
        <f>F150+фев!J150</f>
        <v>438.529</v>
      </c>
    </row>
    <row r="151" spans="1:19" ht="17.25" customHeight="1">
      <c r="A151" s="65" t="s">
        <v>139</v>
      </c>
      <c r="B151" s="6" t="s">
        <v>140</v>
      </c>
      <c r="C151" s="65" t="s">
        <v>4</v>
      </c>
      <c r="D151" s="7">
        <f t="shared" ref="D151:F151" si="60">D152+D153</f>
        <v>239.149</v>
      </c>
      <c r="E151" s="81">
        <v>47.832999999999998</v>
      </c>
      <c r="F151" s="7">
        <f t="shared" si="60"/>
        <v>44.484000000000002</v>
      </c>
      <c r="G151" s="10">
        <f t="shared" si="55"/>
        <v>-3.3489999999999966</v>
      </c>
      <c r="H151" s="7">
        <f t="shared" ref="H151" si="61">H152+H153</f>
        <v>717.447</v>
      </c>
      <c r="I151" s="8">
        <f>E151+фев!I151</f>
        <v>143.499</v>
      </c>
      <c r="J151" s="7">
        <f t="shared" ref="J151" si="62">J152+J153</f>
        <v>133.44900000000001</v>
      </c>
      <c r="K151" s="10">
        <f t="shared" si="57"/>
        <v>-10.049999999999983</v>
      </c>
      <c r="L151" s="16">
        <f t="shared" si="38"/>
        <v>-7.0035331256663698</v>
      </c>
      <c r="M151" s="110"/>
      <c r="N151" s="111"/>
      <c r="Q151">
        <f t="shared" si="50"/>
        <v>717.447</v>
      </c>
      <c r="R151" s="44">
        <f>E151+фев!I151</f>
        <v>143.499</v>
      </c>
      <c r="S151" s="30">
        <f>F151+фев!J151</f>
        <v>133.44900000000001</v>
      </c>
    </row>
    <row r="152" spans="1:19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6">
        <v>32.508000000000003</v>
      </c>
      <c r="G152" s="10">
        <f t="shared" si="55"/>
        <v>32.508000000000003</v>
      </c>
      <c r="H152" s="10">
        <f>D152+фев!H152</f>
        <v>26.273999999999997</v>
      </c>
      <c r="I152" s="8"/>
      <c r="J152" s="8">
        <f>F152+фев!J152</f>
        <v>97.522999999999996</v>
      </c>
      <c r="K152" s="10">
        <f t="shared" si="57"/>
        <v>97.522999999999996</v>
      </c>
      <c r="L152" s="16"/>
      <c r="M152" s="110"/>
      <c r="N152" s="111"/>
      <c r="Q152">
        <f t="shared" si="50"/>
        <v>26.273999999999997</v>
      </c>
      <c r="R152" s="44">
        <f>E152+фев!I152</f>
        <v>0</v>
      </c>
      <c r="S152" s="30">
        <f>F152+фев!J152</f>
        <v>97.522999999999996</v>
      </c>
    </row>
    <row r="153" spans="1:19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6">
        <v>11.976000000000001</v>
      </c>
      <c r="G153" s="10">
        <f t="shared" si="55"/>
        <v>11.976000000000001</v>
      </c>
      <c r="H153" s="10">
        <f>D153+фев!H153</f>
        <v>691.173</v>
      </c>
      <c r="I153" s="8"/>
      <c r="J153" s="8">
        <f>F153+фев!J153</f>
        <v>35.926000000000002</v>
      </c>
      <c r="K153" s="10">
        <f t="shared" si="57"/>
        <v>35.926000000000002</v>
      </c>
      <c r="L153" s="16"/>
      <c r="M153" s="110"/>
      <c r="N153" s="111"/>
      <c r="Q153">
        <f t="shared" si="50"/>
        <v>691.173</v>
      </c>
      <c r="R153" s="44">
        <f>E153+фев!I153</f>
        <v>0</v>
      </c>
      <c r="S153" s="30">
        <f>F153+фев!J153</f>
        <v>35.926000000000002</v>
      </c>
    </row>
    <row r="154" spans="1:19" ht="75.75" customHeight="1">
      <c r="A154" s="65" t="s">
        <v>144</v>
      </c>
      <c r="B154" s="6" t="s">
        <v>145</v>
      </c>
      <c r="C154" s="65" t="s">
        <v>4</v>
      </c>
      <c r="D154" s="7">
        <f t="shared" ref="D154:J154" si="63">D155</f>
        <v>13.856</v>
      </c>
      <c r="E154" s="7">
        <f t="shared" si="63"/>
        <v>13.833</v>
      </c>
      <c r="F154" s="7">
        <f t="shared" si="63"/>
        <v>7.3879999999999999</v>
      </c>
      <c r="G154" s="10">
        <f t="shared" si="55"/>
        <v>-6.4450000000000003</v>
      </c>
      <c r="H154" s="7">
        <f t="shared" si="63"/>
        <v>41.567999999999998</v>
      </c>
      <c r="I154" s="7">
        <f t="shared" si="63"/>
        <v>41.499000000000002</v>
      </c>
      <c r="J154" s="7">
        <f t="shared" si="63"/>
        <v>60.690999999999995</v>
      </c>
      <c r="K154" s="10">
        <f t="shared" si="57"/>
        <v>19.191999999999993</v>
      </c>
      <c r="L154" s="16">
        <f t="shared" ref="L154:L203" si="64">K154/I154*100</f>
        <v>46.246897515602761</v>
      </c>
      <c r="M154" s="110"/>
      <c r="N154" s="111"/>
      <c r="Q154">
        <f t="shared" si="50"/>
        <v>41.567999999999998</v>
      </c>
      <c r="R154" s="44">
        <f>E154+фев!I154</f>
        <v>41.499000000000002</v>
      </c>
      <c r="S154" s="30">
        <f>F154+фев!J154</f>
        <v>60.690999999999995</v>
      </c>
    </row>
    <row r="155" spans="1:19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6">
        <v>7.3879999999999999</v>
      </c>
      <c r="G155" s="10">
        <f t="shared" si="55"/>
        <v>-6.4450000000000003</v>
      </c>
      <c r="H155" s="10">
        <f>D155+фев!H155</f>
        <v>41.567999999999998</v>
      </c>
      <c r="I155" s="8">
        <f>E155+фев!I155</f>
        <v>41.499000000000002</v>
      </c>
      <c r="J155" s="8">
        <f>F155+фев!J155</f>
        <v>60.690999999999995</v>
      </c>
      <c r="K155" s="10">
        <f t="shared" si="57"/>
        <v>19.191999999999993</v>
      </c>
      <c r="L155" s="16">
        <f t="shared" si="64"/>
        <v>46.246897515602761</v>
      </c>
      <c r="M155" s="110"/>
      <c r="N155" s="111"/>
      <c r="P155">
        <f>35.248+25.443</f>
        <v>60.691000000000003</v>
      </c>
      <c r="Q155">
        <f t="shared" si="50"/>
        <v>41.567999999999998</v>
      </c>
      <c r="R155" s="44">
        <f>E155+фев!I155</f>
        <v>41.499000000000002</v>
      </c>
      <c r="S155" s="30">
        <f>F155+фев!J155</f>
        <v>60.690999999999995</v>
      </c>
    </row>
    <row r="156" spans="1:19" ht="18" customHeight="1">
      <c r="A156" s="65" t="s">
        <v>148</v>
      </c>
      <c r="B156" s="6" t="s">
        <v>149</v>
      </c>
      <c r="C156" s="65" t="s">
        <v>4</v>
      </c>
      <c r="D156" s="27">
        <f t="shared" ref="D156" si="65">D157+D160+D163+D166+D169</f>
        <v>71.188999999999993</v>
      </c>
      <c r="E156" s="81">
        <v>72.417000000000002</v>
      </c>
      <c r="F156" s="27">
        <f>F157+F160+F163+F166+F169</f>
        <v>107.871</v>
      </c>
      <c r="G156" s="10">
        <f t="shared" si="55"/>
        <v>35.453999999999994</v>
      </c>
      <c r="H156" s="27">
        <f t="shared" ref="H156" si="66">H157+H160+H163+H166+H169</f>
        <v>213.56700000000001</v>
      </c>
      <c r="I156" s="8">
        <f>E156+фев!I156</f>
        <v>217.251</v>
      </c>
      <c r="J156" s="27">
        <f>J157+J160+J163+J166+J169</f>
        <v>405.84500000000003</v>
      </c>
      <c r="K156" s="10">
        <f t="shared" si="57"/>
        <v>188.59400000000002</v>
      </c>
      <c r="L156" s="16">
        <f t="shared" si="64"/>
        <v>86.809266700728656</v>
      </c>
      <c r="M156" s="110"/>
      <c r="N156" s="111"/>
      <c r="Q156">
        <f t="shared" si="50"/>
        <v>213.56699999999998</v>
      </c>
      <c r="R156" s="44">
        <f>E156+фев!I156</f>
        <v>217.251</v>
      </c>
      <c r="S156" s="30">
        <f>F156+фев!J156</f>
        <v>405.84499999999997</v>
      </c>
    </row>
    <row r="157" spans="1:19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6">
        <v>102.321</v>
      </c>
      <c r="G157" s="10">
        <f t="shared" si="55"/>
        <v>102.321</v>
      </c>
      <c r="H157" s="10">
        <f>D157+фев!H157</f>
        <v>147.084</v>
      </c>
      <c r="I157" s="8"/>
      <c r="J157" s="8">
        <f>F157+фев!J157</f>
        <v>383.38800000000003</v>
      </c>
      <c r="K157" s="10">
        <f t="shared" si="57"/>
        <v>383.38800000000003</v>
      </c>
      <c r="L157" s="16"/>
      <c r="M157" s="110"/>
      <c r="N157" s="111"/>
      <c r="Q157">
        <f t="shared" si="50"/>
        <v>147.084</v>
      </c>
      <c r="R157" s="44">
        <f>E157+фев!I157</f>
        <v>0</v>
      </c>
      <c r="S157" s="30">
        <f>F157+фев!J157</f>
        <v>383.38800000000003</v>
      </c>
    </row>
    <row r="158" spans="1:19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>
        <v>21.85</v>
      </c>
      <c r="G158" s="10">
        <f t="shared" si="55"/>
        <v>21.85</v>
      </c>
      <c r="H158" s="10">
        <f>D158+фев!H158</f>
        <v>39.432000000000002</v>
      </c>
      <c r="I158" s="8"/>
      <c r="J158" s="8">
        <f>F158+фев!J158</f>
        <v>81.87</v>
      </c>
      <c r="K158" s="10">
        <f t="shared" si="57"/>
        <v>81.87</v>
      </c>
      <c r="L158" s="16"/>
      <c r="M158" s="117" t="s">
        <v>302</v>
      </c>
      <c r="N158" s="118"/>
      <c r="Q158">
        <f t="shared" si="50"/>
        <v>39.432000000000002</v>
      </c>
      <c r="R158" s="44">
        <f>E158+фев!I158</f>
        <v>0</v>
      </c>
      <c r="S158" s="30">
        <f>F158+фев!J158</f>
        <v>81.87</v>
      </c>
    </row>
    <row r="159" spans="1:19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>
        <f>F157/F158*1000</f>
        <v>4682.8832951945078</v>
      </c>
      <c r="G159" s="10">
        <f t="shared" si="55"/>
        <v>4682.8832951945078</v>
      </c>
      <c r="H159" s="16">
        <f>H157/H158*1000</f>
        <v>3730.0669506999393</v>
      </c>
      <c r="I159" s="8"/>
      <c r="J159" s="16">
        <f>J157/J158*1000</f>
        <v>4682.8875045804325</v>
      </c>
      <c r="K159" s="10">
        <f t="shared" si="57"/>
        <v>4682.8875045804325</v>
      </c>
      <c r="L159" s="16"/>
      <c r="M159" s="110"/>
      <c r="N159" s="111"/>
      <c r="Q159">
        <f t="shared" si="50"/>
        <v>11190.200852099817</v>
      </c>
      <c r="R159" s="44">
        <f>E159+фев!I159</f>
        <v>0</v>
      </c>
      <c r="S159" s="30">
        <f>F159+фев!J159</f>
        <v>4682.8832951945078</v>
      </c>
    </row>
    <row r="160" spans="1:19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55"/>
        <v>0</v>
      </c>
      <c r="H160" s="10">
        <f>D160+фев!H160</f>
        <v>2.7690000000000001</v>
      </c>
      <c r="I160" s="8"/>
      <c r="J160" s="8">
        <f>F160+фев!J160</f>
        <v>0</v>
      </c>
      <c r="K160" s="10">
        <f t="shared" si="57"/>
        <v>0</v>
      </c>
      <c r="L160" s="16"/>
      <c r="M160" s="110"/>
      <c r="N160" s="111"/>
      <c r="Q160">
        <f t="shared" si="50"/>
        <v>2.7690000000000001</v>
      </c>
      <c r="R160" s="44">
        <f>E160+фев!I160</f>
        <v>0</v>
      </c>
      <c r="S160" s="30">
        <f>F160+фев!J160</f>
        <v>0</v>
      </c>
    </row>
    <row r="161" spans="1:19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55"/>
        <v>0</v>
      </c>
      <c r="H161" s="10">
        <f>D161+фев!H161</f>
        <v>2.25</v>
      </c>
      <c r="I161" s="8"/>
      <c r="J161" s="8">
        <f>F161+фев!J161</f>
        <v>0</v>
      </c>
      <c r="K161" s="10">
        <f t="shared" si="57"/>
        <v>0</v>
      </c>
      <c r="L161" s="16"/>
      <c r="M161" s="110"/>
      <c r="N161" s="111"/>
      <c r="Q161">
        <f t="shared" si="50"/>
        <v>2.25</v>
      </c>
      <c r="R161" s="44">
        <f>E161+фев!I161</f>
        <v>0</v>
      </c>
      <c r="S161" s="30">
        <f>F161+фев!J161</f>
        <v>0</v>
      </c>
    </row>
    <row r="162" spans="1:19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55"/>
        <v>0</v>
      </c>
      <c r="H162" s="16">
        <f>H160/H161*1000</f>
        <v>1230.6666666666667</v>
      </c>
      <c r="I162" s="8"/>
      <c r="J162" s="8"/>
      <c r="K162" s="10">
        <f t="shared" si="57"/>
        <v>0</v>
      </c>
      <c r="L162" s="16"/>
      <c r="M162" s="110"/>
      <c r="N162" s="111"/>
      <c r="Q162">
        <f t="shared" si="50"/>
        <v>3692</v>
      </c>
      <c r="R162" s="44">
        <f>E162+фев!I162</f>
        <v>0</v>
      </c>
      <c r="S162" s="30">
        <f>F162+фев!J162</f>
        <v>0</v>
      </c>
    </row>
    <row r="163" spans="1:19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"/>
      <c r="G163" s="10">
        <f t="shared" si="55"/>
        <v>0</v>
      </c>
      <c r="H163" s="10">
        <f>D163+фев!H163</f>
        <v>6.5400000000000009</v>
      </c>
      <c r="I163" s="8"/>
      <c r="J163" s="8">
        <f>F163+фев!J163</f>
        <v>10.965999999999999</v>
      </c>
      <c r="K163" s="10">
        <f t="shared" si="57"/>
        <v>10.965999999999999</v>
      </c>
      <c r="L163" s="16"/>
      <c r="M163" s="110"/>
      <c r="N163" s="111"/>
      <c r="O163">
        <f>P163-J163</f>
        <v>-9.9999999999944578E-4</v>
      </c>
      <c r="P163">
        <v>10.965</v>
      </c>
      <c r="Q163">
        <f t="shared" si="50"/>
        <v>6.5400000000000009</v>
      </c>
      <c r="R163" s="44">
        <f>E163+фев!I163</f>
        <v>0</v>
      </c>
      <c r="S163" s="30">
        <f>F163+фев!J163</f>
        <v>10.965999999999999</v>
      </c>
    </row>
    <row r="164" spans="1:19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>
        <v>14</v>
      </c>
      <c r="G164" s="10">
        <f t="shared" si="55"/>
        <v>14</v>
      </c>
      <c r="H164" s="10">
        <f>D164+фев!H164</f>
        <v>60</v>
      </c>
      <c r="I164" s="8"/>
      <c r="J164" s="8">
        <f>F164+фев!J164</f>
        <v>99</v>
      </c>
      <c r="K164" s="10">
        <f t="shared" si="57"/>
        <v>99</v>
      </c>
      <c r="L164" s="16"/>
      <c r="M164" s="110"/>
      <c r="N164" s="111"/>
      <c r="Q164">
        <f t="shared" si="50"/>
        <v>60</v>
      </c>
      <c r="R164" s="44">
        <f>E164+фев!I164</f>
        <v>0</v>
      </c>
      <c r="S164" s="30">
        <f>F164+фев!J164</f>
        <v>99</v>
      </c>
    </row>
    <row r="165" spans="1:19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>
        <f t="shared" ref="F165" si="67">F163/F164*1000</f>
        <v>0</v>
      </c>
      <c r="G165" s="10">
        <f t="shared" si="55"/>
        <v>0</v>
      </c>
      <c r="H165" s="16">
        <f>H163/H164*1000</f>
        <v>109.00000000000001</v>
      </c>
      <c r="I165" s="8"/>
      <c r="J165" s="16">
        <f t="shared" ref="J165" si="68">J163/J164*1000</f>
        <v>110.76767676767676</v>
      </c>
      <c r="K165" s="10">
        <f t="shared" si="57"/>
        <v>110.76767676767676</v>
      </c>
      <c r="L165" s="16"/>
      <c r="M165" s="110"/>
      <c r="N165" s="111"/>
      <c r="Q165">
        <f t="shared" si="50"/>
        <v>327.00000000000006</v>
      </c>
      <c r="R165" s="44">
        <f>E165+фев!I165</f>
        <v>0</v>
      </c>
      <c r="S165" s="30">
        <f>F165+фев!J165</f>
        <v>0</v>
      </c>
    </row>
    <row r="166" spans="1:19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8">
        <v>5.55</v>
      </c>
      <c r="G166" s="10">
        <f t="shared" si="55"/>
        <v>5.55</v>
      </c>
      <c r="H166" s="10">
        <f>D166+фев!H166</f>
        <v>57.173999999999999</v>
      </c>
      <c r="I166" s="8"/>
      <c r="J166" s="10">
        <f>F166+фев!J166</f>
        <v>5.55</v>
      </c>
      <c r="K166" s="10">
        <f t="shared" si="57"/>
        <v>5.55</v>
      </c>
      <c r="L166" s="16"/>
      <c r="M166" s="110"/>
      <c r="N166" s="111"/>
      <c r="Q166">
        <f t="shared" si="50"/>
        <v>57.173999999999999</v>
      </c>
      <c r="R166" s="44">
        <f>E166+фев!I166</f>
        <v>0</v>
      </c>
      <c r="S166" s="30">
        <f>F166+фев!J166</f>
        <v>5.55</v>
      </c>
    </row>
    <row r="167" spans="1:19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>
        <v>6</v>
      </c>
      <c r="G167" s="10">
        <f t="shared" si="55"/>
        <v>6</v>
      </c>
      <c r="H167" s="10">
        <f>D167+фев!H167</f>
        <v>48</v>
      </c>
      <c r="I167" s="8"/>
      <c r="J167" s="8">
        <f>F167+фев!J167</f>
        <v>6</v>
      </c>
      <c r="K167" s="10">
        <f t="shared" si="57"/>
        <v>6</v>
      </c>
      <c r="L167" s="16"/>
      <c r="M167" s="110"/>
      <c r="N167" s="111"/>
      <c r="Q167">
        <f t="shared" si="50"/>
        <v>48</v>
      </c>
      <c r="R167" s="44">
        <f>E167+фев!I167</f>
        <v>0</v>
      </c>
      <c r="S167" s="30">
        <f>F167+фев!J167</f>
        <v>6</v>
      </c>
    </row>
    <row r="168" spans="1:19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>
        <f>F166/F167*1000</f>
        <v>924.99999999999989</v>
      </c>
      <c r="G168" s="10">
        <f t="shared" si="55"/>
        <v>924.99999999999989</v>
      </c>
      <c r="H168" s="16">
        <f>H166/H167*1000</f>
        <v>1191.125</v>
      </c>
      <c r="I168" s="8"/>
      <c r="J168" s="16">
        <f>J166/J167*1000</f>
        <v>924.99999999999989</v>
      </c>
      <c r="K168" s="10">
        <f t="shared" si="57"/>
        <v>924.99999999999989</v>
      </c>
      <c r="L168" s="16"/>
      <c r="M168" s="110"/>
      <c r="N168" s="111"/>
      <c r="Q168">
        <f t="shared" si="50"/>
        <v>3573.375</v>
      </c>
      <c r="R168" s="44">
        <f>E168+фев!I168</f>
        <v>0</v>
      </c>
      <c r="S168" s="30">
        <f>F168+фев!J168</f>
        <v>924.99999999999989</v>
      </c>
    </row>
    <row r="169" spans="1:19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"/>
      <c r="G169" s="10">
        <f t="shared" si="55"/>
        <v>0</v>
      </c>
      <c r="H169" s="10">
        <f>D169+фев!H169</f>
        <v>0</v>
      </c>
      <c r="I169" s="8"/>
      <c r="J169" s="8">
        <f>F169+фев!J169</f>
        <v>5.9409999999999998</v>
      </c>
      <c r="K169" s="10">
        <f t="shared" si="57"/>
        <v>5.9409999999999998</v>
      </c>
      <c r="L169" s="16"/>
      <c r="M169" s="110"/>
      <c r="N169" s="111"/>
      <c r="O169">
        <f>P169-J169</f>
        <v>0</v>
      </c>
      <c r="P169">
        <v>5.9409999999999998</v>
      </c>
      <c r="Q169">
        <f t="shared" si="50"/>
        <v>0</v>
      </c>
      <c r="R169" s="44">
        <f>E169+фев!I169</f>
        <v>0</v>
      </c>
      <c r="S169" s="30">
        <f>F169+фев!J169</f>
        <v>5.9409999999999998</v>
      </c>
    </row>
    <row r="170" spans="1:19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>
        <v>14</v>
      </c>
      <c r="G170" s="10">
        <f t="shared" si="55"/>
        <v>14</v>
      </c>
      <c r="H170" s="10">
        <f>D170+фев!H170</f>
        <v>0</v>
      </c>
      <c r="I170" s="8"/>
      <c r="J170" s="8">
        <f>F170+фев!J170</f>
        <v>99</v>
      </c>
      <c r="K170" s="10">
        <f t="shared" si="57"/>
        <v>99</v>
      </c>
      <c r="L170" s="16"/>
      <c r="M170" s="110"/>
      <c r="N170" s="111"/>
      <c r="Q170">
        <f t="shared" si="50"/>
        <v>0</v>
      </c>
      <c r="R170" s="44">
        <f>E170+фев!I170</f>
        <v>0</v>
      </c>
      <c r="S170" s="30">
        <f>F170+фев!J170</f>
        <v>99</v>
      </c>
    </row>
    <row r="171" spans="1:19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>
        <f>F169/F170*1000</f>
        <v>0</v>
      </c>
      <c r="G171" s="10">
        <f t="shared" si="55"/>
        <v>0</v>
      </c>
      <c r="H171" s="16" t="e">
        <f>H169/H170*1000</f>
        <v>#DIV/0!</v>
      </c>
      <c r="I171" s="8"/>
      <c r="J171" s="16">
        <f>J169/J170*1000</f>
        <v>60.010101010101003</v>
      </c>
      <c r="K171" s="10">
        <f t="shared" si="57"/>
        <v>60.010101010101003</v>
      </c>
      <c r="L171" s="16"/>
      <c r="M171" s="110"/>
      <c r="N171" s="111"/>
      <c r="Q171" t="e">
        <f t="shared" si="50"/>
        <v>#DIV/0!</v>
      </c>
      <c r="R171" s="44">
        <f>E171+фев!I171</f>
        <v>0</v>
      </c>
      <c r="S171" s="30">
        <f>F171+фев!J171</f>
        <v>0</v>
      </c>
    </row>
    <row r="172" spans="1:19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8">
        <f>F173+F174+F175</f>
        <v>60.1</v>
      </c>
      <c r="G172" s="10">
        <f t="shared" si="55"/>
        <v>-2.5670000000000002</v>
      </c>
      <c r="H172" s="10">
        <f>D172+фев!H172</f>
        <v>188.11500000000001</v>
      </c>
      <c r="I172" s="8">
        <f>E172+фев!I172</f>
        <v>188.001</v>
      </c>
      <c r="J172" s="8">
        <f>J173+J174+J175</f>
        <v>178.881</v>
      </c>
      <c r="K172" s="10">
        <f t="shared" si="57"/>
        <v>-9.1200000000000045</v>
      </c>
      <c r="L172" s="16">
        <f t="shared" si="64"/>
        <v>-4.8510380263934794</v>
      </c>
      <c r="M172" s="110"/>
      <c r="N172" s="111"/>
      <c r="Q172">
        <f t="shared" si="50"/>
        <v>188.11500000000001</v>
      </c>
      <c r="R172" s="44">
        <f>E172+фев!I172</f>
        <v>188.001</v>
      </c>
      <c r="S172" s="30">
        <f>F172+фев!J172</f>
        <v>178.881</v>
      </c>
    </row>
    <row r="173" spans="1:19" ht="17.25" customHeight="1">
      <c r="A173" s="16"/>
      <c r="B173" s="9" t="s">
        <v>221</v>
      </c>
      <c r="C173" s="8" t="s">
        <v>4</v>
      </c>
      <c r="D173" s="10"/>
      <c r="E173" s="8"/>
      <c r="F173" s="87">
        <v>48.1</v>
      </c>
      <c r="G173" s="10">
        <f t="shared" si="55"/>
        <v>48.1</v>
      </c>
      <c r="H173" s="10"/>
      <c r="I173" s="8"/>
      <c r="J173" s="10">
        <f>F173+фев!J173</f>
        <v>125.06</v>
      </c>
      <c r="K173" s="10">
        <f t="shared" si="57"/>
        <v>125.06</v>
      </c>
      <c r="L173" s="16"/>
      <c r="M173" s="110"/>
      <c r="N173" s="111"/>
      <c r="Q173">
        <f t="shared" si="50"/>
        <v>0</v>
      </c>
      <c r="R173" s="44">
        <f>E173+фев!I173</f>
        <v>0</v>
      </c>
      <c r="S173" s="30">
        <f>F173+фев!J173</f>
        <v>125.06</v>
      </c>
    </row>
    <row r="174" spans="1:19" ht="37.5" customHeight="1">
      <c r="A174" s="16"/>
      <c r="B174" s="9" t="s">
        <v>222</v>
      </c>
      <c r="C174" s="8" t="s">
        <v>4</v>
      </c>
      <c r="D174" s="10"/>
      <c r="E174" s="8"/>
      <c r="F174" s="87">
        <v>12</v>
      </c>
      <c r="G174" s="10">
        <f t="shared" si="55"/>
        <v>12</v>
      </c>
      <c r="H174" s="10"/>
      <c r="I174" s="8"/>
      <c r="J174" s="8">
        <f>F174+фев!J174</f>
        <v>53.820999999999998</v>
      </c>
      <c r="K174" s="10">
        <f t="shared" si="57"/>
        <v>53.820999999999998</v>
      </c>
      <c r="L174" s="16"/>
      <c r="M174" s="110"/>
      <c r="N174" s="111"/>
      <c r="Q174">
        <f t="shared" si="50"/>
        <v>0</v>
      </c>
      <c r="R174" s="44">
        <f>E174+фев!I174</f>
        <v>0</v>
      </c>
      <c r="S174" s="30">
        <f>F174+фев!J174</f>
        <v>53.820999999999998</v>
      </c>
    </row>
    <row r="175" spans="1:19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55"/>
        <v>0</v>
      </c>
      <c r="H175" s="10"/>
      <c r="I175" s="8"/>
      <c r="J175" s="8">
        <f>F175+фев!J175</f>
        <v>0</v>
      </c>
      <c r="K175" s="10">
        <f t="shared" si="57"/>
        <v>0</v>
      </c>
      <c r="L175" s="16"/>
      <c r="M175" s="110"/>
      <c r="N175" s="111"/>
      <c r="Q175">
        <f t="shared" si="50"/>
        <v>0</v>
      </c>
      <c r="R175" s="44">
        <f>E175+фев!I175</f>
        <v>0</v>
      </c>
      <c r="S175" s="30">
        <f>F175+фев!J175</f>
        <v>0</v>
      </c>
    </row>
    <row r="176" spans="1:19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6">
        <f>8.554+31.861+7.798+15.738+13.125</f>
        <v>77.075999999999993</v>
      </c>
      <c r="G176" s="10">
        <f t="shared" si="55"/>
        <v>12.158999999999992</v>
      </c>
      <c r="H176" s="10">
        <f>D176+фев!H176</f>
        <v>194.71800000000002</v>
      </c>
      <c r="I176" s="8">
        <f>E176+фев!I176</f>
        <v>194.751</v>
      </c>
      <c r="J176" s="8">
        <f>F176+фев!J176</f>
        <v>225.499</v>
      </c>
      <c r="K176" s="10">
        <f t="shared" si="57"/>
        <v>30.74799999999999</v>
      </c>
      <c r="L176" s="16">
        <f t="shared" si="64"/>
        <v>15.788365656659012</v>
      </c>
      <c r="M176" s="110"/>
      <c r="N176" s="111"/>
      <c r="P176">
        <f>25.659+95.397+22.649+42.419+39.375</f>
        <v>225.49900000000002</v>
      </c>
      <c r="Q176">
        <f t="shared" si="50"/>
        <v>194.71800000000002</v>
      </c>
      <c r="R176" s="44">
        <f>E176+фев!I176</f>
        <v>194.751</v>
      </c>
      <c r="S176" s="30">
        <f>F176+фев!J176</f>
        <v>225.499</v>
      </c>
    </row>
    <row r="177" spans="1:19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55"/>
        <v>0</v>
      </c>
      <c r="H177" s="10">
        <f>H178</f>
        <v>6.6989999999999998</v>
      </c>
      <c r="I177" s="8"/>
      <c r="J177" s="8"/>
      <c r="K177" s="10">
        <f t="shared" si="57"/>
        <v>0</v>
      </c>
      <c r="L177" s="16"/>
      <c r="M177" s="110"/>
      <c r="N177" s="111"/>
      <c r="Q177">
        <f t="shared" si="50"/>
        <v>6.6989999999999998</v>
      </c>
      <c r="R177" s="44">
        <f>E177+фев!I177</f>
        <v>0</v>
      </c>
      <c r="S177" s="30">
        <f>F177+фев!J177</f>
        <v>0</v>
      </c>
    </row>
    <row r="178" spans="1:19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55"/>
        <v>0</v>
      </c>
      <c r="H178" s="10">
        <f>D178+фев!H178</f>
        <v>6.6989999999999998</v>
      </c>
      <c r="I178" s="8"/>
      <c r="J178" s="8">
        <f>F178+фев!J178</f>
        <v>0</v>
      </c>
      <c r="K178" s="10">
        <f t="shared" si="57"/>
        <v>0</v>
      </c>
      <c r="L178" s="16"/>
      <c r="M178" s="63"/>
      <c r="N178" s="64"/>
      <c r="Q178">
        <f t="shared" si="50"/>
        <v>6.6989999999999998</v>
      </c>
      <c r="R178" s="44">
        <f>E178+фев!I178</f>
        <v>0</v>
      </c>
      <c r="S178" s="30">
        <f>F178+фев!J178</f>
        <v>0</v>
      </c>
    </row>
    <row r="179" spans="1:19" ht="17.25" customHeight="1">
      <c r="A179" s="16" t="s">
        <v>164</v>
      </c>
      <c r="B179" s="6" t="s">
        <v>169</v>
      </c>
      <c r="C179" s="65" t="s">
        <v>4</v>
      </c>
      <c r="D179" s="7">
        <f t="shared" ref="D179:F179" si="69">D180+D181+D182</f>
        <v>318.99799999999999</v>
      </c>
      <c r="E179" s="7">
        <f t="shared" si="69"/>
        <v>637.41600000000005</v>
      </c>
      <c r="F179" s="7">
        <f t="shared" si="69"/>
        <v>0</v>
      </c>
      <c r="G179" s="10">
        <f t="shared" si="55"/>
        <v>-637.41600000000005</v>
      </c>
      <c r="H179" s="7">
        <f t="shared" ref="H179:J179" si="70">H180+H181+H182</f>
        <v>956.99400000000003</v>
      </c>
      <c r="I179" s="7">
        <f t="shared" si="70"/>
        <v>1912.248</v>
      </c>
      <c r="J179" s="7">
        <f t="shared" si="70"/>
        <v>0</v>
      </c>
      <c r="K179" s="10">
        <f t="shared" si="57"/>
        <v>-1912.248</v>
      </c>
      <c r="L179" s="16">
        <f t="shared" si="64"/>
        <v>-100</v>
      </c>
      <c r="M179" s="110"/>
      <c r="N179" s="111"/>
      <c r="Q179">
        <f t="shared" si="50"/>
        <v>956.99399999999991</v>
      </c>
      <c r="R179" s="44">
        <f>E179+фев!I179</f>
        <v>1912.248</v>
      </c>
      <c r="S179" s="30">
        <f>F179+фев!J179</f>
        <v>0</v>
      </c>
    </row>
    <row r="180" spans="1:19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55"/>
        <v>-61.332999999999998</v>
      </c>
      <c r="H180" s="10">
        <f>D180+фев!H180</f>
        <v>183.87899999999999</v>
      </c>
      <c r="I180" s="8">
        <f>E180+фев!I180</f>
        <v>183.999</v>
      </c>
      <c r="J180" s="8">
        <f>F180+фев!J180</f>
        <v>0</v>
      </c>
      <c r="K180" s="10">
        <f t="shared" si="57"/>
        <v>-183.999</v>
      </c>
      <c r="L180" s="16">
        <f t="shared" si="64"/>
        <v>-100</v>
      </c>
      <c r="M180" s="110"/>
      <c r="N180" s="111"/>
      <c r="Q180">
        <f t="shared" si="50"/>
        <v>183.87899999999999</v>
      </c>
      <c r="R180" s="44">
        <f>E180+фев!I180</f>
        <v>183.999</v>
      </c>
      <c r="S180" s="30">
        <f>F180+фев!J180</f>
        <v>0</v>
      </c>
    </row>
    <row r="181" spans="1:19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55"/>
        <v>-486.83300000000003</v>
      </c>
      <c r="H181" s="10">
        <f>D181+фев!H181</f>
        <v>505.43100000000004</v>
      </c>
      <c r="I181" s="8">
        <f>E181+фев!I181</f>
        <v>1460.499</v>
      </c>
      <c r="J181" s="8">
        <f>F181+фев!J181</f>
        <v>0</v>
      </c>
      <c r="K181" s="10">
        <f t="shared" si="57"/>
        <v>-1460.499</v>
      </c>
      <c r="L181" s="16">
        <f t="shared" si="64"/>
        <v>-100</v>
      </c>
      <c r="M181" s="117" t="s">
        <v>300</v>
      </c>
      <c r="N181" s="118"/>
      <c r="Q181">
        <f t="shared" si="50"/>
        <v>505.43100000000004</v>
      </c>
      <c r="R181" s="44">
        <f>E181+фев!I181</f>
        <v>1460.499</v>
      </c>
      <c r="S181" s="30">
        <f>F181+фев!J181</f>
        <v>0</v>
      </c>
    </row>
    <row r="182" spans="1:19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55"/>
        <v>-89.25</v>
      </c>
      <c r="H182" s="10">
        <f>D182+фев!H182</f>
        <v>267.68399999999997</v>
      </c>
      <c r="I182" s="8">
        <f>E182+фев!I182</f>
        <v>267.75</v>
      </c>
      <c r="J182" s="8">
        <f>F182+фев!J182</f>
        <v>0</v>
      </c>
      <c r="K182" s="10">
        <f t="shared" si="57"/>
        <v>-267.75</v>
      </c>
      <c r="L182" s="16">
        <f t="shared" si="64"/>
        <v>-100</v>
      </c>
      <c r="M182" s="117" t="s">
        <v>300</v>
      </c>
      <c r="N182" s="118"/>
      <c r="Q182">
        <f t="shared" si="50"/>
        <v>267.68399999999997</v>
      </c>
      <c r="R182" s="44">
        <f>E182+фев!I182</f>
        <v>267.75</v>
      </c>
      <c r="S182" s="30">
        <f>F182+фев!J182</f>
        <v>0</v>
      </c>
    </row>
    <row r="183" spans="1:19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6">
        <v>51.609000000000002</v>
      </c>
      <c r="G183" s="10">
        <f t="shared" si="55"/>
        <v>-41.558</v>
      </c>
      <c r="H183" s="10">
        <f>D183+фев!H183</f>
        <v>287.12700000000001</v>
      </c>
      <c r="I183" s="8">
        <f>E183+фев!I183</f>
        <v>279.50099999999998</v>
      </c>
      <c r="J183" s="8">
        <f>F183+фев!J183</f>
        <v>241.14100000000002</v>
      </c>
      <c r="K183" s="10">
        <f t="shared" si="57"/>
        <v>-38.359999999999957</v>
      </c>
      <c r="L183" s="16">
        <f t="shared" si="64"/>
        <v>-13.724458946479604</v>
      </c>
      <c r="M183" s="112" t="s">
        <v>303</v>
      </c>
      <c r="N183" s="113"/>
      <c r="O183">
        <f>P183-J183</f>
        <v>22.856999999999971</v>
      </c>
      <c r="P183">
        <v>263.99799999999999</v>
      </c>
      <c r="Q183">
        <f t="shared" si="50"/>
        <v>287.12700000000001</v>
      </c>
      <c r="R183" s="44">
        <f>E183+фев!I183</f>
        <v>279.50099999999998</v>
      </c>
      <c r="S183" s="30">
        <f>F183+фев!J183</f>
        <v>241.14100000000002</v>
      </c>
    </row>
    <row r="184" spans="1:19" ht="33" customHeight="1">
      <c r="A184" s="65" t="s">
        <v>173</v>
      </c>
      <c r="B184" s="6" t="s">
        <v>176</v>
      </c>
      <c r="C184" s="65" t="s">
        <v>4</v>
      </c>
      <c r="D184" s="7">
        <f t="shared" ref="D184:F184" si="71">D185+D186+D187</f>
        <v>50.518000000000001</v>
      </c>
      <c r="E184" s="7">
        <v>50.5</v>
      </c>
      <c r="F184" s="7">
        <f t="shared" si="71"/>
        <v>0</v>
      </c>
      <c r="G184" s="10">
        <f t="shared" si="55"/>
        <v>-50.5</v>
      </c>
      <c r="H184" s="7">
        <f t="shared" ref="H184" si="72">H185+H186+H187</f>
        <v>151.554</v>
      </c>
      <c r="I184" s="8">
        <f>E184+фев!I184</f>
        <v>151.5</v>
      </c>
      <c r="J184" s="7">
        <f t="shared" ref="J184" si="73">J185+J186+J187</f>
        <v>0</v>
      </c>
      <c r="K184" s="10">
        <f t="shared" si="57"/>
        <v>-151.5</v>
      </c>
      <c r="L184" s="16">
        <f t="shared" si="64"/>
        <v>-100</v>
      </c>
      <c r="M184" s="119" t="s">
        <v>293</v>
      </c>
      <c r="N184" s="120"/>
      <c r="Q184">
        <f t="shared" si="50"/>
        <v>151.554</v>
      </c>
      <c r="R184" s="44">
        <f>E184+фев!I184</f>
        <v>151.5</v>
      </c>
      <c r="S184" s="30">
        <f>F184+фев!J184</f>
        <v>0</v>
      </c>
    </row>
    <row r="185" spans="1:19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8"/>
      <c r="G185" s="10">
        <f t="shared" si="55"/>
        <v>0</v>
      </c>
      <c r="H185" s="10">
        <f>D185+фев!H185</f>
        <v>57.762</v>
      </c>
      <c r="I185" s="8"/>
      <c r="J185" s="8">
        <f>F185+фев!J185</f>
        <v>0</v>
      </c>
      <c r="K185" s="10">
        <f t="shared" si="57"/>
        <v>0</v>
      </c>
      <c r="L185" s="16"/>
      <c r="M185" s="110"/>
      <c r="N185" s="111"/>
      <c r="Q185">
        <f t="shared" si="50"/>
        <v>57.762</v>
      </c>
      <c r="R185" s="44">
        <f>E185+фев!I185</f>
        <v>0</v>
      </c>
      <c r="S185" s="30">
        <f>F185+фев!J185</f>
        <v>0</v>
      </c>
    </row>
    <row r="186" spans="1:19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55"/>
        <v>0</v>
      </c>
      <c r="H186" s="10">
        <f>D186+фев!H186</f>
        <v>26.291999999999998</v>
      </c>
      <c r="I186" s="8"/>
      <c r="J186" s="8">
        <f>F186+фев!J186</f>
        <v>0</v>
      </c>
      <c r="K186" s="10">
        <f t="shared" si="57"/>
        <v>0</v>
      </c>
      <c r="L186" s="16"/>
      <c r="M186" s="110"/>
      <c r="N186" s="111"/>
      <c r="Q186">
        <f t="shared" si="50"/>
        <v>26.291999999999998</v>
      </c>
      <c r="R186" s="44">
        <f>E186+фев!I186</f>
        <v>0</v>
      </c>
      <c r="S186" s="30">
        <f>F186+фев!J186</f>
        <v>0</v>
      </c>
    </row>
    <row r="187" spans="1:19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55"/>
        <v>0</v>
      </c>
      <c r="H187" s="10">
        <f>D187+фев!H187</f>
        <v>67.5</v>
      </c>
      <c r="I187" s="8"/>
      <c r="J187" s="8">
        <f>F187+фев!J187</f>
        <v>0</v>
      </c>
      <c r="K187" s="10">
        <f t="shared" si="57"/>
        <v>0</v>
      </c>
      <c r="L187" s="16"/>
      <c r="M187" s="110"/>
      <c r="N187" s="111"/>
      <c r="Q187">
        <f t="shared" si="50"/>
        <v>67.5</v>
      </c>
      <c r="R187" s="44">
        <f>E187+фев!I187</f>
        <v>0</v>
      </c>
      <c r="S187" s="30">
        <f>F187+фев!J187</f>
        <v>0</v>
      </c>
    </row>
    <row r="188" spans="1:19" ht="17.25" customHeight="1">
      <c r="A188" s="65" t="s">
        <v>175</v>
      </c>
      <c r="B188" s="6" t="s">
        <v>180</v>
      </c>
      <c r="C188" s="65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106.006</v>
      </c>
      <c r="G188" s="10">
        <f t="shared" si="55"/>
        <v>-87.41</v>
      </c>
      <c r="H188" s="7">
        <f>H189+H190+H191+H192+H197+H198+H199+H200+H204</f>
        <v>560.35199999999998</v>
      </c>
      <c r="I188" s="7">
        <f>I189+I190+I191+I192+I197+I198+I199+I200+I204</f>
        <v>580.24800000000005</v>
      </c>
      <c r="J188" s="7">
        <f>J189+J190+J191+J192+J197+J198+J199+J200+J204</f>
        <v>335.87599999999998</v>
      </c>
      <c r="K188" s="10">
        <f t="shared" si="57"/>
        <v>-244.37200000000007</v>
      </c>
      <c r="L188" s="16">
        <f t="shared" si="64"/>
        <v>-42.115095614289075</v>
      </c>
      <c r="M188" s="116"/>
      <c r="N188" s="111"/>
      <c r="Q188">
        <f t="shared" si="50"/>
        <v>560.35200000000009</v>
      </c>
      <c r="R188" s="44">
        <f>E188+фев!I188</f>
        <v>580.24800000000005</v>
      </c>
      <c r="S188" s="30">
        <f>F188+фев!J188</f>
        <v>335.87599999999998</v>
      </c>
    </row>
    <row r="189" spans="1:19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55"/>
        <v>0</v>
      </c>
      <c r="H189" s="10">
        <f>D189+фев!H189</f>
        <v>0</v>
      </c>
      <c r="I189" s="8">
        <f>E189+фев!I189</f>
        <v>0</v>
      </c>
      <c r="J189" s="8">
        <f>F189+фев!J189</f>
        <v>0</v>
      </c>
      <c r="K189" s="10">
        <f t="shared" si="57"/>
        <v>0</v>
      </c>
      <c r="L189" s="16"/>
      <c r="M189" s="110"/>
      <c r="N189" s="111"/>
      <c r="Q189">
        <f t="shared" si="50"/>
        <v>0</v>
      </c>
      <c r="R189" s="44">
        <f>E189+фев!I189</f>
        <v>0</v>
      </c>
      <c r="S189" s="30">
        <f>F189+фев!J189</f>
        <v>0</v>
      </c>
    </row>
    <row r="190" spans="1:19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6">
        <v>22.114000000000001</v>
      </c>
      <c r="G190" s="10">
        <f t="shared" si="55"/>
        <v>-0.13599999999999923</v>
      </c>
      <c r="H190" s="10">
        <f>D190+фев!H190</f>
        <v>46.953000000000003</v>
      </c>
      <c r="I190" s="8">
        <f>E190+фев!I190</f>
        <v>66.75</v>
      </c>
      <c r="J190" s="10">
        <f>F190+фев!J190</f>
        <v>101.96000000000001</v>
      </c>
      <c r="K190" s="10">
        <f t="shared" si="57"/>
        <v>35.210000000000008</v>
      </c>
      <c r="L190" s="16">
        <f t="shared" si="64"/>
        <v>52.749063670411999</v>
      </c>
      <c r="M190" s="110"/>
      <c r="N190" s="111"/>
      <c r="O190">
        <f>P190-J190</f>
        <v>0</v>
      </c>
      <c r="P190">
        <v>101.96</v>
      </c>
      <c r="Q190">
        <f t="shared" si="50"/>
        <v>46.953000000000003</v>
      </c>
      <c r="R190" s="44">
        <f>E190+фев!I190</f>
        <v>66.75</v>
      </c>
      <c r="S190" s="30">
        <f>F190+фев!J190</f>
        <v>101.96000000000001</v>
      </c>
    </row>
    <row r="191" spans="1:19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10">
        <v>2.1</v>
      </c>
      <c r="G191" s="10">
        <f t="shared" si="55"/>
        <v>0.60000000000000009</v>
      </c>
      <c r="H191" s="10">
        <f>D191+фев!H191</f>
        <v>4.4730000000000008</v>
      </c>
      <c r="I191" s="8">
        <f>E191+фев!I191</f>
        <v>4.5</v>
      </c>
      <c r="J191" s="10">
        <f>F191+фев!J191</f>
        <v>5.09</v>
      </c>
      <c r="K191" s="10">
        <f t="shared" si="57"/>
        <v>0.58999999999999986</v>
      </c>
      <c r="L191" s="16">
        <f t="shared" si="64"/>
        <v>13.111111111111107</v>
      </c>
      <c r="M191" s="110"/>
      <c r="N191" s="111"/>
      <c r="O191" s="30">
        <f>P191-J191</f>
        <v>0</v>
      </c>
      <c r="P191" s="30">
        <v>5.09</v>
      </c>
      <c r="Q191">
        <f t="shared" si="50"/>
        <v>4.4730000000000008</v>
      </c>
      <c r="R191" s="44">
        <f>E191+фев!I191</f>
        <v>4.5</v>
      </c>
      <c r="S191" s="30">
        <f>F191+фев!J191</f>
        <v>5.09</v>
      </c>
    </row>
    <row r="192" spans="1:19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74">D193+D194+D195+D196</f>
        <v>149.55900000000003</v>
      </c>
      <c r="E192" s="10">
        <f t="shared" si="74"/>
        <v>149.583</v>
      </c>
      <c r="F192" s="10">
        <f t="shared" si="74"/>
        <v>79.56</v>
      </c>
      <c r="G192" s="10">
        <f t="shared" si="55"/>
        <v>-70.022999999999996</v>
      </c>
      <c r="H192" s="10">
        <f t="shared" ref="H192:J192" si="75">H193+H194+H195+H196</f>
        <v>448.67700000000002</v>
      </c>
      <c r="I192" s="10">
        <f t="shared" si="75"/>
        <v>448.74900000000002</v>
      </c>
      <c r="J192" s="10">
        <f t="shared" si="75"/>
        <v>222.74599999999998</v>
      </c>
      <c r="K192" s="10">
        <f t="shared" si="57"/>
        <v>-226.00300000000004</v>
      </c>
      <c r="L192" s="16">
        <f t="shared" si="64"/>
        <v>-50.362897744618941</v>
      </c>
      <c r="M192" s="110"/>
      <c r="N192" s="111"/>
      <c r="Q192">
        <f t="shared" si="50"/>
        <v>448.67700000000008</v>
      </c>
      <c r="R192" s="44">
        <f>E192+фев!I192</f>
        <v>448.74900000000002</v>
      </c>
      <c r="S192" s="30">
        <f>F192+фев!J192</f>
        <v>222.74599999999998</v>
      </c>
    </row>
    <row r="193" spans="1:19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7">
        <f>31.9+30.273</f>
        <v>62.173000000000002</v>
      </c>
      <c r="G193" s="10">
        <f t="shared" si="55"/>
        <v>28.840000000000003</v>
      </c>
      <c r="H193" s="10">
        <f>D193+фев!H193</f>
        <v>100.09199999999998</v>
      </c>
      <c r="I193" s="8">
        <f>E193+фев!I193</f>
        <v>99.998999999999995</v>
      </c>
      <c r="J193" s="8">
        <f>F193+фев!J193</f>
        <v>155.32599999999999</v>
      </c>
      <c r="K193" s="10">
        <f t="shared" si="57"/>
        <v>55.326999999999998</v>
      </c>
      <c r="L193" s="16">
        <f t="shared" si="64"/>
        <v>55.327553275532757</v>
      </c>
      <c r="M193" s="110"/>
      <c r="N193" s="111"/>
      <c r="O193">
        <f>J193-P193</f>
        <v>0</v>
      </c>
      <c r="P193">
        <f>44.395+110.931</f>
        <v>155.32599999999999</v>
      </c>
      <c r="Q193">
        <f t="shared" si="50"/>
        <v>100.09199999999998</v>
      </c>
      <c r="R193" s="44">
        <f>E193+фев!I193</f>
        <v>99.998999999999995</v>
      </c>
      <c r="S193" s="30">
        <f>F193+фев!J193</f>
        <v>155.32599999999999</v>
      </c>
    </row>
    <row r="194" spans="1:19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55"/>
        <v>-89.832999999999998</v>
      </c>
      <c r="H194" s="10">
        <f>D194+фев!H194</f>
        <v>269.37599999999998</v>
      </c>
      <c r="I194" s="8">
        <f>E194+фев!I194</f>
        <v>269.49900000000002</v>
      </c>
      <c r="J194" s="8">
        <f>F194+фев!J194</f>
        <v>0</v>
      </c>
      <c r="K194" s="10">
        <f t="shared" si="57"/>
        <v>-269.49900000000002</v>
      </c>
      <c r="L194" s="16">
        <f t="shared" si="64"/>
        <v>-100</v>
      </c>
      <c r="M194" s="110"/>
      <c r="N194" s="111"/>
      <c r="Q194">
        <f t="shared" si="50"/>
        <v>269.37599999999998</v>
      </c>
      <c r="R194" s="44">
        <f>E194+фев!I194</f>
        <v>269.49900000000002</v>
      </c>
      <c r="S194" s="30">
        <f>F194+фев!J194</f>
        <v>0</v>
      </c>
    </row>
    <row r="195" spans="1:19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55"/>
        <v>-8</v>
      </c>
      <c r="H195" s="10">
        <f>D195+фев!H195</f>
        <v>23.898</v>
      </c>
      <c r="I195" s="8">
        <f>E195+фев!I195</f>
        <v>24</v>
      </c>
      <c r="J195" s="8">
        <f>F195+фев!J195</f>
        <v>15.260999999999999</v>
      </c>
      <c r="K195" s="10">
        <f t="shared" si="57"/>
        <v>-8.7390000000000008</v>
      </c>
      <c r="L195" s="16">
        <f t="shared" si="64"/>
        <v>-36.412500000000001</v>
      </c>
      <c r="M195" s="110"/>
      <c r="N195" s="111"/>
      <c r="Q195">
        <f t="shared" si="50"/>
        <v>23.898</v>
      </c>
      <c r="R195" s="44">
        <f>E195+фев!I195</f>
        <v>24</v>
      </c>
      <c r="S195" s="30">
        <f>F195+фев!J195</f>
        <v>15.260999999999999</v>
      </c>
    </row>
    <row r="196" spans="1:19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6">
        <v>17.387</v>
      </c>
      <c r="G196" s="10">
        <f t="shared" si="55"/>
        <v>-1.0300000000000011</v>
      </c>
      <c r="H196" s="10">
        <f>D196+фев!H196</f>
        <v>55.311000000000007</v>
      </c>
      <c r="I196" s="8">
        <f>E196+фев!I196</f>
        <v>55.251000000000005</v>
      </c>
      <c r="J196" s="8">
        <f>F196+фев!J196</f>
        <v>52.158999999999999</v>
      </c>
      <c r="K196" s="10">
        <f t="shared" si="57"/>
        <v>-3.0920000000000059</v>
      </c>
      <c r="L196" s="16">
        <f t="shared" si="64"/>
        <v>-5.5962788003837138</v>
      </c>
      <c r="M196" s="110"/>
      <c r="N196" s="111"/>
      <c r="Q196">
        <f t="shared" si="50"/>
        <v>55.311000000000007</v>
      </c>
      <c r="R196" s="44">
        <f>E196+фев!I196</f>
        <v>55.251000000000005</v>
      </c>
      <c r="S196" s="30">
        <f>F196+фев!J196</f>
        <v>52.158999999999999</v>
      </c>
    </row>
    <row r="197" spans="1:19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55"/>
        <v>-15.833</v>
      </c>
      <c r="H197" s="10">
        <f>D197+фев!H197</f>
        <v>47.454000000000001</v>
      </c>
      <c r="I197" s="8">
        <f>E197+фев!I197</f>
        <v>47.499000000000002</v>
      </c>
      <c r="J197" s="8">
        <f>F197+фев!J197</f>
        <v>0</v>
      </c>
      <c r="K197" s="10">
        <f t="shared" si="57"/>
        <v>-47.499000000000002</v>
      </c>
      <c r="L197" s="16">
        <f t="shared" si="64"/>
        <v>-100</v>
      </c>
      <c r="M197" s="110"/>
      <c r="N197" s="111"/>
      <c r="Q197">
        <f t="shared" si="50"/>
        <v>47.454000000000001</v>
      </c>
      <c r="R197" s="44">
        <f>E197+фев!I197</f>
        <v>47.499000000000002</v>
      </c>
      <c r="S197" s="30">
        <f>F197+фев!J197</f>
        <v>0</v>
      </c>
    </row>
    <row r="198" spans="1:19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55"/>
        <v>-0.33300000000000002</v>
      </c>
      <c r="H198" s="10">
        <f>D198+фев!H198</f>
        <v>1.026</v>
      </c>
      <c r="I198" s="8">
        <f>E198+фев!I198</f>
        <v>0.99900000000000011</v>
      </c>
      <c r="J198" s="8">
        <f>F198+фев!J198</f>
        <v>0</v>
      </c>
      <c r="K198" s="10">
        <f t="shared" si="57"/>
        <v>-0.99900000000000011</v>
      </c>
      <c r="L198" s="16">
        <f t="shared" si="64"/>
        <v>-100</v>
      </c>
      <c r="M198" s="110"/>
      <c r="N198" s="111"/>
      <c r="Q198">
        <f t="shared" si="50"/>
        <v>1.026</v>
      </c>
      <c r="R198" s="44">
        <f>E198+фев!I198</f>
        <v>0.99900000000000011</v>
      </c>
      <c r="S198" s="30">
        <f>F198+фев!J198</f>
        <v>0</v>
      </c>
    </row>
    <row r="199" spans="1:19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55"/>
        <v>0</v>
      </c>
      <c r="H199" s="10">
        <f>D199+фев!H199</f>
        <v>0</v>
      </c>
      <c r="I199" s="8">
        <f>E199+фев!I199</f>
        <v>0</v>
      </c>
      <c r="J199" s="8">
        <f>F199+фев!J199</f>
        <v>0</v>
      </c>
      <c r="K199" s="10">
        <f t="shared" si="57"/>
        <v>0</v>
      </c>
      <c r="L199" s="16"/>
      <c r="M199" s="110"/>
      <c r="N199" s="111"/>
      <c r="Q199">
        <f t="shared" si="50"/>
        <v>0</v>
      </c>
      <c r="R199" s="44">
        <f>E199+фев!I199</f>
        <v>0</v>
      </c>
      <c r="S199" s="30">
        <f>F199+фев!J199</f>
        <v>0</v>
      </c>
    </row>
    <row r="200" spans="1:19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87">
        <v>2.2320000000000002</v>
      </c>
      <c r="G200" s="10">
        <f t="shared" si="55"/>
        <v>-1.6849999999999996</v>
      </c>
      <c r="H200" s="10">
        <f>D200+фев!H200</f>
        <v>11.769</v>
      </c>
      <c r="I200" s="8">
        <f>E200+фев!I200</f>
        <v>11.750999999999999</v>
      </c>
      <c r="J200" s="10">
        <f>F200+фев!J200</f>
        <v>6.08</v>
      </c>
      <c r="K200" s="10">
        <f t="shared" si="57"/>
        <v>-5.6709999999999994</v>
      </c>
      <c r="L200" s="16">
        <f t="shared" si="64"/>
        <v>-48.25972257680197</v>
      </c>
      <c r="M200" s="112" t="s">
        <v>289</v>
      </c>
      <c r="N200" s="113"/>
      <c r="O200">
        <f>P200-J200</f>
        <v>0</v>
      </c>
      <c r="P200">
        <v>6.08</v>
      </c>
      <c r="Q200">
        <f t="shared" si="50"/>
        <v>11.769</v>
      </c>
      <c r="R200" s="44">
        <f>E200+фев!I200</f>
        <v>11.750999999999999</v>
      </c>
      <c r="S200" s="30">
        <f>F200+фев!J200</f>
        <v>6.08</v>
      </c>
    </row>
    <row r="201" spans="1:19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55"/>
        <v>0</v>
      </c>
      <c r="H201" s="10">
        <f>D201+фев!H201</f>
        <v>0</v>
      </c>
      <c r="I201" s="8">
        <f>E201+фев!I201</f>
        <v>0</v>
      </c>
      <c r="J201" s="8">
        <f>F201+фев!J201</f>
        <v>0</v>
      </c>
      <c r="K201" s="10">
        <f t="shared" si="57"/>
        <v>0</v>
      </c>
      <c r="L201" s="16" t="e">
        <f t="shared" si="64"/>
        <v>#DIV/0!</v>
      </c>
      <c r="M201" s="112" t="s">
        <v>290</v>
      </c>
      <c r="N201" s="113"/>
      <c r="Q201">
        <f t="shared" ref="Q201:Q218" si="76">D201*3</f>
        <v>0</v>
      </c>
      <c r="R201" s="44">
        <f>E201+фев!I201</f>
        <v>0</v>
      </c>
      <c r="S201" s="30">
        <f>F201+фев!J201</f>
        <v>0</v>
      </c>
    </row>
    <row r="202" spans="1:19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55"/>
        <v>0</v>
      </c>
      <c r="H202" s="10">
        <f>D202+фев!H202</f>
        <v>0</v>
      </c>
      <c r="I202" s="8">
        <f>E202+фев!I202</f>
        <v>0</v>
      </c>
      <c r="J202" s="8">
        <f>F202+фев!J202</f>
        <v>0</v>
      </c>
      <c r="K202" s="10">
        <f t="shared" si="57"/>
        <v>0</v>
      </c>
      <c r="L202" s="16" t="e">
        <f t="shared" si="64"/>
        <v>#DIV/0!</v>
      </c>
      <c r="M202" s="112" t="s">
        <v>290</v>
      </c>
      <c r="N202" s="113"/>
      <c r="Q202">
        <f t="shared" si="76"/>
        <v>0</v>
      </c>
      <c r="R202" s="44">
        <f>E202+фев!I202</f>
        <v>0</v>
      </c>
      <c r="S202" s="30">
        <f>F202+фев!J202</f>
        <v>0</v>
      </c>
    </row>
    <row r="203" spans="1:19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55"/>
        <v>0</v>
      </c>
      <c r="H203" s="10">
        <f>D203+фев!H203</f>
        <v>0</v>
      </c>
      <c r="I203" s="8">
        <f>E203+фев!I203</f>
        <v>0</v>
      </c>
      <c r="J203" s="8">
        <f>F203+фев!J203</f>
        <v>0</v>
      </c>
      <c r="K203" s="10">
        <f t="shared" si="57"/>
        <v>0</v>
      </c>
      <c r="L203" s="16" t="e">
        <f t="shared" si="64"/>
        <v>#DIV/0!</v>
      </c>
      <c r="M203" s="112" t="s">
        <v>290</v>
      </c>
      <c r="N203" s="113"/>
      <c r="Q203">
        <f t="shared" si="76"/>
        <v>0</v>
      </c>
      <c r="R203" s="44">
        <f>E203+фев!I203</f>
        <v>0</v>
      </c>
      <c r="S203" s="30">
        <f>F203+фев!J203</f>
        <v>0</v>
      </c>
    </row>
    <row r="204" spans="1:19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55"/>
        <v>0</v>
      </c>
      <c r="H204" s="10">
        <f>D204+фев!H204</f>
        <v>0</v>
      </c>
      <c r="I204" s="8">
        <f>E204+фев!I204</f>
        <v>0</v>
      </c>
      <c r="J204" s="8">
        <f>F204+фев!J204</f>
        <v>0</v>
      </c>
      <c r="K204" s="10">
        <f t="shared" si="57"/>
        <v>0</v>
      </c>
      <c r="L204" s="16"/>
      <c r="M204" s="110"/>
      <c r="N204" s="111"/>
      <c r="Q204">
        <f t="shared" si="76"/>
        <v>0</v>
      </c>
      <c r="R204" s="44">
        <f>E204+фев!I204</f>
        <v>0</v>
      </c>
      <c r="S204" s="30">
        <f>F204+фев!J204</f>
        <v>0</v>
      </c>
    </row>
    <row r="205" spans="1:19" ht="21" customHeight="1">
      <c r="A205" s="65" t="s">
        <v>190</v>
      </c>
      <c r="B205" s="6" t="s">
        <v>191</v>
      </c>
      <c r="C205" s="65" t="s">
        <v>4</v>
      </c>
      <c r="D205" s="7">
        <f>D8+D138</f>
        <v>76555.231</v>
      </c>
      <c r="E205" s="21">
        <f>E8+E138</f>
        <v>71086.831999999995</v>
      </c>
      <c r="F205" s="7">
        <f>F8+F138</f>
        <v>71845.146500000003</v>
      </c>
      <c r="G205" s="10">
        <f t="shared" ref="G205:G213" si="77">F205-E205</f>
        <v>758.31450000000768</v>
      </c>
      <c r="H205" s="7">
        <f>H8+H138</f>
        <v>229665.693</v>
      </c>
      <c r="I205" s="21">
        <f>I8+I138</f>
        <v>213260.49600000001</v>
      </c>
      <c r="J205" s="7">
        <f>J8+J138</f>
        <v>213856.26349999997</v>
      </c>
      <c r="K205" s="10">
        <f t="shared" ref="K205:K213" si="78">J205-I205</f>
        <v>595.76749999995809</v>
      </c>
      <c r="L205" s="16">
        <f t="shared" ref="L205:L213" si="79">K205/I205*100</f>
        <v>0.27936139658981102</v>
      </c>
      <c r="M205" s="110"/>
      <c r="N205" s="111"/>
      <c r="Q205">
        <f t="shared" si="76"/>
        <v>229665.693</v>
      </c>
      <c r="R205" s="44">
        <f>E205+фев!I205</f>
        <v>213260.49599999998</v>
      </c>
      <c r="S205" s="30">
        <f>F205+фев!J205</f>
        <v>213856.26249999998</v>
      </c>
    </row>
    <row r="206" spans="1:19" ht="17.25" customHeight="1">
      <c r="A206" s="65" t="s">
        <v>192</v>
      </c>
      <c r="B206" s="6" t="s">
        <v>193</v>
      </c>
      <c r="C206" s="65" t="s">
        <v>4</v>
      </c>
      <c r="D206" s="7">
        <v>1469.992</v>
      </c>
      <c r="E206" s="81">
        <v>1470.0830000000001</v>
      </c>
      <c r="F206" s="21">
        <f>F209-F205</f>
        <v>-23223.5193</v>
      </c>
      <c r="G206" s="16">
        <f t="shared" si="77"/>
        <v>-24693.602299999999</v>
      </c>
      <c r="H206" s="10">
        <f>D206+фев!H206</f>
        <v>4409.9759999999997</v>
      </c>
      <c r="I206" s="8">
        <f>E206+фев!I206</f>
        <v>4410.2489999999998</v>
      </c>
      <c r="J206" s="8">
        <f>F206+фев!J206</f>
        <v>4919.3374999999796</v>
      </c>
      <c r="K206" s="10">
        <f t="shared" si="78"/>
        <v>509.08849999997983</v>
      </c>
      <c r="L206" s="16">
        <f t="shared" si="79"/>
        <v>11.543305151250641</v>
      </c>
      <c r="M206" s="110"/>
      <c r="N206" s="111"/>
      <c r="Q206">
        <f t="shared" si="76"/>
        <v>4409.9759999999997</v>
      </c>
      <c r="R206" s="44">
        <f>E206+фев!I206</f>
        <v>4410.2489999999998</v>
      </c>
      <c r="S206" s="30">
        <f>F206+фев!J206</f>
        <v>4919.3374999999796</v>
      </c>
    </row>
    <row r="207" spans="1:19" ht="17.25" customHeight="1">
      <c r="A207" s="65" t="s">
        <v>194</v>
      </c>
      <c r="B207" s="6" t="s">
        <v>195</v>
      </c>
      <c r="C207" s="65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48621.627200000003</v>
      </c>
      <c r="G207" s="16">
        <f t="shared" si="77"/>
        <v>-23935.287799999991</v>
      </c>
      <c r="H207" s="7">
        <f>H205+H206</f>
        <v>234075.66899999999</v>
      </c>
      <c r="I207" s="21">
        <f>I205+I206</f>
        <v>217670.74500000002</v>
      </c>
      <c r="J207" s="7">
        <f>J205+J206</f>
        <v>218775.60099999997</v>
      </c>
      <c r="K207" s="10">
        <f t="shared" si="78"/>
        <v>1104.8559999999416</v>
      </c>
      <c r="L207" s="16">
        <f t="shared" si="79"/>
        <v>0.50758130129059897</v>
      </c>
      <c r="M207" s="110"/>
      <c r="N207" s="111"/>
      <c r="Q207">
        <f t="shared" si="76"/>
        <v>234075.66899999999</v>
      </c>
      <c r="R207" s="44">
        <f>E207+фев!I207</f>
        <v>217670.745</v>
      </c>
      <c r="S207" s="30">
        <f>F207+фев!J207</f>
        <v>218775.59999999998</v>
      </c>
    </row>
    <row r="208" spans="1:19" ht="17.25" customHeight="1">
      <c r="A208" s="114" t="s">
        <v>196</v>
      </c>
      <c r="B208" s="115" t="s">
        <v>197</v>
      </c>
      <c r="C208" s="65" t="s">
        <v>114</v>
      </c>
      <c r="D208" s="7">
        <v>559.39200000000005</v>
      </c>
      <c r="E208" s="81">
        <v>523.61</v>
      </c>
      <c r="F208" s="81">
        <v>352.53500000000003</v>
      </c>
      <c r="G208" s="10">
        <f t="shared" si="77"/>
        <v>-171.07499999999999</v>
      </c>
      <c r="H208" s="10">
        <f>D208+фев!H208</f>
        <v>1678.1760000000002</v>
      </c>
      <c r="I208" s="8">
        <f>E208+фев!I208</f>
        <v>1570.83</v>
      </c>
      <c r="J208" s="8">
        <f>F208+фев!J208</f>
        <v>1586.25</v>
      </c>
      <c r="K208" s="10">
        <f t="shared" si="78"/>
        <v>15.420000000000073</v>
      </c>
      <c r="L208" s="16">
        <f t="shared" si="79"/>
        <v>0.9816466454040268</v>
      </c>
      <c r="M208" s="110"/>
      <c r="N208" s="111"/>
      <c r="Q208">
        <f t="shared" si="76"/>
        <v>1678.1760000000002</v>
      </c>
      <c r="R208" s="44">
        <f>E208+фев!I208</f>
        <v>1570.83</v>
      </c>
      <c r="S208" s="30">
        <f>F208+фев!J208</f>
        <v>1586.25</v>
      </c>
    </row>
    <row r="209" spans="1:20" ht="17.25" customHeight="1">
      <c r="A209" s="114"/>
      <c r="B209" s="115"/>
      <c r="C209" s="65" t="s">
        <v>4</v>
      </c>
      <c r="D209" s="7">
        <f>D207</f>
        <v>78025.222999999998</v>
      </c>
      <c r="E209" s="21">
        <f>E207</f>
        <v>72556.914999999994</v>
      </c>
      <c r="F209" s="81">
        <f>F213*F208</f>
        <v>48621.627200000003</v>
      </c>
      <c r="G209" s="16">
        <f t="shared" si="77"/>
        <v>-23935.287799999991</v>
      </c>
      <c r="H209" s="10">
        <f>D209+фев!H209</f>
        <v>234075.66899999999</v>
      </c>
      <c r="I209" s="21">
        <f>I207</f>
        <v>217670.74500000002</v>
      </c>
      <c r="J209" s="81">
        <f>J213*J208</f>
        <v>218775.59999999998</v>
      </c>
      <c r="K209" s="10">
        <f t="shared" si="78"/>
        <v>1104.8549999999523</v>
      </c>
      <c r="L209" s="16">
        <f t="shared" si="79"/>
        <v>0.50758084188114116</v>
      </c>
      <c r="M209" s="110"/>
      <c r="N209" s="111"/>
      <c r="Q209">
        <f t="shared" si="76"/>
        <v>234075.66899999999</v>
      </c>
      <c r="R209" s="44">
        <f>E209+фев!I209</f>
        <v>217670.745</v>
      </c>
      <c r="S209" s="30">
        <f>F209+фев!J209</f>
        <v>218775.59999999998</v>
      </c>
    </row>
    <row r="210" spans="1:20" ht="17.25" customHeight="1">
      <c r="A210" s="65" t="s">
        <v>198</v>
      </c>
      <c r="B210" s="66" t="s">
        <v>199</v>
      </c>
      <c r="C210" s="65" t="s">
        <v>114</v>
      </c>
      <c r="D210" s="7">
        <v>761.69899999999996</v>
      </c>
      <c r="E210" s="21">
        <v>713</v>
      </c>
      <c r="F210" s="81">
        <v>435.22899999999998</v>
      </c>
      <c r="G210" s="10">
        <f t="shared" si="77"/>
        <v>-277.77100000000002</v>
      </c>
      <c r="H210" s="10">
        <f>D210+фев!H210</f>
        <v>2285.0969999999998</v>
      </c>
      <c r="I210" s="8">
        <f>E210+фев!I210</f>
        <v>2139</v>
      </c>
      <c r="J210" s="8">
        <f>F210+фев!J210</f>
        <v>2033.5720000000001</v>
      </c>
      <c r="K210" s="10">
        <f t="shared" si="78"/>
        <v>-105.42799999999988</v>
      </c>
      <c r="L210" s="16">
        <f t="shared" si="79"/>
        <v>-4.9288452547919537</v>
      </c>
      <c r="M210" s="110"/>
      <c r="N210" s="111"/>
      <c r="Q210">
        <f t="shared" si="76"/>
        <v>2285.0969999999998</v>
      </c>
      <c r="R210" s="44">
        <f>E210+фев!I210</f>
        <v>2139</v>
      </c>
      <c r="S210" s="30">
        <f>F210+фев!J210</f>
        <v>2033.5720000000001</v>
      </c>
    </row>
    <row r="211" spans="1:20" ht="17.25" customHeight="1">
      <c r="A211" s="114" t="s">
        <v>200</v>
      </c>
      <c r="B211" s="115" t="s">
        <v>201</v>
      </c>
      <c r="C211" s="65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19.000112584409578</v>
      </c>
      <c r="G211" s="10">
        <f t="shared" si="77"/>
        <v>-7.5622997578064073</v>
      </c>
      <c r="H211" s="21">
        <f>H212/H210*100</f>
        <v>26.559966600980161</v>
      </c>
      <c r="I211" s="21">
        <f>I212/I210*100</f>
        <v>26.562412342215993</v>
      </c>
      <c r="J211" s="21">
        <f>J212/J210*100</f>
        <v>21.996860696351057</v>
      </c>
      <c r="K211" s="10">
        <f t="shared" si="78"/>
        <v>-4.5655516458649359</v>
      </c>
      <c r="L211" s="16">
        <f t="shared" si="79"/>
        <v>-17.188015858818833</v>
      </c>
      <c r="M211" s="110"/>
      <c r="N211" s="111"/>
      <c r="Q211">
        <f t="shared" si="76"/>
        <v>79.679899802940497</v>
      </c>
      <c r="R211" s="44">
        <f>E211+фев!I211</f>
        <v>53.124824684431971</v>
      </c>
      <c r="S211" s="30">
        <f>F211+фев!J211</f>
        <v>41.812988168686559</v>
      </c>
    </row>
    <row r="212" spans="1:20" ht="17.25" customHeight="1">
      <c r="A212" s="114"/>
      <c r="B212" s="115"/>
      <c r="C212" s="65" t="s">
        <v>114</v>
      </c>
      <c r="D212" s="7">
        <f>D210-D208</f>
        <v>202.3069999999999</v>
      </c>
      <c r="E212" s="7">
        <f>E210-E208</f>
        <v>189.39</v>
      </c>
      <c r="F212" s="7">
        <f>F210-F208</f>
        <v>82.69399999999996</v>
      </c>
      <c r="G212" s="10">
        <f t="shared" si="77"/>
        <v>-106.69600000000003</v>
      </c>
      <c r="H212" s="7">
        <f>H210-H208</f>
        <v>606.92099999999959</v>
      </c>
      <c r="I212" s="7">
        <f>I210-I208</f>
        <v>568.17000000000007</v>
      </c>
      <c r="J212" s="7">
        <f>J210-J208</f>
        <v>447.32200000000012</v>
      </c>
      <c r="K212" s="10">
        <f t="shared" si="78"/>
        <v>-120.84799999999996</v>
      </c>
      <c r="L212" s="16">
        <f t="shared" si="79"/>
        <v>-21.269690409560507</v>
      </c>
      <c r="M212" s="110"/>
      <c r="N212" s="111"/>
      <c r="Q212">
        <f t="shared" si="76"/>
        <v>606.92099999999971</v>
      </c>
      <c r="R212" s="44">
        <f>E212+фев!I212</f>
        <v>568.16999999999996</v>
      </c>
      <c r="S212" s="30">
        <f>F212+фев!J212</f>
        <v>447.32200000000012</v>
      </c>
    </row>
    <row r="213" spans="1:20" s="1" customFormat="1" ht="21" customHeight="1">
      <c r="A213" s="65" t="s">
        <v>203</v>
      </c>
      <c r="B213" s="6" t="s">
        <v>204</v>
      </c>
      <c r="C213" s="65" t="s">
        <v>205</v>
      </c>
      <c r="D213" s="21">
        <f>D207/D208</f>
        <v>139.48219316686686</v>
      </c>
      <c r="E213" s="21">
        <f>E209/E208</f>
        <v>138.57052959263572</v>
      </c>
      <c r="F213" s="81">
        <v>137.91999999999999</v>
      </c>
      <c r="G213" s="10">
        <f t="shared" si="77"/>
        <v>-0.65052959263573484</v>
      </c>
      <c r="H213" s="21">
        <f>H207/H208</f>
        <v>139.48219316686686</v>
      </c>
      <c r="I213" s="21">
        <f>I207/I208</f>
        <v>138.57052959263575</v>
      </c>
      <c r="J213" s="81">
        <v>137.91999999999999</v>
      </c>
      <c r="K213" s="10">
        <f t="shared" si="78"/>
        <v>-0.65052959263576327</v>
      </c>
      <c r="L213" s="16">
        <f t="shared" si="79"/>
        <v>-0.46945739079453963</v>
      </c>
      <c r="M213" s="110"/>
      <c r="N213" s="111"/>
      <c r="O213"/>
      <c r="P213"/>
      <c r="Q213">
        <f t="shared" si="76"/>
        <v>418.44657950060059</v>
      </c>
      <c r="R213" s="44">
        <f>E213+фев!I213</f>
        <v>277.14105918527144</v>
      </c>
      <c r="S213" s="30">
        <f>F213+фев!J213</f>
        <v>275.83999999999997</v>
      </c>
      <c r="T213"/>
    </row>
    <row r="214" spans="1:20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110"/>
      <c r="N214" s="111"/>
      <c r="Q214">
        <f t="shared" si="76"/>
        <v>0</v>
      </c>
      <c r="R214" s="44">
        <f>E214+фев!I214</f>
        <v>0</v>
      </c>
      <c r="S214" s="30">
        <f>F214+фев!J214</f>
        <v>0</v>
      </c>
    </row>
    <row r="215" spans="1:20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80">E216+E217</f>
        <v>0</v>
      </c>
      <c r="F215" s="14">
        <f t="shared" si="80"/>
        <v>172</v>
      </c>
      <c r="G215" s="14">
        <f t="shared" si="80"/>
        <v>0</v>
      </c>
      <c r="H215" s="14">
        <f>H216+H217</f>
        <v>253</v>
      </c>
      <c r="I215" s="14">
        <f t="shared" ref="I215:K215" si="81">I216+I217</f>
        <v>0</v>
      </c>
      <c r="J215" s="14">
        <f t="shared" si="81"/>
        <v>172</v>
      </c>
      <c r="K215" s="14">
        <f t="shared" si="81"/>
        <v>0</v>
      </c>
      <c r="L215" s="16"/>
      <c r="M215" s="110"/>
      <c r="N215" s="111"/>
      <c r="Q215">
        <f t="shared" si="76"/>
        <v>759</v>
      </c>
      <c r="R215" s="44">
        <f>E215+фев!I215</f>
        <v>0</v>
      </c>
      <c r="S215" s="30">
        <f>F215+фев!J215</f>
        <v>172</v>
      </c>
    </row>
    <row r="216" spans="1:20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>
        <v>164</v>
      </c>
      <c r="G216" s="8"/>
      <c r="H216" s="14">
        <v>236</v>
      </c>
      <c r="I216" s="8"/>
      <c r="J216" s="8">
        <v>164</v>
      </c>
      <c r="K216" s="8"/>
      <c r="L216" s="16"/>
      <c r="M216" s="110"/>
      <c r="N216" s="111"/>
      <c r="Q216">
        <f t="shared" si="76"/>
        <v>708</v>
      </c>
      <c r="R216" s="44">
        <f>E216+фев!I216</f>
        <v>0</v>
      </c>
      <c r="S216" s="30">
        <f>F216+фев!J216</f>
        <v>164</v>
      </c>
    </row>
    <row r="217" spans="1:20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>
        <v>8</v>
      </c>
      <c r="G217" s="8"/>
      <c r="H217" s="14">
        <v>17</v>
      </c>
      <c r="I217" s="8"/>
      <c r="J217" s="8">
        <v>8</v>
      </c>
      <c r="K217" s="8"/>
      <c r="L217" s="16"/>
      <c r="M217" s="110"/>
      <c r="N217" s="111"/>
      <c r="Q217">
        <f t="shared" si="76"/>
        <v>51</v>
      </c>
      <c r="R217" s="44">
        <f>E217+фев!I217</f>
        <v>0</v>
      </c>
      <c r="S217" s="30">
        <f>F217+фев!J217</f>
        <v>8</v>
      </c>
    </row>
    <row r="218" spans="1:20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14"/>
      <c r="F218" s="14">
        <f>(F88+F145)/F215*1000</f>
        <v>133677.38372093023</v>
      </c>
      <c r="G218" s="8"/>
      <c r="H218" s="14">
        <f>(H88+H145)/H215*1000/3</f>
        <v>86746.573122529662</v>
      </c>
      <c r="I218" s="14"/>
      <c r="J218" s="14">
        <f>(J88+J145)/J215*1000/3</f>
        <v>114809.57945736435</v>
      </c>
      <c r="K218" s="8"/>
      <c r="L218" s="16"/>
      <c r="M218" s="110"/>
      <c r="N218" s="111"/>
      <c r="Q218">
        <f t="shared" si="76"/>
        <v>260239.71936758893</v>
      </c>
      <c r="R218" s="44">
        <f>E218+фев!I218</f>
        <v>0</v>
      </c>
      <c r="S218" s="30">
        <f>F218+фев!J218</f>
        <v>133677.38372093023</v>
      </c>
    </row>
    <row r="219" spans="1:20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14"/>
      <c r="F219" s="14">
        <f t="shared" ref="F219" si="82">F88/F216*1000</f>
        <v>130405.98170731707</v>
      </c>
      <c r="G219" s="8"/>
      <c r="H219" s="14">
        <f>H88/H216*1000/3</f>
        <v>84883.580508474581</v>
      </c>
      <c r="I219" s="14"/>
      <c r="J219" s="14">
        <f>J88/J216*1000/3</f>
        <v>112564.31300813008</v>
      </c>
      <c r="K219" s="8"/>
      <c r="L219" s="16"/>
      <c r="M219" s="110"/>
      <c r="N219" s="111"/>
      <c r="R219" s="44">
        <f>E219+фев!I219</f>
        <v>0</v>
      </c>
      <c r="S219" s="30">
        <f>F219+фев!J219</f>
        <v>130405.98170731707</v>
      </c>
    </row>
    <row r="220" spans="1:20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14"/>
      <c r="F220" s="14">
        <f t="shared" ref="F220" si="83">F145/F217*1000</f>
        <v>200741.12499999997</v>
      </c>
      <c r="G220" s="8"/>
      <c r="H220" s="14">
        <f>H145/H217*1000/3</f>
        <v>112609.29411764705</v>
      </c>
      <c r="I220" s="14"/>
      <c r="J220" s="14">
        <f>J145/J217*1000/3</f>
        <v>160837.54166666666</v>
      </c>
      <c r="K220" s="8"/>
      <c r="L220" s="16"/>
      <c r="M220" s="110"/>
      <c r="N220" s="111"/>
      <c r="R220" s="44">
        <f>E220+фев!I220</f>
        <v>0</v>
      </c>
      <c r="S220" s="30">
        <f>F220+фев!J220</f>
        <v>200741.12499999997</v>
      </c>
    </row>
    <row r="221" spans="1:20" ht="18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>
        <f>H221+I221</f>
        <v>0</v>
      </c>
    </row>
    <row r="222" spans="1:20" ht="18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20" ht="18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20" ht="18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30" customHeight="1">
      <c r="A225" s="29"/>
      <c r="B225" s="29" t="s">
        <v>322</v>
      </c>
      <c r="C225" s="29"/>
      <c r="D225" s="29"/>
      <c r="E225" s="29"/>
      <c r="F225" s="29"/>
      <c r="G225" s="29"/>
      <c r="H225" s="29"/>
      <c r="I225" s="29" t="s">
        <v>323</v>
      </c>
      <c r="J225" s="29"/>
      <c r="K225" s="29"/>
      <c r="L225" s="29"/>
      <c r="M225" s="29"/>
      <c r="N225" s="29">
        <f>SUM(H225:M225)</f>
        <v>0</v>
      </c>
    </row>
    <row r="226" spans="1:14" ht="36.75" customHeight="1">
      <c r="A226" s="29"/>
      <c r="B226" s="29" t="s">
        <v>233</v>
      </c>
      <c r="C226" s="29"/>
      <c r="D226" s="29"/>
      <c r="E226" s="29"/>
      <c r="F226" s="29"/>
      <c r="G226" s="29"/>
      <c r="H226" s="29"/>
      <c r="I226" s="29" t="s">
        <v>324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customHeight="1">
      <c r="A228" s="4" t="s">
        <v>235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28.5" customHeight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4" ht="16.5" customHeight="1"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4" ht="18.75">
      <c r="A235" s="2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4" ht="18.75">
      <c r="A236" s="2"/>
      <c r="B236" s="2"/>
      <c r="C236" s="29"/>
      <c r="D236" s="29"/>
      <c r="E236" s="29"/>
      <c r="F236" s="29"/>
      <c r="G236" s="29"/>
      <c r="H236" s="29"/>
      <c r="I236" s="29"/>
      <c r="J236" s="29"/>
    </row>
    <row r="237" spans="1:14" ht="18.75">
      <c r="A237" s="2"/>
      <c r="B237" s="2"/>
      <c r="C237" s="2"/>
      <c r="D237" s="2"/>
      <c r="E237" s="29"/>
      <c r="F237" s="29"/>
      <c r="G237" s="29"/>
      <c r="H237" s="29"/>
      <c r="I237" s="29"/>
      <c r="J237" s="29"/>
    </row>
    <row r="238" spans="1:14" ht="18.75">
      <c r="A238" s="4"/>
      <c r="B238" s="2"/>
      <c r="C238" s="2"/>
      <c r="D238" s="2"/>
      <c r="E238" s="29"/>
      <c r="F238" s="29"/>
      <c r="G238" s="29"/>
      <c r="H238" s="29"/>
      <c r="I238" s="29"/>
      <c r="J238" s="29"/>
    </row>
    <row r="239" spans="1:14" ht="18.75">
      <c r="A239" s="2"/>
      <c r="B239" s="2"/>
      <c r="C239" s="2"/>
      <c r="D239" s="2"/>
      <c r="E239" s="29"/>
      <c r="F239" s="29"/>
      <c r="G239" s="29"/>
      <c r="H239" s="29"/>
      <c r="I239" s="29"/>
      <c r="J239" s="29"/>
    </row>
    <row r="240" spans="1:14" ht="18.75">
      <c r="E240" s="29"/>
      <c r="F240" s="29"/>
      <c r="G240" s="29"/>
      <c r="H240" s="29"/>
      <c r="I240" s="29"/>
      <c r="J240" s="29"/>
    </row>
    <row r="241" spans="5:10">
      <c r="E241"/>
      <c r="F241"/>
      <c r="G241"/>
      <c r="H241"/>
      <c r="I241"/>
      <c r="J241"/>
    </row>
    <row r="242" spans="5:10">
      <c r="E242"/>
      <c r="F242"/>
      <c r="G242"/>
      <c r="H242"/>
      <c r="I242"/>
      <c r="J242"/>
    </row>
    <row r="243" spans="5:10">
      <c r="E243"/>
      <c r="F243"/>
      <c r="G243"/>
      <c r="H243"/>
      <c r="I243"/>
      <c r="J243"/>
    </row>
    <row r="244" spans="5:10">
      <c r="E244"/>
      <c r="F244"/>
      <c r="G244"/>
      <c r="H244"/>
      <c r="I244"/>
      <c r="J244"/>
    </row>
    <row r="245" spans="5:10">
      <c r="E245"/>
      <c r="F245"/>
      <c r="G245"/>
      <c r="H245"/>
      <c r="I245"/>
      <c r="J245"/>
    </row>
    <row r="246" spans="5:10">
      <c r="E246"/>
      <c r="F246"/>
      <c r="G246"/>
      <c r="H246"/>
      <c r="I246"/>
      <c r="J246"/>
    </row>
    <row r="247" spans="5:10">
      <c r="E247"/>
      <c r="F247"/>
      <c r="G247"/>
      <c r="H247"/>
      <c r="I247"/>
      <c r="J247"/>
    </row>
    <row r="248" spans="5:10">
      <c r="E248"/>
      <c r="F248"/>
      <c r="G248"/>
      <c r="H248"/>
      <c r="I248"/>
      <c r="J248"/>
    </row>
    <row r="249" spans="5:10">
      <c r="E249"/>
      <c r="F249"/>
      <c r="G249"/>
      <c r="H249"/>
      <c r="I249"/>
      <c r="J249"/>
    </row>
    <row r="250" spans="5:10">
      <c r="E250"/>
      <c r="F250"/>
      <c r="G250"/>
      <c r="H250"/>
      <c r="I250"/>
      <c r="J250"/>
    </row>
    <row r="251" spans="5:10">
      <c r="E251"/>
      <c r="F251"/>
      <c r="G251"/>
      <c r="H251"/>
      <c r="I251"/>
      <c r="J251"/>
    </row>
    <row r="252" spans="5:10">
      <c r="E252"/>
      <c r="F252"/>
      <c r="G252"/>
      <c r="H252"/>
      <c r="I252"/>
      <c r="J252"/>
    </row>
    <row r="253" spans="5:10">
      <c r="E253"/>
      <c r="F253"/>
      <c r="G253"/>
      <c r="H253"/>
      <c r="I253"/>
      <c r="J253"/>
    </row>
    <row r="254" spans="5:10">
      <c r="E254"/>
      <c r="F254"/>
      <c r="G254"/>
      <c r="H254"/>
      <c r="I254"/>
      <c r="J254"/>
    </row>
    <row r="255" spans="5:10" ht="18.75">
      <c r="E255" s="29"/>
      <c r="F255" s="29"/>
      <c r="G255"/>
      <c r="H255"/>
      <c r="I255"/>
      <c r="J255"/>
    </row>
    <row r="256" spans="5:10" ht="18.75">
      <c r="E256" s="29"/>
      <c r="F256" s="29"/>
    </row>
    <row r="257" spans="5:6" ht="18.75">
      <c r="E257" s="29"/>
      <c r="F257" s="29"/>
    </row>
    <row r="258" spans="5:6" ht="18.75">
      <c r="E258" s="29"/>
      <c r="F258" s="29"/>
    </row>
    <row r="259" spans="5:6" ht="18.75">
      <c r="E259" s="29"/>
      <c r="F259" s="29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9"/>
  <sheetViews>
    <sheetView workbookViewId="0">
      <pane xSplit="10" ySplit="15" topLeftCell="K77" activePane="bottomRight" state="frozen"/>
      <selection pane="topRight" activeCell="J1" sqref="J1"/>
      <selection pane="bottomLeft" activeCell="A16" sqref="A16"/>
      <selection pane="bottomRight" activeCell="F208" sqref="F208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7" width="12.5703125" customWidth="1"/>
    <col min="8" max="8" width="15" customWidth="1"/>
    <col min="9" max="9" width="14.7109375" style="60" customWidth="1"/>
    <col min="10" max="10" width="15.85546875" customWidth="1"/>
    <col min="11" max="11" width="12.140625" customWidth="1"/>
    <col min="12" max="12" width="10.7109375" customWidth="1"/>
    <col min="13" max="13" width="14.85546875" hidden="1" customWidth="1"/>
    <col min="14" max="14" width="15.5703125" hidden="1" customWidth="1"/>
    <col min="15" max="15" width="13.42578125" customWidth="1"/>
    <col min="16" max="16" width="12.85546875" customWidth="1"/>
    <col min="17" max="17" width="13.28515625" customWidth="1"/>
    <col min="18" max="18" width="13.7109375" customWidth="1"/>
    <col min="19" max="19" width="11.85546875" customWidth="1"/>
  </cols>
  <sheetData>
    <row r="1" spans="1:19" ht="54" customHeight="1">
      <c r="A1" s="131" t="s">
        <v>226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9" ht="42.75" customHeight="1">
      <c r="A2" s="132" t="s">
        <v>318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9" ht="1.5" customHeight="1">
      <c r="A3" s="133"/>
      <c r="B3" s="133"/>
      <c r="C3" s="133"/>
      <c r="D3" s="78"/>
      <c r="E3" s="78"/>
      <c r="F3" s="78"/>
      <c r="G3" s="78"/>
      <c r="H3" s="29"/>
      <c r="I3" s="29"/>
      <c r="J3" s="29"/>
      <c r="K3" s="29"/>
      <c r="L3" s="29"/>
      <c r="M3" s="29"/>
      <c r="N3" s="29"/>
    </row>
    <row r="4" spans="1:19" ht="18.75">
      <c r="A4" s="134" t="s">
        <v>0</v>
      </c>
      <c r="B4" s="137" t="s">
        <v>1</v>
      </c>
      <c r="C4" s="134" t="s">
        <v>217</v>
      </c>
      <c r="D4" s="140" t="s">
        <v>304</v>
      </c>
      <c r="E4" s="141"/>
      <c r="F4" s="141"/>
      <c r="G4" s="142"/>
      <c r="H4" s="140" t="s">
        <v>227</v>
      </c>
      <c r="I4" s="141"/>
      <c r="J4" s="141"/>
      <c r="K4" s="141"/>
      <c r="L4" s="142"/>
      <c r="M4" s="143" t="s">
        <v>239</v>
      </c>
      <c r="N4" s="144"/>
    </row>
    <row r="5" spans="1:19" ht="15" customHeight="1">
      <c r="A5" s="135"/>
      <c r="B5" s="138"/>
      <c r="C5" s="135"/>
      <c r="D5" s="127" t="s">
        <v>305</v>
      </c>
      <c r="E5" s="127" t="s">
        <v>306</v>
      </c>
      <c r="F5" s="127" t="s">
        <v>229</v>
      </c>
      <c r="G5" s="127" t="s">
        <v>219</v>
      </c>
      <c r="H5" s="127" t="s">
        <v>305</v>
      </c>
      <c r="I5" s="127" t="s">
        <v>306</v>
      </c>
      <c r="J5" s="127" t="s">
        <v>229</v>
      </c>
      <c r="K5" s="127" t="s">
        <v>219</v>
      </c>
      <c r="L5" s="127" t="s">
        <v>236</v>
      </c>
      <c r="M5" s="145"/>
      <c r="N5" s="146"/>
    </row>
    <row r="6" spans="1:19" ht="41.25" customHeight="1">
      <c r="A6" s="136"/>
      <c r="B6" s="139"/>
      <c r="C6" s="136"/>
      <c r="D6" s="128"/>
      <c r="E6" s="128"/>
      <c r="F6" s="128"/>
      <c r="G6" s="128"/>
      <c r="H6" s="128"/>
      <c r="I6" s="128"/>
      <c r="J6" s="128"/>
      <c r="K6" s="128"/>
      <c r="L6" s="128"/>
      <c r="M6" s="147"/>
      <c r="N6" s="148"/>
    </row>
    <row r="7" spans="1:19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129">
        <v>8</v>
      </c>
      <c r="N7" s="130"/>
      <c r="O7" s="30">
        <f>J8-O8</f>
        <v>489.36649999988731</v>
      </c>
      <c r="P7">
        <v>272681.63099999999</v>
      </c>
      <c r="Q7" s="30">
        <f>J8-P7</f>
        <v>1129.8214999999036</v>
      </c>
    </row>
    <row r="8" spans="1:19" ht="39" customHeight="1">
      <c r="A8" s="74" t="s">
        <v>2</v>
      </c>
      <c r="B8" s="6" t="s">
        <v>3</v>
      </c>
      <c r="C8" s="74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66704.001999999993</v>
      </c>
      <c r="G8" s="7">
        <f>F8-E8</f>
        <v>-1393.5810000000056</v>
      </c>
      <c r="H8" s="7">
        <f>H9+H87+H93+H95+H97</f>
        <v>292680.46000000002</v>
      </c>
      <c r="I8" s="21">
        <f>I9+I87+I93+I95+I97</f>
        <v>272390.33199999999</v>
      </c>
      <c r="J8" s="7">
        <f>J9+J87+J93+J95+J97</f>
        <v>273811.4524999999</v>
      </c>
      <c r="K8" s="71">
        <f>J8-I8</f>
        <v>1421.1204999999027</v>
      </c>
      <c r="L8" s="21">
        <f>K8/I8*100</f>
        <v>0.52172207785990832</v>
      </c>
      <c r="M8" s="110"/>
      <c r="N8" s="111"/>
      <c r="O8">
        <f>640.455+272681.631</f>
        <v>273322.08600000001</v>
      </c>
      <c r="P8">
        <f>D8*4</f>
        <v>292680.46000000002</v>
      </c>
      <c r="Q8" s="44">
        <f>E8+март!I8</f>
        <v>272390.33199999999</v>
      </c>
      <c r="R8" s="30">
        <f>F8+фев!J8</f>
        <v>204368.962</v>
      </c>
      <c r="S8" s="30">
        <f>J8-R8</f>
        <v>69442.490499999898</v>
      </c>
    </row>
    <row r="9" spans="1:19" ht="17.25" customHeight="1">
      <c r="A9" s="74" t="s">
        <v>5</v>
      </c>
      <c r="B9" s="6" t="s">
        <v>6</v>
      </c>
      <c r="C9" s="74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32752.173999999999</v>
      </c>
      <c r="G9" s="7">
        <f>F9-E9</f>
        <v>617.08999999999651</v>
      </c>
      <c r="H9" s="7">
        <f>H10+H37+H72</f>
        <v>142928.424</v>
      </c>
      <c r="I9" s="21">
        <f>I10+I37+I72</f>
        <v>128540.33600000001</v>
      </c>
      <c r="J9" s="7">
        <f>J10+J37+J72</f>
        <v>138967.022</v>
      </c>
      <c r="K9" s="21">
        <f>J9-I9</f>
        <v>10426.685999999987</v>
      </c>
      <c r="L9" s="21">
        <f>K9/I9*100</f>
        <v>8.1116063054323959</v>
      </c>
      <c r="M9" s="110"/>
      <c r="N9" s="111"/>
      <c r="P9">
        <f t="shared" ref="P9:P72" si="0">D9*4</f>
        <v>142928.424</v>
      </c>
      <c r="Q9" s="44">
        <f>E9+март!I9</f>
        <v>128540.33600000001</v>
      </c>
      <c r="R9" s="30">
        <f>F9+фев!J9</f>
        <v>106621.928</v>
      </c>
    </row>
    <row r="10" spans="1:19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3062.7499999999995</v>
      </c>
      <c r="G10" s="10">
        <f>F10-E10</f>
        <v>-2832.5840000000003</v>
      </c>
      <c r="H10" s="10">
        <f>H11+H30+H35</f>
        <v>30404.176000000003</v>
      </c>
      <c r="I10" s="10">
        <f>I11+I30+I35</f>
        <v>23581.335999999999</v>
      </c>
      <c r="J10" s="10">
        <f>J11+J30+J35</f>
        <v>22702.712</v>
      </c>
      <c r="K10" s="10">
        <f>J10-I10</f>
        <v>-878.6239999999998</v>
      </c>
      <c r="L10" s="16">
        <f>K10/I10*100</f>
        <v>-3.7259296928723624</v>
      </c>
      <c r="M10" s="110"/>
      <c r="N10" s="111"/>
      <c r="P10">
        <f t="shared" si="0"/>
        <v>30404.176000000003</v>
      </c>
      <c r="Q10" s="44">
        <f>E10+март!I10</f>
        <v>23581.335999999999</v>
      </c>
      <c r="R10" s="30">
        <f>F10+фев!J10</f>
        <v>19946.016</v>
      </c>
    </row>
    <row r="11" spans="1:19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2382.6859999999997</v>
      </c>
      <c r="G11" s="10">
        <f t="shared" ref="G11:G74" si="1">F11-E11</f>
        <v>-2587.3969999999999</v>
      </c>
      <c r="H11" s="10">
        <f>H12+H15+H18+H21+H24+H27</f>
        <v>20128.980000000003</v>
      </c>
      <c r="I11" s="8">
        <f>E11+март!I11</f>
        <v>19880.331999999999</v>
      </c>
      <c r="J11" s="10">
        <f>J12+J15+J18+J21+J24+J27</f>
        <v>11746.415000000001</v>
      </c>
      <c r="K11" s="10">
        <f t="shared" ref="K11:K74" si="2">J11-I11</f>
        <v>-8133.9169999999976</v>
      </c>
      <c r="L11" s="16">
        <f t="shared" ref="L11:L72" si="3">K11/I11*100</f>
        <v>-40.914392174134711</v>
      </c>
      <c r="M11" s="110"/>
      <c r="N11" s="111"/>
      <c r="P11">
        <f t="shared" si="0"/>
        <v>20128.980000000003</v>
      </c>
      <c r="Q11" s="44">
        <f>E11+март!I11</f>
        <v>19880.331999999999</v>
      </c>
      <c r="R11" s="30">
        <f>F11+фев!J11</f>
        <v>9647.5459999999985</v>
      </c>
    </row>
    <row r="12" spans="1:19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54">
        <v>603.80399999999997</v>
      </c>
      <c r="G12" s="10">
        <f t="shared" si="1"/>
        <v>603.80399999999997</v>
      </c>
      <c r="H12" s="10">
        <f>D12+март!H12</f>
        <v>3408.5279999999998</v>
      </c>
      <c r="I12" s="8"/>
      <c r="J12" s="10">
        <f>F12+март!J12</f>
        <v>2319.59</v>
      </c>
      <c r="K12" s="10">
        <f t="shared" si="2"/>
        <v>2319.59</v>
      </c>
      <c r="L12" s="16"/>
      <c r="M12" s="112" t="s">
        <v>297</v>
      </c>
      <c r="N12" s="113"/>
      <c r="P12">
        <f t="shared" si="0"/>
        <v>3408.5279999999998</v>
      </c>
      <c r="Q12" s="44">
        <f>E12+март!I12</f>
        <v>0</v>
      </c>
      <c r="R12" s="30">
        <f>F12+фев!J12</f>
        <v>1728.8400000000001</v>
      </c>
    </row>
    <row r="13" spans="1:19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1989</v>
      </c>
      <c r="G13" s="10">
        <f t="shared" si="1"/>
        <v>1989</v>
      </c>
      <c r="H13" s="14">
        <f>D13+март!H13</f>
        <v>14668</v>
      </c>
      <c r="I13" s="8"/>
      <c r="J13" s="14">
        <f>F13+март!J13</f>
        <v>7641</v>
      </c>
      <c r="K13" s="10">
        <f t="shared" si="2"/>
        <v>7641</v>
      </c>
      <c r="L13" s="16"/>
      <c r="M13" s="110"/>
      <c r="N13" s="111"/>
      <c r="P13">
        <f t="shared" si="0"/>
        <v>14668</v>
      </c>
      <c r="Q13" s="44">
        <f>E13+март!I13</f>
        <v>0</v>
      </c>
      <c r="R13" s="30">
        <f>F13+фев!J13</f>
        <v>5695</v>
      </c>
    </row>
    <row r="14" spans="1:19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303.57164404223226</v>
      </c>
      <c r="G14" s="10">
        <f t="shared" si="1"/>
        <v>303.57164404223226</v>
      </c>
      <c r="H14" s="16">
        <f>H12/H13*1000</f>
        <v>232.37851104445048</v>
      </c>
      <c r="I14" s="16"/>
      <c r="J14" s="16">
        <f t="shared" ref="J14" si="5">J12/J13*1000</f>
        <v>303.5715220520874</v>
      </c>
      <c r="K14" s="10">
        <f t="shared" si="2"/>
        <v>303.5715220520874</v>
      </c>
      <c r="L14" s="16"/>
      <c r="M14" s="110"/>
      <c r="N14" s="111"/>
      <c r="P14">
        <f t="shared" si="0"/>
        <v>929.51404417780191</v>
      </c>
      <c r="Q14" s="44">
        <f>E14+март!I14</f>
        <v>0</v>
      </c>
      <c r="R14" s="30">
        <f>F14+фев!J14</f>
        <v>607.14314970871897</v>
      </c>
    </row>
    <row r="15" spans="1:19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54">
        <v>706.702</v>
      </c>
      <c r="G15" s="10">
        <f t="shared" si="1"/>
        <v>706.702</v>
      </c>
      <c r="H15" s="10">
        <f>D15+март!H15</f>
        <v>11234.304</v>
      </c>
      <c r="I15" s="8"/>
      <c r="J15" s="10">
        <f>F15+март!J15</f>
        <v>4970.8050000000003</v>
      </c>
      <c r="K15" s="10">
        <f t="shared" si="2"/>
        <v>4970.8050000000003</v>
      </c>
      <c r="L15" s="16"/>
      <c r="M15" s="110"/>
      <c r="N15" s="111"/>
      <c r="P15">
        <f t="shared" si="0"/>
        <v>11234.304</v>
      </c>
      <c r="Q15" s="44">
        <f>E15+март!I15</f>
        <v>0</v>
      </c>
      <c r="R15" s="30">
        <f>F15+фев!J15</f>
        <v>4600.7060000000001</v>
      </c>
    </row>
    <row r="16" spans="1:19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5591</v>
      </c>
      <c r="G16" s="10">
        <f t="shared" si="1"/>
        <v>5591</v>
      </c>
      <c r="H16" s="14">
        <f>D16+март!H16</f>
        <v>60000</v>
      </c>
      <c r="I16" s="8"/>
      <c r="J16" s="14">
        <f>F16+март!J16</f>
        <v>39326</v>
      </c>
      <c r="K16" s="10">
        <f t="shared" si="2"/>
        <v>39326</v>
      </c>
      <c r="L16" s="16"/>
      <c r="M16" s="110"/>
      <c r="N16" s="111"/>
      <c r="P16">
        <f t="shared" si="0"/>
        <v>60000</v>
      </c>
      <c r="Q16" s="44">
        <f>E16+март!I16</f>
        <v>0</v>
      </c>
      <c r="R16" s="30">
        <f>F16+фев!J16</f>
        <v>36398</v>
      </c>
    </row>
    <row r="17" spans="1:18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126.39992845644787</v>
      </c>
      <c r="G17" s="10">
        <f t="shared" si="1"/>
        <v>126.39992845644787</v>
      </c>
      <c r="H17" s="16">
        <f>H15/H16*1000</f>
        <v>187.23840000000001</v>
      </c>
      <c r="I17" s="8"/>
      <c r="J17" s="13"/>
      <c r="K17" s="10">
        <f t="shared" si="2"/>
        <v>0</v>
      </c>
      <c r="L17" s="16"/>
      <c r="M17" s="110"/>
      <c r="N17" s="111"/>
      <c r="P17">
        <f t="shared" si="0"/>
        <v>748.95360000000005</v>
      </c>
      <c r="Q17" s="44" t="e">
        <f>E17+март!I17</f>
        <v>#DIV/0!</v>
      </c>
      <c r="R17" s="30">
        <f>F17+фев!J17</f>
        <v>126.39992845644787</v>
      </c>
    </row>
    <row r="18" spans="1:18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54">
        <v>25.76</v>
      </c>
      <c r="G18" s="10">
        <f t="shared" si="1"/>
        <v>25.76</v>
      </c>
      <c r="H18" s="10">
        <f>D18+март!H18</f>
        <v>966.58399999999995</v>
      </c>
      <c r="I18" s="8"/>
      <c r="J18" s="10">
        <f>F18+март!J18</f>
        <v>145.96</v>
      </c>
      <c r="K18" s="10">
        <f t="shared" si="2"/>
        <v>145.96</v>
      </c>
      <c r="L18" s="16"/>
      <c r="M18" s="110"/>
      <c r="N18" s="111"/>
      <c r="P18">
        <f t="shared" si="0"/>
        <v>966.58399999999995</v>
      </c>
      <c r="Q18" s="44">
        <f>E18+март!I18</f>
        <v>0</v>
      </c>
      <c r="R18" s="30">
        <f>F18+фев!J18</f>
        <v>113.76</v>
      </c>
    </row>
    <row r="19" spans="1:18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>
        <v>40</v>
      </c>
      <c r="G19" s="10">
        <f t="shared" si="1"/>
        <v>40</v>
      </c>
      <c r="H19" s="14">
        <f>D19+март!H19</f>
        <v>4100</v>
      </c>
      <c r="I19" s="8"/>
      <c r="J19" s="14">
        <f>F19+март!J19</f>
        <v>290</v>
      </c>
      <c r="K19" s="10">
        <f t="shared" si="2"/>
        <v>290</v>
      </c>
      <c r="L19" s="16"/>
      <c r="M19" s="110"/>
      <c r="N19" s="111"/>
      <c r="P19">
        <f t="shared" si="0"/>
        <v>4100</v>
      </c>
      <c r="Q19" s="44">
        <f>E19+март!I19</f>
        <v>0</v>
      </c>
      <c r="R19" s="30">
        <f>F19+фев!J19</f>
        <v>240</v>
      </c>
    </row>
    <row r="20" spans="1:18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>
        <f>F18/F19*1000</f>
        <v>644</v>
      </c>
      <c r="G20" s="10">
        <f t="shared" si="1"/>
        <v>644</v>
      </c>
      <c r="H20" s="16">
        <f>H18/H19*1000</f>
        <v>235.75219512195119</v>
      </c>
      <c r="I20" s="8"/>
      <c r="J20" s="58"/>
      <c r="K20" s="10">
        <f t="shared" si="2"/>
        <v>0</v>
      </c>
      <c r="L20" s="16"/>
      <c r="M20" s="110"/>
      <c r="N20" s="111"/>
      <c r="P20">
        <f t="shared" si="0"/>
        <v>943.00878048780476</v>
      </c>
      <c r="Q20" s="44">
        <f>E20+март!I20</f>
        <v>0</v>
      </c>
      <c r="R20" s="30">
        <f>F20+фев!J20</f>
        <v>644</v>
      </c>
    </row>
    <row r="21" spans="1:18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54">
        <v>838.5</v>
      </c>
      <c r="G21" s="10">
        <f t="shared" si="1"/>
        <v>838.5</v>
      </c>
      <c r="H21" s="10">
        <f>D21+март!H21</f>
        <v>3002.92</v>
      </c>
      <c r="I21" s="8"/>
      <c r="J21" s="10">
        <f>F21+март!J21</f>
        <v>3894.22</v>
      </c>
      <c r="K21" s="10">
        <f t="shared" si="2"/>
        <v>3894.22</v>
      </c>
      <c r="L21" s="16"/>
      <c r="M21" s="110"/>
      <c r="N21" s="111"/>
      <c r="P21">
        <f t="shared" si="0"/>
        <v>3002.92</v>
      </c>
      <c r="Q21" s="44">
        <f>E21+март!I21</f>
        <v>0</v>
      </c>
      <c r="R21" s="30">
        <f>F21+фев!J21</f>
        <v>2996.3199999999997</v>
      </c>
    </row>
    <row r="22" spans="1:18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5250</v>
      </c>
      <c r="G22" s="10">
        <f t="shared" si="1"/>
        <v>5250</v>
      </c>
      <c r="H22" s="14">
        <f>D22+март!H22</f>
        <v>23532</v>
      </c>
      <c r="I22" s="8"/>
      <c r="J22" s="14">
        <f>F22+март!J22</f>
        <v>22790</v>
      </c>
      <c r="K22" s="10">
        <f t="shared" si="2"/>
        <v>22790</v>
      </c>
      <c r="L22" s="16"/>
      <c r="M22" s="110"/>
      <c r="N22" s="111"/>
      <c r="P22">
        <f t="shared" si="0"/>
        <v>23532</v>
      </c>
      <c r="Q22" s="44">
        <f>E22+март!I22</f>
        <v>0</v>
      </c>
      <c r="R22" s="30">
        <f>F22+фев!J22</f>
        <v>17540</v>
      </c>
    </row>
    <row r="23" spans="1:18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7">E21/E22*1000</f>
        <v>#DIV/0!</v>
      </c>
      <c r="F23" s="16">
        <f t="shared" si="7"/>
        <v>159.71428571428572</v>
      </c>
      <c r="G23" s="10" t="e">
        <f t="shared" si="1"/>
        <v>#DIV/0!</v>
      </c>
      <c r="H23" s="16">
        <f>H21/H22*1000</f>
        <v>127.61006289308177</v>
      </c>
      <c r="I23" s="8"/>
      <c r="J23" s="13"/>
      <c r="K23" s="10">
        <f t="shared" si="2"/>
        <v>0</v>
      </c>
      <c r="L23" s="16"/>
      <c r="M23" s="110"/>
      <c r="N23" s="111"/>
      <c r="P23">
        <f t="shared" si="0"/>
        <v>510.4402515723271</v>
      </c>
      <c r="Q23" s="44" t="e">
        <f>E23+март!I23</f>
        <v>#DIV/0!</v>
      </c>
      <c r="R23" s="30">
        <f>F23+фев!J23</f>
        <v>159.71428571428572</v>
      </c>
    </row>
    <row r="24" spans="1:18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54">
        <v>207.92</v>
      </c>
      <c r="G24" s="10">
        <f t="shared" si="1"/>
        <v>207.92</v>
      </c>
      <c r="H24" s="10">
        <f>D24+март!H24</f>
        <v>660.02</v>
      </c>
      <c r="I24" s="8"/>
      <c r="J24" s="10">
        <f>F24+март!J24</f>
        <v>415.84</v>
      </c>
      <c r="K24" s="10">
        <f t="shared" si="2"/>
        <v>415.84</v>
      </c>
      <c r="L24" s="16"/>
      <c r="M24" s="110"/>
      <c r="N24" s="111"/>
      <c r="P24">
        <f t="shared" si="0"/>
        <v>660.02</v>
      </c>
      <c r="Q24" s="44">
        <f>E24+март!I24</f>
        <v>0</v>
      </c>
      <c r="R24" s="30">
        <f>F24+фев!J24</f>
        <v>207.92</v>
      </c>
    </row>
    <row r="25" spans="1:18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400</v>
      </c>
      <c r="G25" s="10">
        <f t="shared" si="1"/>
        <v>400</v>
      </c>
      <c r="H25" s="14">
        <f>D25+март!H25</f>
        <v>1004</v>
      </c>
      <c r="I25" s="8"/>
      <c r="J25" s="14">
        <f>F25+март!J25</f>
        <v>800</v>
      </c>
      <c r="K25" s="10">
        <f t="shared" si="2"/>
        <v>800</v>
      </c>
      <c r="L25" s="16"/>
      <c r="M25" s="110"/>
      <c r="N25" s="111"/>
      <c r="P25">
        <f t="shared" si="0"/>
        <v>1004</v>
      </c>
      <c r="Q25" s="44">
        <f>E25+март!I25</f>
        <v>0</v>
      </c>
      <c r="R25" s="30">
        <f>F25+фев!J25</f>
        <v>400</v>
      </c>
    </row>
    <row r="26" spans="1:18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8">E24/E25*1000</f>
        <v>#DIV/0!</v>
      </c>
      <c r="F26" s="16">
        <f t="shared" si="8"/>
        <v>519.79999999999995</v>
      </c>
      <c r="G26" s="10" t="e">
        <f t="shared" si="1"/>
        <v>#DIV/0!</v>
      </c>
      <c r="H26" s="16">
        <f>H24/H25*1000</f>
        <v>657.39043824701196</v>
      </c>
      <c r="I26" s="16"/>
      <c r="J26" s="16">
        <f t="shared" ref="J26" si="9">J24/J25*1000</f>
        <v>519.79999999999995</v>
      </c>
      <c r="K26" s="16"/>
      <c r="L26" s="16"/>
      <c r="M26" s="110"/>
      <c r="N26" s="111"/>
      <c r="P26">
        <f t="shared" si="0"/>
        <v>2629.5617529880478</v>
      </c>
      <c r="Q26" s="44" t="e">
        <f>E26+март!I26</f>
        <v>#DIV/0!</v>
      </c>
      <c r="R26" s="30">
        <f>F26+фев!J26</f>
        <v>519.79999999999995</v>
      </c>
    </row>
    <row r="27" spans="1:18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/>
      <c r="G27" s="10">
        <f t="shared" si="1"/>
        <v>0</v>
      </c>
      <c r="H27" s="10">
        <f>D27+март!H27</f>
        <v>856.62400000000002</v>
      </c>
      <c r="I27" s="8"/>
      <c r="J27" s="10">
        <f>F27+март!J27</f>
        <v>0</v>
      </c>
      <c r="K27" s="10">
        <f t="shared" si="2"/>
        <v>0</v>
      </c>
      <c r="L27" s="16"/>
      <c r="M27" s="110"/>
      <c r="N27" s="111"/>
      <c r="P27">
        <f t="shared" si="0"/>
        <v>856.62400000000002</v>
      </c>
      <c r="Q27" s="44">
        <f>E27+март!I27</f>
        <v>0</v>
      </c>
      <c r="R27" s="30">
        <f>F27+фев!J27</f>
        <v>0</v>
      </c>
    </row>
    <row r="28" spans="1:18" ht="17.25" customHeight="1">
      <c r="A28" s="8"/>
      <c r="B28" s="12" t="s">
        <v>13</v>
      </c>
      <c r="C28" s="13" t="s">
        <v>14</v>
      </c>
      <c r="D28" s="14">
        <v>238</v>
      </c>
      <c r="E28" s="13"/>
      <c r="F28" s="8"/>
      <c r="G28" s="10">
        <f t="shared" si="1"/>
        <v>0</v>
      </c>
      <c r="H28" s="14">
        <f>D28+март!H28</f>
        <v>952</v>
      </c>
      <c r="I28" s="8"/>
      <c r="J28" s="14">
        <f>F28+март!J28</f>
        <v>0</v>
      </c>
      <c r="K28" s="10">
        <f t="shared" si="2"/>
        <v>0</v>
      </c>
      <c r="L28" s="16"/>
      <c r="M28" s="110"/>
      <c r="N28" s="111"/>
      <c r="P28">
        <f t="shared" si="0"/>
        <v>952</v>
      </c>
      <c r="Q28" s="44">
        <f>E28+март!I28</f>
        <v>0</v>
      </c>
      <c r="R28" s="30">
        <f>F28+фев!J28</f>
        <v>0</v>
      </c>
    </row>
    <row r="29" spans="1:18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1"/>
        <v>0</v>
      </c>
      <c r="H29" s="16">
        <f>H27/H28*1000</f>
        <v>899.81512605042019</v>
      </c>
      <c r="I29" s="16"/>
      <c r="J29" s="16" t="e">
        <f t="shared" ref="J29" si="10">J27/J28*1000</f>
        <v>#DIV/0!</v>
      </c>
      <c r="K29" s="10" t="e">
        <f t="shared" si="2"/>
        <v>#DIV/0!</v>
      </c>
      <c r="L29" s="16"/>
      <c r="M29" s="110"/>
      <c r="N29" s="111"/>
      <c r="P29">
        <f t="shared" si="0"/>
        <v>3599.2605042016808</v>
      </c>
      <c r="Q29" s="44">
        <f>E29+март!I29</f>
        <v>0</v>
      </c>
      <c r="R29" s="30">
        <f>F29+фев!J29</f>
        <v>0</v>
      </c>
    </row>
    <row r="30" spans="1:18" ht="17.25" customHeight="1">
      <c r="A30" s="18" t="s">
        <v>26</v>
      </c>
      <c r="B30" s="9" t="s">
        <v>27</v>
      </c>
      <c r="C30" s="8" t="s">
        <v>4</v>
      </c>
      <c r="D30" s="10">
        <f t="shared" ref="D30" si="11">D31+D32+D33+D34</f>
        <v>2406.0839999999998</v>
      </c>
      <c r="E30" s="8">
        <v>762.50099999999998</v>
      </c>
      <c r="F30" s="10">
        <f>F31+F32+F33+F34</f>
        <v>601.69200000000001</v>
      </c>
      <c r="G30" s="10">
        <f t="shared" si="1"/>
        <v>-160.80899999999997</v>
      </c>
      <c r="H30" s="10">
        <f t="shared" ref="H30" si="12">H31+H32+H33+H34</f>
        <v>9624.3359999999993</v>
      </c>
      <c r="I30" s="8">
        <f>E30+март!I30</f>
        <v>3050.0039999999999</v>
      </c>
      <c r="J30" s="10">
        <f t="shared" ref="J30" si="13">J31+J32+J33+J34</f>
        <v>9172.7489999999998</v>
      </c>
      <c r="K30" s="10">
        <f t="shared" si="2"/>
        <v>6122.7449999999999</v>
      </c>
      <c r="L30" s="16">
        <f t="shared" si="3"/>
        <v>200.74547443216466</v>
      </c>
      <c r="M30" s="110"/>
      <c r="N30" s="111"/>
      <c r="P30">
        <f t="shared" si="0"/>
        <v>9624.3359999999993</v>
      </c>
      <c r="Q30" s="44">
        <f>E30+март!I30</f>
        <v>3050.0039999999999</v>
      </c>
      <c r="R30" s="30">
        <f>F30+фев!J30</f>
        <v>8863.6860000000015</v>
      </c>
    </row>
    <row r="31" spans="1:18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55">
        <v>462.95400000000001</v>
      </c>
      <c r="G31" s="10">
        <f t="shared" si="1"/>
        <v>462.95400000000001</v>
      </c>
      <c r="H31" s="10">
        <f>D31+март!H31</f>
        <v>9154.0879999999997</v>
      </c>
      <c r="I31" s="8"/>
      <c r="J31" s="10">
        <f>F31+март!J31</f>
        <v>8773.4349999999995</v>
      </c>
      <c r="K31" s="10">
        <f t="shared" si="2"/>
        <v>8773.4349999999995</v>
      </c>
      <c r="L31" s="16"/>
      <c r="M31" s="110"/>
      <c r="N31" s="111"/>
      <c r="P31">
        <f t="shared" si="0"/>
        <v>9154.0879999999997</v>
      </c>
      <c r="Q31" s="44">
        <f>E31+март!I31</f>
        <v>0</v>
      </c>
      <c r="R31" s="30">
        <f>F31+фев!J31</f>
        <v>8515.9320000000007</v>
      </c>
    </row>
    <row r="32" spans="1:18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54">
        <v>118.22799999999999</v>
      </c>
      <c r="G32" s="10">
        <f t="shared" si="1"/>
        <v>118.22799999999999</v>
      </c>
      <c r="H32" s="10">
        <f>D32+март!H32</f>
        <v>241.34800000000001</v>
      </c>
      <c r="I32" s="8"/>
      <c r="J32" s="10">
        <f>F32+март!J32</f>
        <v>268.02999999999997</v>
      </c>
      <c r="K32" s="10">
        <f t="shared" si="2"/>
        <v>268.02999999999997</v>
      </c>
      <c r="L32" s="16"/>
      <c r="M32" s="112" t="s">
        <v>285</v>
      </c>
      <c r="N32" s="113"/>
      <c r="P32">
        <f t="shared" si="0"/>
        <v>241.34800000000001</v>
      </c>
      <c r="Q32" s="44">
        <f>E32+март!I32</f>
        <v>0</v>
      </c>
      <c r="R32" s="30">
        <f>F32+фев!J32</f>
        <v>248.38799999999998</v>
      </c>
    </row>
    <row r="33" spans="1:18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55">
        <v>14.436999999999999</v>
      </c>
      <c r="G33" s="10">
        <f t="shared" si="1"/>
        <v>14.436999999999999</v>
      </c>
      <c r="H33" s="10">
        <f>D33+март!H33</f>
        <v>78.947999999999993</v>
      </c>
      <c r="I33" s="8"/>
      <c r="J33" s="10">
        <f>F33+март!J33</f>
        <v>49.525999999999996</v>
      </c>
      <c r="K33" s="10">
        <f t="shared" si="2"/>
        <v>49.525999999999996</v>
      </c>
      <c r="L33" s="16"/>
      <c r="M33" s="110"/>
      <c r="N33" s="111"/>
      <c r="P33">
        <f t="shared" si="0"/>
        <v>78.947999999999993</v>
      </c>
      <c r="Q33" s="44">
        <f>E33+март!I33</f>
        <v>0</v>
      </c>
      <c r="R33" s="30">
        <f>F33+фев!J33</f>
        <v>30.158999999999999</v>
      </c>
    </row>
    <row r="34" spans="1:18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55">
        <v>6.0730000000000004</v>
      </c>
      <c r="G34" s="10">
        <f t="shared" si="1"/>
        <v>6.0730000000000004</v>
      </c>
      <c r="H34" s="10">
        <f>D34+март!H34</f>
        <v>149.952</v>
      </c>
      <c r="I34" s="8"/>
      <c r="J34" s="10">
        <f>F34+март!J34</f>
        <v>81.75800000000001</v>
      </c>
      <c r="K34" s="10">
        <f t="shared" si="2"/>
        <v>81.75800000000001</v>
      </c>
      <c r="L34" s="16"/>
      <c r="M34" s="110"/>
      <c r="N34" s="111"/>
      <c r="P34">
        <f t="shared" si="0"/>
        <v>149.952</v>
      </c>
      <c r="Q34" s="44">
        <f>E34+март!I34</f>
        <v>0</v>
      </c>
      <c r="R34" s="30">
        <f>F34+фев!J34</f>
        <v>69.206999999999994</v>
      </c>
    </row>
    <row r="35" spans="1:18" ht="17.25" customHeight="1">
      <c r="A35" s="18" t="s">
        <v>36</v>
      </c>
      <c r="B35" s="9" t="s">
        <v>37</v>
      </c>
      <c r="C35" s="8" t="s">
        <v>4</v>
      </c>
      <c r="D35" s="10">
        <f t="shared" ref="D35:J35" si="14">D36</f>
        <v>162.715</v>
      </c>
      <c r="E35" s="10">
        <f t="shared" si="14"/>
        <v>162.75</v>
      </c>
      <c r="F35" s="10">
        <f t="shared" si="14"/>
        <v>78.372</v>
      </c>
      <c r="G35" s="10">
        <f t="shared" si="1"/>
        <v>-84.378</v>
      </c>
      <c r="H35" s="10">
        <f t="shared" si="14"/>
        <v>650.86</v>
      </c>
      <c r="I35" s="10">
        <f t="shared" si="14"/>
        <v>651</v>
      </c>
      <c r="J35" s="10">
        <f t="shared" si="14"/>
        <v>1783.548</v>
      </c>
      <c r="K35" s="10">
        <f t="shared" si="2"/>
        <v>1132.548</v>
      </c>
      <c r="L35" s="16">
        <f t="shared" si="3"/>
        <v>173.9705069124424</v>
      </c>
      <c r="M35" s="110"/>
      <c r="N35" s="111"/>
      <c r="P35">
        <f t="shared" si="0"/>
        <v>650.86</v>
      </c>
      <c r="Q35" s="44">
        <f>E35+март!I35</f>
        <v>651</v>
      </c>
      <c r="R35" s="30">
        <f>F35+фев!J35</f>
        <v>1434.7840000000001</v>
      </c>
    </row>
    <row r="36" spans="1:18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54">
        <v>78.372</v>
      </c>
      <c r="G36" s="10">
        <f t="shared" si="1"/>
        <v>-84.378</v>
      </c>
      <c r="H36" s="10">
        <f>D36+март!H36</f>
        <v>650.86</v>
      </c>
      <c r="I36" s="10">
        <f>E36+март!I36</f>
        <v>651</v>
      </c>
      <c r="J36" s="10">
        <f>F36+март!J36</f>
        <v>1783.548</v>
      </c>
      <c r="K36" s="10">
        <f t="shared" si="2"/>
        <v>1132.548</v>
      </c>
      <c r="L36" s="16">
        <f t="shared" si="3"/>
        <v>173.9705069124424</v>
      </c>
      <c r="M36" s="110"/>
      <c r="N36" s="111"/>
      <c r="P36">
        <f t="shared" si="0"/>
        <v>650.86</v>
      </c>
      <c r="Q36" s="44">
        <f>E36+март!I36</f>
        <v>651</v>
      </c>
      <c r="R36" s="30">
        <f>F36+фев!J36</f>
        <v>1434.7840000000001</v>
      </c>
    </row>
    <row r="37" spans="1:18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2457.3290000000002</v>
      </c>
      <c r="G37" s="10">
        <f t="shared" si="1"/>
        <v>524.24600000000009</v>
      </c>
      <c r="H37" s="10">
        <f>H38+H41+H48+H51</f>
        <v>6453.5639999999994</v>
      </c>
      <c r="I37" s="8">
        <f>E37+март!I37</f>
        <v>7732.3320000000003</v>
      </c>
      <c r="J37" s="10">
        <f>J38+J41+J48+J51</f>
        <v>10051.732</v>
      </c>
      <c r="K37" s="10">
        <f t="shared" si="2"/>
        <v>2319.3999999999996</v>
      </c>
      <c r="L37" s="16">
        <f t="shared" si="3"/>
        <v>29.99612536036993</v>
      </c>
      <c r="M37" s="110"/>
      <c r="N37" s="111"/>
      <c r="P37">
        <f t="shared" si="0"/>
        <v>6453.5639999999994</v>
      </c>
      <c r="Q37" s="44">
        <f>E37+март!I37</f>
        <v>7732.3320000000003</v>
      </c>
      <c r="R37" s="30">
        <f>F37+фев!J37</f>
        <v>7864.1490000000013</v>
      </c>
    </row>
    <row r="38" spans="1:18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55">
        <v>1220.296</v>
      </c>
      <c r="G38" s="10">
        <f t="shared" si="1"/>
        <v>512.96300000000008</v>
      </c>
      <c r="H38" s="10">
        <f>D38+март!H38</f>
        <v>2829.3</v>
      </c>
      <c r="I38" s="8">
        <f>E38+март!I38</f>
        <v>2829.3319999999999</v>
      </c>
      <c r="J38" s="10">
        <f>F38+март!J38</f>
        <v>5547.366</v>
      </c>
      <c r="K38" s="10">
        <f t="shared" si="2"/>
        <v>2718.0340000000001</v>
      </c>
      <c r="L38" s="16">
        <f t="shared" si="3"/>
        <v>96.066279955834105</v>
      </c>
      <c r="M38" s="110"/>
      <c r="N38" s="111"/>
      <c r="P38">
        <f t="shared" si="0"/>
        <v>2829.3</v>
      </c>
      <c r="Q38" s="44">
        <f>E38+март!I38</f>
        <v>2829.3319999999999</v>
      </c>
      <c r="R38" s="30">
        <f>F38+фев!J38</f>
        <v>4445.3640000000005</v>
      </c>
    </row>
    <row r="39" spans="1:18" ht="17.25" customHeight="1">
      <c r="A39" s="8"/>
      <c r="B39" s="12" t="s">
        <v>13</v>
      </c>
      <c r="C39" s="13" t="s">
        <v>44</v>
      </c>
      <c r="D39" s="14">
        <v>87</v>
      </c>
      <c r="E39" s="13"/>
      <c r="F39" s="55">
        <v>196</v>
      </c>
      <c r="G39" s="10">
        <f t="shared" si="1"/>
        <v>196</v>
      </c>
      <c r="H39" s="14">
        <f>D39+март!H39</f>
        <v>348</v>
      </c>
      <c r="I39" s="8"/>
      <c r="J39" s="14">
        <f>F39+март!J39</f>
        <v>891</v>
      </c>
      <c r="K39" s="10">
        <f t="shared" si="2"/>
        <v>891</v>
      </c>
      <c r="L39" s="16"/>
      <c r="M39" s="110"/>
      <c r="N39" s="111"/>
      <c r="P39">
        <f t="shared" si="0"/>
        <v>348</v>
      </c>
      <c r="Q39" s="44">
        <f>E39+март!I39</f>
        <v>0</v>
      </c>
      <c r="R39" s="30">
        <f>F39+фев!J39</f>
        <v>714</v>
      </c>
    </row>
    <row r="40" spans="1:18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5">F38/F39*1000</f>
        <v>6226</v>
      </c>
      <c r="G40" s="10">
        <f t="shared" si="1"/>
        <v>6226</v>
      </c>
      <c r="H40" s="16">
        <f>H38/H39*1000</f>
        <v>8130.1724137931051</v>
      </c>
      <c r="I40" s="16"/>
      <c r="J40" s="16">
        <f t="shared" ref="J40" si="16">J38/J39*1000</f>
        <v>6226</v>
      </c>
      <c r="K40" s="10">
        <f t="shared" si="2"/>
        <v>6226</v>
      </c>
      <c r="L40" s="16"/>
      <c r="M40" s="110"/>
      <c r="N40" s="111"/>
      <c r="P40">
        <f t="shared" si="0"/>
        <v>32520.68965517242</v>
      </c>
      <c r="Q40" s="44">
        <f>E40+март!I40</f>
        <v>0</v>
      </c>
      <c r="R40" s="30">
        <f>F40+фев!J40</f>
        <v>12452</v>
      </c>
    </row>
    <row r="41" spans="1:18" ht="17.25" customHeight="1">
      <c r="A41" s="18" t="s">
        <v>45</v>
      </c>
      <c r="B41" s="9" t="s">
        <v>46</v>
      </c>
      <c r="C41" s="8" t="s">
        <v>4</v>
      </c>
      <c r="D41" s="10">
        <f t="shared" ref="D41:F41" si="17">D42+D45</f>
        <v>315.00200000000001</v>
      </c>
      <c r="E41" s="10">
        <f t="shared" si="17"/>
        <v>0</v>
      </c>
      <c r="F41" s="10">
        <f t="shared" si="17"/>
        <v>296.67</v>
      </c>
      <c r="G41" s="10">
        <f t="shared" si="1"/>
        <v>296.67</v>
      </c>
      <c r="H41" s="10">
        <f t="shared" ref="H41:J41" si="18">H42+H45</f>
        <v>1260.008</v>
      </c>
      <c r="I41" s="10">
        <f t="shared" si="18"/>
        <v>0</v>
      </c>
      <c r="J41" s="10">
        <f t="shared" si="18"/>
        <v>1437.058</v>
      </c>
      <c r="K41" s="10">
        <f t="shared" si="2"/>
        <v>1437.058</v>
      </c>
      <c r="L41" s="16"/>
      <c r="M41" s="110"/>
      <c r="N41" s="111"/>
      <c r="P41">
        <f t="shared" si="0"/>
        <v>1260.008</v>
      </c>
      <c r="Q41" s="44">
        <f>E41+март!I41</f>
        <v>0</v>
      </c>
      <c r="R41" s="30">
        <f>F41+фев!J41</f>
        <v>1117.27</v>
      </c>
    </row>
    <row r="42" spans="1:18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f>D42+март!H42</f>
        <v>609.19200000000001</v>
      </c>
      <c r="I42" s="8"/>
      <c r="J42" s="10">
        <f>F42+март!J42</f>
        <v>0</v>
      </c>
      <c r="K42" s="10">
        <f t="shared" si="2"/>
        <v>0</v>
      </c>
      <c r="L42" s="16"/>
      <c r="M42" s="123" t="s">
        <v>286</v>
      </c>
      <c r="N42" s="124"/>
      <c r="P42">
        <f t="shared" si="0"/>
        <v>609.19200000000001</v>
      </c>
      <c r="Q42" s="44">
        <f>E42+март!I42</f>
        <v>0</v>
      </c>
      <c r="R42" s="30">
        <f>F42+фев!J42</f>
        <v>0</v>
      </c>
    </row>
    <row r="43" spans="1:18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1"/>
        <v>0</v>
      </c>
      <c r="H43" s="14">
        <f>D43+март!H43</f>
        <v>7668</v>
      </c>
      <c r="I43" s="8"/>
      <c r="J43" s="14">
        <f>F43+март!J43</f>
        <v>0</v>
      </c>
      <c r="K43" s="10">
        <f t="shared" si="2"/>
        <v>0</v>
      </c>
      <c r="L43" s="16"/>
      <c r="M43" s="125"/>
      <c r="N43" s="126"/>
      <c r="P43">
        <f t="shared" si="0"/>
        <v>7668</v>
      </c>
      <c r="Q43" s="44">
        <f>E43+март!I43</f>
        <v>0</v>
      </c>
      <c r="R43" s="30">
        <f>F43+фев!J43</f>
        <v>0</v>
      </c>
    </row>
    <row r="44" spans="1:18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1"/>
        <v>0</v>
      </c>
      <c r="H44" s="16">
        <f>H42/H43*1000</f>
        <v>79.44600938967136</v>
      </c>
      <c r="I44" s="16"/>
      <c r="J44" s="16" t="e">
        <f t="shared" ref="J44" si="19">J42/J43*1000</f>
        <v>#DIV/0!</v>
      </c>
      <c r="K44" s="10" t="e">
        <f t="shared" si="2"/>
        <v>#DIV/0!</v>
      </c>
      <c r="L44" s="16"/>
      <c r="M44" s="110"/>
      <c r="N44" s="111"/>
      <c r="P44">
        <f t="shared" si="0"/>
        <v>317.78403755868544</v>
      </c>
      <c r="Q44" s="44">
        <f>E44+март!I44</f>
        <v>0</v>
      </c>
      <c r="R44" s="30">
        <f>F44+фев!J44</f>
        <v>0</v>
      </c>
    </row>
    <row r="45" spans="1:18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54">
        <v>296.67</v>
      </c>
      <c r="G45" s="10">
        <f t="shared" si="1"/>
        <v>296.67</v>
      </c>
      <c r="H45" s="10">
        <f>D45+март!H45</f>
        <v>650.81600000000003</v>
      </c>
      <c r="I45" s="10">
        <f>E45+март!I45</f>
        <v>0</v>
      </c>
      <c r="J45" s="10">
        <f>F45+март!J45</f>
        <v>1437.058</v>
      </c>
      <c r="K45" s="10">
        <f t="shared" si="2"/>
        <v>1437.058</v>
      </c>
      <c r="L45" s="16"/>
      <c r="M45" s="110"/>
      <c r="N45" s="111"/>
      <c r="P45">
        <f t="shared" si="0"/>
        <v>650.81600000000003</v>
      </c>
      <c r="Q45" s="44">
        <f>E45+март!I45</f>
        <v>0</v>
      </c>
      <c r="R45" s="30">
        <f>F45+фев!J45</f>
        <v>1117.27</v>
      </c>
    </row>
    <row r="46" spans="1:18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2096</v>
      </c>
      <c r="G46" s="10">
        <f t="shared" si="1"/>
        <v>2096</v>
      </c>
      <c r="H46" s="14">
        <f>D46+март!H46</f>
        <v>5668</v>
      </c>
      <c r="I46" s="8"/>
      <c r="J46" s="14">
        <f>F46+март!J46</f>
        <v>10122</v>
      </c>
      <c r="K46" s="10">
        <f t="shared" si="2"/>
        <v>10122</v>
      </c>
      <c r="L46" s="16"/>
      <c r="M46" s="110"/>
      <c r="N46" s="111"/>
      <c r="P46">
        <f t="shared" si="0"/>
        <v>5668</v>
      </c>
      <c r="Q46" s="44">
        <f>E46+март!I46</f>
        <v>0</v>
      </c>
      <c r="R46" s="30">
        <f>F46+фев!J46</f>
        <v>7799</v>
      </c>
    </row>
    <row r="47" spans="1:18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141.54103053435117</v>
      </c>
      <c r="G47" s="10">
        <f t="shared" si="1"/>
        <v>141.54103053435117</v>
      </c>
      <c r="H47" s="16">
        <f>H45/H46*1000</f>
        <v>114.82286520818631</v>
      </c>
      <c r="I47" s="16"/>
      <c r="J47" s="16">
        <f t="shared" ref="J47" si="21">J45/J46*1000</f>
        <v>141.97372060857538</v>
      </c>
      <c r="K47" s="10">
        <f t="shared" si="2"/>
        <v>141.97372060857538</v>
      </c>
      <c r="L47" s="16"/>
      <c r="M47" s="110"/>
      <c r="N47" s="111"/>
      <c r="P47">
        <f t="shared" si="0"/>
        <v>459.29146083274526</v>
      </c>
      <c r="Q47" s="44">
        <f>E47+март!I47</f>
        <v>0</v>
      </c>
      <c r="R47" s="30">
        <f>F47+фев!J47</f>
        <v>141.54103053435117</v>
      </c>
    </row>
    <row r="48" spans="1:18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55">
        <f>82.69+748.374</f>
        <v>831.06400000000008</v>
      </c>
      <c r="G48" s="10">
        <f t="shared" si="1"/>
        <v>831.06400000000008</v>
      </c>
      <c r="H48" s="10">
        <f>D48+март!H48</f>
        <v>2062.4319999999998</v>
      </c>
      <c r="I48" s="8"/>
      <c r="J48" s="10">
        <f>F48+март!J48</f>
        <v>2946.1590000000006</v>
      </c>
      <c r="K48" s="10">
        <f t="shared" si="2"/>
        <v>2946.1590000000006</v>
      </c>
      <c r="L48" s="16"/>
      <c r="M48" s="110"/>
      <c r="N48" s="111"/>
      <c r="P48">
        <f t="shared" si="0"/>
        <v>2062.4319999999998</v>
      </c>
      <c r="Q48" s="44">
        <f>E48+март!I48</f>
        <v>0</v>
      </c>
      <c r="R48" s="30">
        <f>F48+фев!J48</f>
        <v>2180.9560000000001</v>
      </c>
    </row>
    <row r="49" spans="1:18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f>5115+432</f>
        <v>5547</v>
      </c>
      <c r="G49" s="10">
        <f t="shared" si="1"/>
        <v>5547</v>
      </c>
      <c r="H49" s="14">
        <f>D49+март!H49</f>
        <v>23332</v>
      </c>
      <c r="I49" s="8"/>
      <c r="J49" s="14">
        <f>F49+март!J49</f>
        <v>18323</v>
      </c>
      <c r="K49" s="10">
        <f t="shared" si="2"/>
        <v>18323</v>
      </c>
      <c r="L49" s="16"/>
      <c r="M49" s="110"/>
      <c r="N49" s="111"/>
      <c r="P49">
        <f t="shared" si="0"/>
        <v>23332</v>
      </c>
      <c r="Q49" s="44">
        <f>E49+март!I49</f>
        <v>0</v>
      </c>
      <c r="R49" s="30">
        <f>F49+фев!J49</f>
        <v>14046</v>
      </c>
    </row>
    <row r="50" spans="1:18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149.82224625923922</v>
      </c>
      <c r="G50" s="10">
        <f t="shared" si="1"/>
        <v>149.82224625923922</v>
      </c>
      <c r="H50" s="16">
        <f>H48/H49*1000</f>
        <v>88.394993999657117</v>
      </c>
      <c r="I50" s="16"/>
      <c r="J50" s="16">
        <f t="shared" ref="J50" si="23">J48/J49*1000</f>
        <v>160.7902090269061</v>
      </c>
      <c r="K50" s="10">
        <f t="shared" si="2"/>
        <v>160.7902090269061</v>
      </c>
      <c r="L50" s="16"/>
      <c r="M50" s="110"/>
      <c r="N50" s="111"/>
      <c r="P50">
        <f t="shared" si="0"/>
        <v>353.57997599862847</v>
      </c>
      <c r="Q50" s="44">
        <f>E50+март!I50</f>
        <v>0</v>
      </c>
      <c r="R50" s="30">
        <f>F50+фев!J50</f>
        <v>149.82224625923922</v>
      </c>
    </row>
    <row r="51" spans="1:18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109.29900000000001</v>
      </c>
      <c r="G51" s="10">
        <f t="shared" si="1"/>
        <v>109.29900000000001</v>
      </c>
      <c r="H51" s="10">
        <f t="shared" ref="H51:H52" si="25">H54+H57+H60+H63+H66+H69</f>
        <v>301.82400000000001</v>
      </c>
      <c r="I51" s="10"/>
      <c r="J51" s="10">
        <f t="shared" ref="J51:J52" si="26">J54+J57+J60+J63+J66+J69</f>
        <v>121.149</v>
      </c>
      <c r="K51" s="10">
        <f t="shared" si="2"/>
        <v>121.149</v>
      </c>
      <c r="L51" s="16"/>
      <c r="M51" s="110"/>
      <c r="N51" s="111"/>
      <c r="P51">
        <f t="shared" si="0"/>
        <v>301.82400000000001</v>
      </c>
      <c r="Q51" s="44">
        <f>E51+март!I51</f>
        <v>0</v>
      </c>
      <c r="R51" s="30">
        <f>F51+фев!J51</f>
        <v>120.55900000000001</v>
      </c>
    </row>
    <row r="52" spans="1:18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14">
        <f t="shared" si="24"/>
        <v>199</v>
      </c>
      <c r="G52" s="10">
        <f t="shared" si="1"/>
        <v>199</v>
      </c>
      <c r="H52" s="14">
        <f t="shared" si="25"/>
        <v>708</v>
      </c>
      <c r="I52" s="8"/>
      <c r="J52" s="14">
        <f t="shared" si="26"/>
        <v>219.07499999999999</v>
      </c>
      <c r="K52" s="10">
        <f t="shared" si="2"/>
        <v>219.07499999999999</v>
      </c>
      <c r="L52" s="16"/>
      <c r="M52" s="110"/>
      <c r="N52" s="111"/>
      <c r="P52">
        <f t="shared" si="0"/>
        <v>708</v>
      </c>
      <c r="Q52" s="44">
        <f>E52+март!I52</f>
        <v>0</v>
      </c>
      <c r="R52" s="30">
        <f>F52+фев!J52</f>
        <v>199</v>
      </c>
    </row>
    <row r="53" spans="1:18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27">F51/F52*1000</f>
        <v>549.24120603015081</v>
      </c>
      <c r="G53" s="10">
        <f t="shared" si="1"/>
        <v>549.24120603015081</v>
      </c>
      <c r="H53" s="16">
        <f>H51/H52*1000</f>
        <v>426.30508474576271</v>
      </c>
      <c r="I53" s="16"/>
      <c r="J53" s="16">
        <f t="shared" ref="J53" si="28">J51/J52*1000</f>
        <v>553.00239643957548</v>
      </c>
      <c r="K53" s="10">
        <f t="shared" si="2"/>
        <v>553.00239643957548</v>
      </c>
      <c r="L53" s="16"/>
      <c r="M53" s="110"/>
      <c r="N53" s="111"/>
      <c r="P53">
        <f t="shared" si="0"/>
        <v>1705.2203389830509</v>
      </c>
      <c r="Q53" s="44">
        <f>E53+март!I53</f>
        <v>0</v>
      </c>
      <c r="R53" s="30">
        <f>F53+фев!J53</f>
        <v>549.24120603015081</v>
      </c>
    </row>
    <row r="54" spans="1:18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55">
        <v>2.3439999999999999</v>
      </c>
      <c r="G54" s="10">
        <f t="shared" si="1"/>
        <v>2.3439999999999999</v>
      </c>
      <c r="H54" s="10">
        <f>D54+март!H54</f>
        <v>31.231999999999999</v>
      </c>
      <c r="I54" s="8"/>
      <c r="J54" s="10">
        <f>F54+март!J54</f>
        <v>13.603999999999999</v>
      </c>
      <c r="K54" s="10">
        <f t="shared" si="2"/>
        <v>13.603999999999999</v>
      </c>
      <c r="L54" s="16"/>
      <c r="M54" s="110"/>
      <c r="N54" s="111"/>
      <c r="P54">
        <f t="shared" si="0"/>
        <v>31.231999999999999</v>
      </c>
      <c r="Q54" s="44">
        <f>E54+март!I54</f>
        <v>0</v>
      </c>
      <c r="R54" s="30">
        <f>F54+фев!J54</f>
        <v>13.603999999999999</v>
      </c>
    </row>
    <row r="55" spans="1:18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5</v>
      </c>
      <c r="G55" s="10">
        <f t="shared" si="1"/>
        <v>5</v>
      </c>
      <c r="H55" s="14">
        <f>D55+март!H55</f>
        <v>124</v>
      </c>
      <c r="I55" s="8"/>
      <c r="J55" s="14">
        <f>F55+март!J55</f>
        <v>25</v>
      </c>
      <c r="K55" s="10">
        <f t="shared" si="2"/>
        <v>25</v>
      </c>
      <c r="L55" s="16"/>
      <c r="M55" s="110"/>
      <c r="N55" s="111"/>
      <c r="P55">
        <f t="shared" si="0"/>
        <v>124</v>
      </c>
      <c r="Q55" s="44">
        <f>E55+март!I55</f>
        <v>0</v>
      </c>
      <c r="R55" s="30">
        <f>F55+фев!J55</f>
        <v>25</v>
      </c>
    </row>
    <row r="56" spans="1:18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9">F54/F55*1000</f>
        <v>468.8</v>
      </c>
      <c r="G56" s="10">
        <f t="shared" si="1"/>
        <v>468.8</v>
      </c>
      <c r="H56" s="16">
        <f>H54/H55*1000</f>
        <v>251.87096774193546</v>
      </c>
      <c r="I56" s="16"/>
      <c r="J56" s="16">
        <f t="shared" ref="J56" si="30">J54/J55*1000</f>
        <v>544.16</v>
      </c>
      <c r="K56" s="10">
        <f t="shared" si="2"/>
        <v>544.16</v>
      </c>
      <c r="L56" s="16"/>
      <c r="M56" s="110"/>
      <c r="N56" s="111"/>
      <c r="P56">
        <f t="shared" si="0"/>
        <v>1007.4838709677418</v>
      </c>
      <c r="Q56" s="44">
        <f>E56+март!I56</f>
        <v>0</v>
      </c>
      <c r="R56" s="30">
        <f>F56+фев!J56</f>
        <v>468.8</v>
      </c>
    </row>
    <row r="57" spans="1:18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f>D57+март!H57</f>
        <v>55.84</v>
      </c>
      <c r="I57" s="8"/>
      <c r="J57" s="10">
        <f>F57+март!J57</f>
        <v>0</v>
      </c>
      <c r="K57" s="10">
        <f t="shared" si="2"/>
        <v>0</v>
      </c>
      <c r="L57" s="16"/>
      <c r="M57" s="123" t="s">
        <v>291</v>
      </c>
      <c r="N57" s="124"/>
      <c r="P57">
        <f t="shared" si="0"/>
        <v>55.84</v>
      </c>
      <c r="Q57" s="44">
        <f>E57+март!I57</f>
        <v>0</v>
      </c>
      <c r="R57" s="30">
        <f>F57+фев!J57</f>
        <v>0</v>
      </c>
    </row>
    <row r="58" spans="1:18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1"/>
        <v>0</v>
      </c>
      <c r="H58" s="14">
        <f>D58+март!H58</f>
        <v>132</v>
      </c>
      <c r="I58" s="8"/>
      <c r="J58" s="14">
        <f>F58+март!J58</f>
        <v>0</v>
      </c>
      <c r="K58" s="10">
        <f t="shared" si="2"/>
        <v>0</v>
      </c>
      <c r="L58" s="16"/>
      <c r="M58" s="125"/>
      <c r="N58" s="126"/>
      <c r="P58">
        <f t="shared" si="0"/>
        <v>132</v>
      </c>
      <c r="Q58" s="44">
        <f>E58+март!I58</f>
        <v>0</v>
      </c>
      <c r="R58" s="30">
        <f>F58+фев!J58</f>
        <v>0</v>
      </c>
    </row>
    <row r="59" spans="1:18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1"/>
        <v>0</v>
      </c>
      <c r="H59" s="16">
        <f>H57/H58*1000</f>
        <v>423.03030303030306</v>
      </c>
      <c r="I59" s="8"/>
      <c r="J59" s="13"/>
      <c r="K59" s="10">
        <f t="shared" si="2"/>
        <v>0</v>
      </c>
      <c r="L59" s="16"/>
      <c r="M59" s="110"/>
      <c r="N59" s="111"/>
      <c r="P59">
        <f t="shared" si="0"/>
        <v>1692.1212121212122</v>
      </c>
      <c r="Q59" s="44">
        <f>E59+март!I59</f>
        <v>0</v>
      </c>
      <c r="R59" s="30">
        <f>F59+фев!J59</f>
        <v>0</v>
      </c>
    </row>
    <row r="60" spans="1:18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55">
        <v>57.375</v>
      </c>
      <c r="G60" s="10">
        <f t="shared" si="1"/>
        <v>57.375</v>
      </c>
      <c r="H60" s="10">
        <f>D60+март!H60</f>
        <v>114.34</v>
      </c>
      <c r="I60" s="8"/>
      <c r="J60" s="10">
        <f>F60+март!J60</f>
        <v>57.375</v>
      </c>
      <c r="K60" s="10">
        <f t="shared" si="2"/>
        <v>57.375</v>
      </c>
      <c r="L60" s="16"/>
      <c r="M60" s="123" t="s">
        <v>291</v>
      </c>
      <c r="N60" s="124"/>
      <c r="P60">
        <f t="shared" si="0"/>
        <v>114.34</v>
      </c>
      <c r="Q60" s="44">
        <f>E60+март!I60</f>
        <v>0</v>
      </c>
      <c r="R60" s="30">
        <f>F60+фев!J60</f>
        <v>57.375</v>
      </c>
    </row>
    <row r="61" spans="1:18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108</v>
      </c>
      <c r="G61" s="10">
        <f t="shared" si="1"/>
        <v>108</v>
      </c>
      <c r="H61" s="14">
        <f>D61+март!H61</f>
        <v>280</v>
      </c>
      <c r="I61" s="8"/>
      <c r="J61" s="14">
        <f>F61+март!J61</f>
        <v>108</v>
      </c>
      <c r="K61" s="10">
        <f t="shared" si="2"/>
        <v>108</v>
      </c>
      <c r="L61" s="16"/>
      <c r="M61" s="125"/>
      <c r="N61" s="126"/>
      <c r="P61">
        <f t="shared" si="0"/>
        <v>280</v>
      </c>
      <c r="Q61" s="44">
        <f>E61+март!I61</f>
        <v>0</v>
      </c>
      <c r="R61" s="30">
        <f>F61+фев!J61</f>
        <v>108</v>
      </c>
    </row>
    <row r="62" spans="1:18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1">F60/F61*1000</f>
        <v>531.25</v>
      </c>
      <c r="G62" s="10">
        <f t="shared" si="1"/>
        <v>531.25</v>
      </c>
      <c r="H62" s="16">
        <f>H60/H61*1000</f>
        <v>408.35714285714289</v>
      </c>
      <c r="I62" s="16"/>
      <c r="J62" s="16">
        <f t="shared" ref="J62" si="32">J60/J61*1000</f>
        <v>531.25</v>
      </c>
      <c r="K62" s="10">
        <f t="shared" si="2"/>
        <v>531.25</v>
      </c>
      <c r="L62" s="16"/>
      <c r="M62" s="110"/>
      <c r="N62" s="111"/>
      <c r="P62">
        <f t="shared" si="0"/>
        <v>1633.4285714285716</v>
      </c>
      <c r="Q62" s="44">
        <f>E62+март!I62</f>
        <v>0</v>
      </c>
      <c r="R62" s="30">
        <f>F62+фев!J62</f>
        <v>531.25</v>
      </c>
    </row>
    <row r="63" spans="1:18" ht="17.25" customHeight="1">
      <c r="A63" s="8"/>
      <c r="B63" s="20" t="s">
        <v>220</v>
      </c>
      <c r="C63" s="8" t="s">
        <v>4</v>
      </c>
      <c r="D63" s="10">
        <v>12.234</v>
      </c>
      <c r="E63" s="8"/>
      <c r="F63" s="54">
        <v>8.66</v>
      </c>
      <c r="G63" s="10">
        <f t="shared" si="1"/>
        <v>8.66</v>
      </c>
      <c r="H63" s="10">
        <f>D63+март!H63</f>
        <v>48.936</v>
      </c>
      <c r="I63" s="8"/>
      <c r="J63" s="10">
        <f>F63+март!J63</f>
        <v>8.66</v>
      </c>
      <c r="K63" s="10">
        <f t="shared" si="2"/>
        <v>8.66</v>
      </c>
      <c r="L63" s="16"/>
      <c r="M63" s="110"/>
      <c r="N63" s="111"/>
      <c r="P63">
        <f t="shared" si="0"/>
        <v>48.936</v>
      </c>
      <c r="Q63" s="44">
        <f>E63+март!I63</f>
        <v>0</v>
      </c>
      <c r="R63" s="30">
        <f>F63+фев!J63</f>
        <v>8.66</v>
      </c>
    </row>
    <row r="64" spans="1:18" ht="17.25" customHeight="1">
      <c r="A64" s="8"/>
      <c r="B64" s="12" t="s">
        <v>13</v>
      </c>
      <c r="C64" s="13" t="s">
        <v>49</v>
      </c>
      <c r="D64" s="14">
        <v>23</v>
      </c>
      <c r="E64" s="13"/>
      <c r="F64" s="8">
        <v>20</v>
      </c>
      <c r="G64" s="10">
        <f t="shared" si="1"/>
        <v>20</v>
      </c>
      <c r="H64" s="14">
        <f>D64+март!H64</f>
        <v>92</v>
      </c>
      <c r="I64" s="8"/>
      <c r="J64" s="14">
        <f>F64+март!J64</f>
        <v>20</v>
      </c>
      <c r="K64" s="10">
        <f t="shared" si="2"/>
        <v>20</v>
      </c>
      <c r="L64" s="16"/>
      <c r="M64" s="110"/>
      <c r="N64" s="111"/>
      <c r="P64">
        <f t="shared" si="0"/>
        <v>92</v>
      </c>
      <c r="Q64" s="44">
        <f>E64+март!I64</f>
        <v>0</v>
      </c>
      <c r="R64" s="30">
        <f>F64+фев!J64</f>
        <v>20</v>
      </c>
    </row>
    <row r="65" spans="1:18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>
        <f t="shared" ref="F65" si="33">F63/F64*1000</f>
        <v>433</v>
      </c>
      <c r="G65" s="10">
        <f t="shared" si="1"/>
        <v>433</v>
      </c>
      <c r="H65" s="16">
        <f>H63/H64*1000</f>
        <v>531.91304347826087</v>
      </c>
      <c r="I65" s="16"/>
      <c r="J65" s="16">
        <f t="shared" ref="J65" si="34">J63/J64*1000</f>
        <v>433</v>
      </c>
      <c r="K65" s="10">
        <f t="shared" si="2"/>
        <v>433</v>
      </c>
      <c r="L65" s="16"/>
      <c r="M65" s="110"/>
      <c r="N65" s="111"/>
      <c r="P65">
        <f t="shared" si="0"/>
        <v>2127.6521739130435</v>
      </c>
      <c r="Q65" s="44">
        <f>E65+март!I65</f>
        <v>0</v>
      </c>
      <c r="R65" s="30">
        <f>F65+фев!J65</f>
        <v>433</v>
      </c>
    </row>
    <row r="66" spans="1:18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f>D66+март!H66</f>
        <v>11.444000000000001</v>
      </c>
      <c r="I66" s="8"/>
      <c r="J66" s="10">
        <f>F66+март!J66</f>
        <v>0</v>
      </c>
      <c r="K66" s="10">
        <f t="shared" si="2"/>
        <v>0</v>
      </c>
      <c r="L66" s="16"/>
      <c r="M66" s="110"/>
      <c r="N66" s="111"/>
      <c r="P66">
        <f t="shared" si="0"/>
        <v>11.444000000000001</v>
      </c>
      <c r="Q66" s="44">
        <f>E66+март!I66</f>
        <v>0</v>
      </c>
      <c r="R66" s="30">
        <f>F66+фев!J66</f>
        <v>0</v>
      </c>
    </row>
    <row r="67" spans="1:18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1"/>
        <v>0</v>
      </c>
      <c r="H67" s="14">
        <f>D67+март!H67</f>
        <v>8</v>
      </c>
      <c r="I67" s="8"/>
      <c r="J67" s="14">
        <f>F67+март!J67</f>
        <v>0</v>
      </c>
      <c r="K67" s="10">
        <f t="shared" si="2"/>
        <v>0</v>
      </c>
      <c r="L67" s="16"/>
      <c r="M67" s="110"/>
      <c r="N67" s="111"/>
      <c r="P67">
        <f t="shared" si="0"/>
        <v>8</v>
      </c>
      <c r="Q67" s="44">
        <f>E67+март!I67</f>
        <v>0</v>
      </c>
      <c r="R67" s="30">
        <f>F67+фев!J67</f>
        <v>0</v>
      </c>
    </row>
    <row r="68" spans="1:18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1"/>
        <v>0</v>
      </c>
      <c r="H68" s="16">
        <f>H66/H67*1000</f>
        <v>1430.5</v>
      </c>
      <c r="I68" s="16"/>
      <c r="J68" s="16" t="e">
        <f t="shared" ref="J68" si="35">J66/J67*1000</f>
        <v>#DIV/0!</v>
      </c>
      <c r="K68" s="10" t="e">
        <f t="shared" si="2"/>
        <v>#DIV/0!</v>
      </c>
      <c r="L68" s="16"/>
      <c r="M68" s="110"/>
      <c r="N68" s="111"/>
      <c r="P68">
        <f t="shared" si="0"/>
        <v>5722</v>
      </c>
      <c r="Q68" s="44">
        <f>E68+март!I68</f>
        <v>0</v>
      </c>
      <c r="R68" s="30">
        <f>F68+фев!J68</f>
        <v>0</v>
      </c>
    </row>
    <row r="69" spans="1:18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54">
        <v>40.92</v>
      </c>
      <c r="G69" s="10">
        <f t="shared" si="1"/>
        <v>40.92</v>
      </c>
      <c r="H69" s="10">
        <f>D69+март!H69</f>
        <v>40.031999999999996</v>
      </c>
      <c r="I69" s="8"/>
      <c r="J69" s="10">
        <f>F69+март!J69</f>
        <v>41.510000000000005</v>
      </c>
      <c r="K69" s="10">
        <f t="shared" si="2"/>
        <v>41.510000000000005</v>
      </c>
      <c r="L69" s="16"/>
      <c r="M69" s="123" t="s">
        <v>292</v>
      </c>
      <c r="N69" s="124"/>
      <c r="P69">
        <f t="shared" si="0"/>
        <v>40.031999999999996</v>
      </c>
      <c r="Q69" s="44">
        <f>E69+март!I69</f>
        <v>0</v>
      </c>
      <c r="R69" s="30">
        <f>F69+фев!J69</f>
        <v>40.92</v>
      </c>
    </row>
    <row r="70" spans="1:18" ht="17.25" customHeight="1">
      <c r="A70" s="8"/>
      <c r="B70" s="12" t="s">
        <v>13</v>
      </c>
      <c r="C70" s="13" t="s">
        <v>61</v>
      </c>
      <c r="D70" s="14">
        <v>18</v>
      </c>
      <c r="E70" s="13"/>
      <c r="F70" s="8">
        <v>66</v>
      </c>
      <c r="G70" s="10">
        <f t="shared" si="1"/>
        <v>66</v>
      </c>
      <c r="H70" s="14">
        <f>D70+март!H70</f>
        <v>72</v>
      </c>
      <c r="I70" s="8"/>
      <c r="J70" s="14">
        <f>F70+март!J70</f>
        <v>66.075000000000003</v>
      </c>
      <c r="K70" s="10">
        <f t="shared" si="2"/>
        <v>66.075000000000003</v>
      </c>
      <c r="L70" s="16"/>
      <c r="M70" s="125"/>
      <c r="N70" s="126"/>
      <c r="P70">
        <f t="shared" si="0"/>
        <v>72</v>
      </c>
      <c r="Q70" s="44">
        <f>E70+март!I70</f>
        <v>0</v>
      </c>
      <c r="R70" s="30">
        <f>F70+фев!J70</f>
        <v>66</v>
      </c>
    </row>
    <row r="71" spans="1:18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>
        <f t="shared" ref="F71" si="36">F69/F70*1000</f>
        <v>620</v>
      </c>
      <c r="G71" s="10">
        <f t="shared" si="1"/>
        <v>620</v>
      </c>
      <c r="H71" s="16">
        <f>H69/H70*1000</f>
        <v>555.99999999999989</v>
      </c>
      <c r="I71" s="16"/>
      <c r="J71" s="16">
        <f t="shared" ref="J71" si="37">J69/J70*1000</f>
        <v>628.22550132425283</v>
      </c>
      <c r="K71" s="10">
        <f t="shared" si="2"/>
        <v>628.22550132425283</v>
      </c>
      <c r="L71" s="16"/>
      <c r="M71" s="110"/>
      <c r="N71" s="111"/>
      <c r="P71">
        <f t="shared" si="0"/>
        <v>2223.9999999999995</v>
      </c>
      <c r="Q71" s="44">
        <f>E71+март!I71</f>
        <v>0</v>
      </c>
      <c r="R71" s="30">
        <f>F71+фев!J71</f>
        <v>620</v>
      </c>
    </row>
    <row r="72" spans="1:18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v>27232.095000000001</v>
      </c>
      <c r="G72" s="10">
        <f t="shared" si="1"/>
        <v>2925.4279999999999</v>
      </c>
      <c r="H72" s="10">
        <f>H73</f>
        <v>106070.68400000001</v>
      </c>
      <c r="I72" s="8">
        <f>E72+март!I72</f>
        <v>97226.668000000005</v>
      </c>
      <c r="J72" s="10">
        <f>F72+март!J72</f>
        <v>106212.57800000001</v>
      </c>
      <c r="K72" s="10">
        <f t="shared" si="2"/>
        <v>8985.9100000000035</v>
      </c>
      <c r="L72" s="16">
        <f t="shared" si="3"/>
        <v>9.2422276571279838</v>
      </c>
      <c r="M72" s="110"/>
      <c r="N72" s="111"/>
      <c r="P72">
        <f t="shared" si="0"/>
        <v>106070.68400000001</v>
      </c>
      <c r="Q72" s="44">
        <f>E72+март!I72</f>
        <v>97226.668000000005</v>
      </c>
      <c r="R72" s="30">
        <f>F72+фев!J72</f>
        <v>78811.763000000006</v>
      </c>
    </row>
    <row r="73" spans="1:18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38">E75+E78+E81+E84</f>
        <v>0</v>
      </c>
      <c r="F73" s="10">
        <f t="shared" si="38"/>
        <v>0</v>
      </c>
      <c r="G73" s="10">
        <f t="shared" si="1"/>
        <v>0</v>
      </c>
      <c r="H73" s="10">
        <f>H75+H78+H81+H84</f>
        <v>106070.68400000001</v>
      </c>
      <c r="I73" s="10">
        <f t="shared" ref="I73:J74" si="39">I75+I78+I81+I84</f>
        <v>0</v>
      </c>
      <c r="J73" s="10">
        <f t="shared" si="39"/>
        <v>78980.485000000001</v>
      </c>
      <c r="K73" s="10">
        <f t="shared" si="2"/>
        <v>78980.485000000001</v>
      </c>
      <c r="L73" s="16"/>
      <c r="M73" s="110"/>
      <c r="N73" s="111"/>
      <c r="P73">
        <f t="shared" ref="P73:P136" si="40">D73*4</f>
        <v>106070.68400000001</v>
      </c>
      <c r="Q73" s="44">
        <f>E73+март!I73</f>
        <v>0</v>
      </c>
      <c r="R73" s="30">
        <f>F73+фев!J73</f>
        <v>51579.67</v>
      </c>
    </row>
    <row r="74" spans="1:18" ht="17.25" customHeight="1">
      <c r="A74" s="8"/>
      <c r="B74" s="28" t="s">
        <v>65</v>
      </c>
      <c r="C74" s="22" t="s">
        <v>66</v>
      </c>
      <c r="D74" s="14">
        <f t="shared" ref="D74:F74" si="41">D76+D79+D82+D85</f>
        <v>1280770</v>
      </c>
      <c r="E74" s="14">
        <f t="shared" si="41"/>
        <v>0</v>
      </c>
      <c r="F74" s="14">
        <f t="shared" si="41"/>
        <v>0</v>
      </c>
      <c r="G74" s="14">
        <f t="shared" si="1"/>
        <v>0</v>
      </c>
      <c r="H74" s="14">
        <f t="shared" ref="H74" si="42">H76+H79+H82+H85</f>
        <v>5123080</v>
      </c>
      <c r="I74" s="59"/>
      <c r="J74" s="14">
        <f t="shared" si="39"/>
        <v>3853106.19</v>
      </c>
      <c r="K74" s="10">
        <f t="shared" si="2"/>
        <v>3853106.19</v>
      </c>
      <c r="L74" s="16"/>
      <c r="M74" s="110"/>
      <c r="N74" s="111"/>
      <c r="P74">
        <f t="shared" si="40"/>
        <v>5123080</v>
      </c>
      <c r="Q74" s="44">
        <f>E74+март!I74</f>
        <v>0</v>
      </c>
      <c r="R74" s="30">
        <f>F74+фев!J74</f>
        <v>0</v>
      </c>
    </row>
    <row r="75" spans="1:18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8"/>
      <c r="G75" s="10">
        <f t="shared" ref="G75:G138" si="43">F75-E75</f>
        <v>0</v>
      </c>
      <c r="H75" s="10">
        <f>D75+март!H75</f>
        <v>5353.9319999999998</v>
      </c>
      <c r="I75" s="8"/>
      <c r="J75" s="10">
        <f>F75+март!J75</f>
        <v>6627.174</v>
      </c>
      <c r="K75" s="10">
        <f t="shared" ref="K75:K139" si="44">J75-I75</f>
        <v>6627.174</v>
      </c>
      <c r="L75" s="16"/>
      <c r="M75" s="110"/>
      <c r="N75" s="111"/>
      <c r="P75">
        <f t="shared" si="40"/>
        <v>5353.9319999999998</v>
      </c>
      <c r="Q75" s="44">
        <f>E75+март!I75</f>
        <v>0</v>
      </c>
      <c r="R75" s="30">
        <f>F75+фев!J75</f>
        <v>4546.2950000000001</v>
      </c>
    </row>
    <row r="76" spans="1:18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/>
      <c r="G76" s="14">
        <f t="shared" si="43"/>
        <v>0</v>
      </c>
      <c r="H76" s="14">
        <f>D76+март!H76</f>
        <v>273860</v>
      </c>
      <c r="I76" s="59"/>
      <c r="J76" s="14">
        <f>F76+март!J76</f>
        <v>345435.19</v>
      </c>
      <c r="K76" s="10">
        <f t="shared" si="44"/>
        <v>345435.19</v>
      </c>
      <c r="L76" s="16"/>
      <c r="M76" s="110"/>
      <c r="N76" s="111"/>
      <c r="P76">
        <f t="shared" si="40"/>
        <v>273860</v>
      </c>
      <c r="Q76" s="44">
        <f>E76+март!I76</f>
        <v>0</v>
      </c>
      <c r="R76" s="30">
        <f>F76+фев!J76</f>
        <v>240074.25</v>
      </c>
    </row>
    <row r="77" spans="1:18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 t="e">
        <f t="shared" ref="F77" si="45">F75/F76*1000</f>
        <v>#DIV/0!</v>
      </c>
      <c r="G77" s="10" t="e">
        <f t="shared" si="43"/>
        <v>#DIV/0!</v>
      </c>
      <c r="H77" s="16">
        <f>H75/H76*1000</f>
        <v>19.54988680347623</v>
      </c>
      <c r="I77" s="8"/>
      <c r="J77" s="13"/>
      <c r="K77" s="10">
        <f t="shared" si="44"/>
        <v>0</v>
      </c>
      <c r="L77" s="16"/>
      <c r="M77" s="110"/>
      <c r="N77" s="111"/>
      <c r="P77">
        <f t="shared" si="40"/>
        <v>78.199547213904921</v>
      </c>
      <c r="Q77" s="44">
        <f>E77+март!I77</f>
        <v>0</v>
      </c>
      <c r="R77" s="30" t="e">
        <f>F77+фев!J77</f>
        <v>#DIV/0!</v>
      </c>
    </row>
    <row r="78" spans="1:18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"/>
      <c r="G78" s="10">
        <f t="shared" si="43"/>
        <v>0</v>
      </c>
      <c r="H78" s="10">
        <f>D78+март!H78</f>
        <v>5014.5879999999997</v>
      </c>
      <c r="I78" s="8"/>
      <c r="J78" s="10">
        <f>F78+март!J78</f>
        <v>5054.1839999999993</v>
      </c>
      <c r="K78" s="10">
        <f t="shared" si="44"/>
        <v>5054.1839999999993</v>
      </c>
      <c r="L78" s="16"/>
      <c r="M78" s="110"/>
      <c r="N78" s="111"/>
      <c r="P78">
        <f t="shared" si="40"/>
        <v>5014.5879999999997</v>
      </c>
      <c r="Q78" s="44">
        <f>E78+март!I78</f>
        <v>0</v>
      </c>
      <c r="R78" s="30">
        <f>F78+фев!J78</f>
        <v>3265.6639999999998</v>
      </c>
    </row>
    <row r="79" spans="1:18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/>
      <c r="G79" s="14">
        <f t="shared" si="43"/>
        <v>0</v>
      </c>
      <c r="H79" s="14">
        <f>D79+март!H79</f>
        <v>255196</v>
      </c>
      <c r="I79" s="59"/>
      <c r="J79" s="14">
        <f>F79+март!J79</f>
        <v>255996</v>
      </c>
      <c r="K79" s="10">
        <f t="shared" si="44"/>
        <v>255996</v>
      </c>
      <c r="L79" s="16"/>
      <c r="M79" s="110"/>
      <c r="N79" s="111"/>
      <c r="P79">
        <f t="shared" si="40"/>
        <v>255196</v>
      </c>
      <c r="Q79" s="44">
        <f>E79+март!I79</f>
        <v>0</v>
      </c>
      <c r="R79" s="30">
        <f>F79+фев!J79</f>
        <v>165438</v>
      </c>
    </row>
    <row r="80" spans="1:18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 t="e">
        <f t="shared" ref="F80" si="46">F78/F79*1000</f>
        <v>#DIV/0!</v>
      </c>
      <c r="G80" s="10" t="e">
        <f t="shared" si="43"/>
        <v>#DIV/0!</v>
      </c>
      <c r="H80" s="16">
        <f>H78/H79*1000</f>
        <v>19.649947491339987</v>
      </c>
      <c r="I80" s="8"/>
      <c r="J80" s="13"/>
      <c r="K80" s="10">
        <f t="shared" si="44"/>
        <v>0</v>
      </c>
      <c r="L80" s="16"/>
      <c r="M80" s="110"/>
      <c r="N80" s="111"/>
      <c r="P80">
        <f t="shared" si="40"/>
        <v>78.599789965359946</v>
      </c>
      <c r="Q80" s="44">
        <f>E80+март!I80</f>
        <v>0</v>
      </c>
      <c r="R80" s="30" t="e">
        <f>F80+фев!J80</f>
        <v>#DIV/0!</v>
      </c>
    </row>
    <row r="81" spans="1:18" ht="36" customHeight="1">
      <c r="A81" s="8"/>
      <c r="B81" s="12" t="s">
        <v>70</v>
      </c>
      <c r="C81" s="8" t="s">
        <v>4</v>
      </c>
      <c r="D81" s="10">
        <v>3651.203</v>
      </c>
      <c r="E81" s="8"/>
      <c r="F81" s="8"/>
      <c r="G81" s="10">
        <f t="shared" si="43"/>
        <v>0</v>
      </c>
      <c r="H81" s="10">
        <f>D81+март!H81</f>
        <v>14604.812</v>
      </c>
      <c r="I81" s="8"/>
      <c r="J81" s="10">
        <f>F81+март!J81</f>
        <v>12694.096</v>
      </c>
      <c r="K81" s="10">
        <f t="shared" si="44"/>
        <v>12694.096</v>
      </c>
      <c r="L81" s="16"/>
      <c r="M81" s="110"/>
      <c r="N81" s="111"/>
      <c r="P81">
        <f t="shared" si="40"/>
        <v>14604.812</v>
      </c>
      <c r="Q81" s="44">
        <f>E81+март!I81</f>
        <v>0</v>
      </c>
      <c r="R81" s="30">
        <f>F81+фев!J81</f>
        <v>7464.0389999999998</v>
      </c>
    </row>
    <row r="82" spans="1:18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/>
      <c r="G82" s="14">
        <v>5230.0569999999998</v>
      </c>
      <c r="H82" s="14">
        <f>D82+март!H82</f>
        <v>743248</v>
      </c>
      <c r="I82" s="59"/>
      <c r="J82" s="14">
        <f>F82+март!J82</f>
        <v>642739</v>
      </c>
      <c r="K82" s="10">
        <f t="shared" si="44"/>
        <v>642739</v>
      </c>
      <c r="L82" s="16"/>
      <c r="M82" s="110"/>
      <c r="N82" s="111"/>
      <c r="P82">
        <f t="shared" si="40"/>
        <v>743248</v>
      </c>
      <c r="Q82" s="44">
        <f>E82+март!I82</f>
        <v>0</v>
      </c>
      <c r="R82" s="30">
        <f>F82+фев!J82</f>
        <v>377926</v>
      </c>
    </row>
    <row r="83" spans="1:18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 t="e">
        <f t="shared" ref="F83" si="47">F81/F82*1000</f>
        <v>#DIV/0!</v>
      </c>
      <c r="G83" s="10" t="e">
        <f t="shared" si="43"/>
        <v>#DIV/0!</v>
      </c>
      <c r="H83" s="16">
        <f>H81/H82*1000</f>
        <v>19.64998493100553</v>
      </c>
      <c r="I83" s="8"/>
      <c r="J83" s="13"/>
      <c r="K83" s="10">
        <f t="shared" si="44"/>
        <v>0</v>
      </c>
      <c r="L83" s="16"/>
      <c r="M83" s="110"/>
      <c r="N83" s="111"/>
      <c r="P83">
        <f t="shared" si="40"/>
        <v>78.599939724022121</v>
      </c>
      <c r="Q83" s="44">
        <f>E83+март!I83</f>
        <v>0</v>
      </c>
      <c r="R83" s="30" t="e">
        <f>F83+фев!J83</f>
        <v>#DIV/0!</v>
      </c>
    </row>
    <row r="84" spans="1:18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/>
      <c r="G84" s="10">
        <f t="shared" si="43"/>
        <v>0</v>
      </c>
      <c r="H84" s="10">
        <f>D84+март!H84</f>
        <v>81097.351999999999</v>
      </c>
      <c r="I84" s="8"/>
      <c r="J84" s="10">
        <f>F84+март!J84</f>
        <v>54605.031000000003</v>
      </c>
      <c r="K84" s="10">
        <f t="shared" si="44"/>
        <v>54605.031000000003</v>
      </c>
      <c r="L84" s="16"/>
      <c r="M84" s="123" t="s">
        <v>297</v>
      </c>
      <c r="N84" s="124"/>
      <c r="P84">
        <f t="shared" si="40"/>
        <v>81097.351999999999</v>
      </c>
      <c r="Q84" s="44">
        <f>E84+март!I84</f>
        <v>0</v>
      </c>
      <c r="R84" s="30">
        <f>F84+фев!J84</f>
        <v>36303.671999999999</v>
      </c>
    </row>
    <row r="85" spans="1:18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/>
      <c r="G85" s="14">
        <f t="shared" si="43"/>
        <v>0</v>
      </c>
      <c r="H85" s="14">
        <f>D85+март!H85</f>
        <v>3850776</v>
      </c>
      <c r="I85" s="59"/>
      <c r="J85" s="14">
        <f>F85+март!J85</f>
        <v>2608936</v>
      </c>
      <c r="K85" s="10">
        <f t="shared" si="44"/>
        <v>2608936</v>
      </c>
      <c r="L85" s="16"/>
      <c r="M85" s="125"/>
      <c r="N85" s="126"/>
      <c r="P85">
        <f t="shared" si="40"/>
        <v>3850776</v>
      </c>
      <c r="Q85" s="44">
        <f>E85+март!I85</f>
        <v>0</v>
      </c>
      <c r="R85" s="30">
        <f>F85+фев!J85</f>
        <v>1734528</v>
      </c>
    </row>
    <row r="86" spans="1:18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 t="e">
        <f t="shared" ref="F86" si="48">F84/F85*1000</f>
        <v>#DIV/0!</v>
      </c>
      <c r="G86" s="10" t="e">
        <f t="shared" si="43"/>
        <v>#DIV/0!</v>
      </c>
      <c r="H86" s="16">
        <f>H84/H85*1000</f>
        <v>21.06000245145394</v>
      </c>
      <c r="I86" s="8"/>
      <c r="J86" s="13"/>
      <c r="K86" s="10">
        <f t="shared" si="44"/>
        <v>0</v>
      </c>
      <c r="L86" s="16"/>
      <c r="M86" s="110"/>
      <c r="N86" s="111"/>
      <c r="P86">
        <f t="shared" si="40"/>
        <v>84.24000980581576</v>
      </c>
      <c r="Q86" s="44">
        <f>E86+март!I86</f>
        <v>0</v>
      </c>
      <c r="R86" s="30" t="e">
        <f>F86+фев!J86</f>
        <v>#DIV/0!</v>
      </c>
    </row>
    <row r="87" spans="1:18" ht="17.25" customHeight="1">
      <c r="A87" s="74" t="s">
        <v>72</v>
      </c>
      <c r="B87" s="6" t="s">
        <v>73</v>
      </c>
      <c r="C87" s="74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19056.86</v>
      </c>
      <c r="G87" s="16">
        <f t="shared" si="43"/>
        <v>-1831.8889999999956</v>
      </c>
      <c r="H87" s="7">
        <f>H88+H89+H90</f>
        <v>88062.98000000001</v>
      </c>
      <c r="I87" s="7">
        <f>I88+I89+I90+I91</f>
        <v>83554.995999999985</v>
      </c>
      <c r="J87" s="7">
        <f>J88+J89+J90+J91+J92</f>
        <v>80577.680999999997</v>
      </c>
      <c r="K87" s="10">
        <f t="shared" si="44"/>
        <v>-2977.3149999999878</v>
      </c>
      <c r="L87" s="16">
        <f t="shared" ref="L87:L151" si="49">K87/I87*100</f>
        <v>-3.5632997935874338</v>
      </c>
      <c r="M87" s="110"/>
      <c r="N87" s="111"/>
      <c r="O87" s="30">
        <f>F88+март!J88+F92+F98+март!J92+март!J98</f>
        <v>75496.186999999991</v>
      </c>
      <c r="P87">
        <f t="shared" si="40"/>
        <v>88062.98000000001</v>
      </c>
      <c r="Q87" s="44">
        <f>E87+март!I87</f>
        <v>83554.995999999985</v>
      </c>
      <c r="R87" s="30">
        <f>F87+фев!J87</f>
        <v>56909.771000000008</v>
      </c>
    </row>
    <row r="88" spans="1:18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f>17902.214-F92-F98</f>
        <v>17193.231</v>
      </c>
      <c r="G88" s="16">
        <f t="shared" si="43"/>
        <v>-1557.851999999999</v>
      </c>
      <c r="H88" s="10">
        <f>D88+март!H88</f>
        <v>80130.100000000006</v>
      </c>
      <c r="I88" s="8">
        <f>E88+март!I88</f>
        <v>75004.331999999995</v>
      </c>
      <c r="J88" s="10">
        <f>F88+март!J88</f>
        <v>72574.872999999992</v>
      </c>
      <c r="K88" s="10">
        <f t="shared" si="44"/>
        <v>-2429.4590000000026</v>
      </c>
      <c r="L88" s="16">
        <f t="shared" si="49"/>
        <v>-3.2390915767371977</v>
      </c>
      <c r="M88" s="117"/>
      <c r="N88" s="118"/>
      <c r="O88" s="30">
        <f>J88+J92+J98</f>
        <v>75496.186999999991</v>
      </c>
      <c r="P88">
        <f t="shared" si="40"/>
        <v>80130.100000000006</v>
      </c>
      <c r="Q88" s="44">
        <f>E88+март!I88</f>
        <v>75004.331999999995</v>
      </c>
      <c r="R88" s="30">
        <f>F88+фев!J88</f>
        <v>51188.292000000001</v>
      </c>
    </row>
    <row r="89" spans="1:18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54">
        <v>973.21699999999998</v>
      </c>
      <c r="G89" s="10">
        <f t="shared" si="43"/>
        <v>-39.365999999999985</v>
      </c>
      <c r="H89" s="10">
        <f>D89+март!H89</f>
        <v>4407.152</v>
      </c>
      <c r="I89" s="8">
        <f>E89+март!I89</f>
        <v>4050.3319999999999</v>
      </c>
      <c r="J89" s="10">
        <f>F89+март!J89</f>
        <v>4081.1979999999999</v>
      </c>
      <c r="K89" s="10">
        <f t="shared" si="44"/>
        <v>30.865999999999985</v>
      </c>
      <c r="L89" s="16">
        <f t="shared" si="49"/>
        <v>0.76206098660554211</v>
      </c>
      <c r="M89" s="117"/>
      <c r="N89" s="118"/>
      <c r="P89">
        <f t="shared" si="40"/>
        <v>4407.152</v>
      </c>
      <c r="Q89" s="44">
        <f>E89+март!I89</f>
        <v>4050.3319999999999</v>
      </c>
      <c r="R89" s="30">
        <f>F89+фев!J89</f>
        <v>2880.4090000000001</v>
      </c>
    </row>
    <row r="90" spans="1:18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55">
        <v>520.24599999999998</v>
      </c>
      <c r="G90" s="10">
        <f t="shared" si="43"/>
        <v>-323.58699999999999</v>
      </c>
      <c r="H90" s="10">
        <f>D90+март!H90</f>
        <v>3525.7280000000001</v>
      </c>
      <c r="I90" s="8">
        <f>E90+март!I90</f>
        <v>3375.3319999999999</v>
      </c>
      <c r="J90" s="10">
        <f>F90+март!J90</f>
        <v>2231.9520000000002</v>
      </c>
      <c r="K90" s="10">
        <f t="shared" si="44"/>
        <v>-1143.3799999999997</v>
      </c>
      <c r="L90" s="16">
        <f t="shared" si="49"/>
        <v>-33.874593669600493</v>
      </c>
      <c r="M90" s="76"/>
      <c r="N90" s="77"/>
      <c r="P90">
        <f t="shared" si="40"/>
        <v>3525.7280000000001</v>
      </c>
      <c r="Q90" s="44">
        <f>E90+март!I90</f>
        <v>3375.3319999999999</v>
      </c>
      <c r="R90" s="30">
        <f>F90+фев!J90</f>
        <v>1578.5140000000001</v>
      </c>
    </row>
    <row r="91" spans="1:18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55">
        <v>247.88300000000001</v>
      </c>
      <c r="G91" s="10">
        <f t="shared" si="43"/>
        <v>-33.36699999999999</v>
      </c>
      <c r="H91" s="10">
        <f>D91+март!H91</f>
        <v>0</v>
      </c>
      <c r="I91" s="10">
        <f>E91+март!I91</f>
        <v>1125</v>
      </c>
      <c r="J91" s="10">
        <f>F91+март!J91</f>
        <v>1058.7460000000001</v>
      </c>
      <c r="K91" s="10">
        <f t="shared" si="44"/>
        <v>-66.253999999999905</v>
      </c>
      <c r="L91" s="16">
        <f t="shared" si="49"/>
        <v>-5.8892444444444356</v>
      </c>
      <c r="M91" s="76"/>
      <c r="N91" s="77"/>
      <c r="P91">
        <f t="shared" si="40"/>
        <v>0</v>
      </c>
      <c r="Q91" s="44">
        <f>E91+март!I91</f>
        <v>1125</v>
      </c>
      <c r="R91" s="30">
        <f>F91+фев!J91</f>
        <v>747.22400000000005</v>
      </c>
    </row>
    <row r="92" spans="1:18" ht="17.25" customHeight="1">
      <c r="A92" s="8"/>
      <c r="B92" s="9" t="s">
        <v>316</v>
      </c>
      <c r="C92" s="8" t="s">
        <v>4</v>
      </c>
      <c r="D92" s="10"/>
      <c r="E92" s="8"/>
      <c r="F92" s="54">
        <v>122.283</v>
      </c>
      <c r="G92" s="10"/>
      <c r="H92" s="10">
        <f>D92+март!H92</f>
        <v>0</v>
      </c>
      <c r="I92" s="8">
        <f>E92+март!I92</f>
        <v>0</v>
      </c>
      <c r="J92" s="10">
        <f>F92+март!J92</f>
        <v>630.91199999999992</v>
      </c>
      <c r="K92" s="10"/>
      <c r="L92" s="16"/>
      <c r="M92" s="76"/>
      <c r="N92" s="77"/>
      <c r="P92">
        <f t="shared" si="40"/>
        <v>0</v>
      </c>
      <c r="Q92" s="44">
        <f>E92+март!I92</f>
        <v>0</v>
      </c>
      <c r="R92" s="30">
        <f>F92+фев!J92</f>
        <v>515.33199999999999</v>
      </c>
    </row>
    <row r="93" spans="1:18" ht="17.25" customHeight="1">
      <c r="A93" s="74" t="s">
        <v>78</v>
      </c>
      <c r="B93" s="6" t="s">
        <v>79</v>
      </c>
      <c r="C93" s="74" t="s">
        <v>4</v>
      </c>
      <c r="D93" s="7">
        <f>D94</f>
        <v>12258.85</v>
      </c>
      <c r="E93" s="21">
        <f>E94</f>
        <v>12219.75</v>
      </c>
      <c r="F93" s="7">
        <f>F94</f>
        <v>11185.795</v>
      </c>
      <c r="G93" s="10">
        <f t="shared" si="43"/>
        <v>-1033.9549999999999</v>
      </c>
      <c r="H93" s="7">
        <f>H94</f>
        <v>49035.4</v>
      </c>
      <c r="I93" s="21">
        <f>I94</f>
        <v>48879</v>
      </c>
      <c r="J93" s="7">
        <f>J94</f>
        <v>44373.687999999995</v>
      </c>
      <c r="K93" s="10">
        <f t="shared" si="44"/>
        <v>-4505.3120000000054</v>
      </c>
      <c r="L93" s="16">
        <f t="shared" si="49"/>
        <v>-9.2172753125064038</v>
      </c>
      <c r="M93" s="110"/>
      <c r="N93" s="111"/>
      <c r="P93">
        <f t="shared" si="40"/>
        <v>49035.4</v>
      </c>
      <c r="Q93" s="44">
        <f>E93+март!I93</f>
        <v>48879</v>
      </c>
      <c r="R93" s="30">
        <f>F93+фев!J93</f>
        <v>33187.048999999999</v>
      </c>
    </row>
    <row r="94" spans="1:18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55">
        <v>11185.795</v>
      </c>
      <c r="G94" s="10">
        <f t="shared" si="43"/>
        <v>-1033.9549999999999</v>
      </c>
      <c r="H94" s="10">
        <f>D94+март!H94</f>
        <v>49035.4</v>
      </c>
      <c r="I94" s="8">
        <f>E94+март!I94</f>
        <v>48879</v>
      </c>
      <c r="J94" s="10">
        <f>F94+март!J94</f>
        <v>44373.687999999995</v>
      </c>
      <c r="K94" s="10">
        <f t="shared" si="44"/>
        <v>-4505.3120000000054</v>
      </c>
      <c r="L94" s="16">
        <f t="shared" si="49"/>
        <v>-9.2172753125064038</v>
      </c>
      <c r="M94" s="110"/>
      <c r="N94" s="111"/>
      <c r="P94">
        <f t="shared" si="40"/>
        <v>49035.4</v>
      </c>
      <c r="Q94" s="44">
        <f>E94+март!I94</f>
        <v>48879</v>
      </c>
      <c r="R94" s="30">
        <f>F94+фев!J94</f>
        <v>33187.048999999999</v>
      </c>
    </row>
    <row r="95" spans="1:18" ht="17.25" customHeight="1">
      <c r="A95" s="74" t="s">
        <v>82</v>
      </c>
      <c r="B95" s="6" t="s">
        <v>83</v>
      </c>
      <c r="C95" s="74" t="s">
        <v>4</v>
      </c>
      <c r="D95" s="7">
        <f t="shared" ref="D95:J95" si="50">D96</f>
        <v>588.22500000000002</v>
      </c>
      <c r="E95" s="7">
        <f t="shared" si="50"/>
        <v>291.66699999999997</v>
      </c>
      <c r="F95" s="7">
        <f t="shared" si="50"/>
        <v>0</v>
      </c>
      <c r="G95" s="10">
        <f t="shared" si="43"/>
        <v>-291.66699999999997</v>
      </c>
      <c r="H95" s="7">
        <f t="shared" si="50"/>
        <v>2352.9</v>
      </c>
      <c r="I95" s="7">
        <f t="shared" si="50"/>
        <v>1166.6679999999999</v>
      </c>
      <c r="J95" s="7">
        <f t="shared" si="50"/>
        <v>0.76900000000000002</v>
      </c>
      <c r="K95" s="10">
        <f t="shared" si="44"/>
        <v>-1165.8989999999999</v>
      </c>
      <c r="L95" s="16">
        <f t="shared" si="49"/>
        <v>-99.934085789616248</v>
      </c>
      <c r="M95" s="110"/>
      <c r="N95" s="111"/>
      <c r="P95">
        <f t="shared" si="40"/>
        <v>2352.9</v>
      </c>
      <c r="Q95" s="44">
        <f>E95+март!I95</f>
        <v>1166.6679999999999</v>
      </c>
      <c r="R95" s="30">
        <f>F95+фев!J95</f>
        <v>0.76800000000000002</v>
      </c>
    </row>
    <row r="96" spans="1:18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/>
      <c r="G96" s="10">
        <f t="shared" si="43"/>
        <v>-291.66699999999997</v>
      </c>
      <c r="H96" s="10">
        <f>D96+март!H96</f>
        <v>2352.9</v>
      </c>
      <c r="I96" s="8">
        <f>E96+март!I96</f>
        <v>1166.6679999999999</v>
      </c>
      <c r="J96" s="10">
        <f>F96+март!J96</f>
        <v>0.76900000000000002</v>
      </c>
      <c r="K96" s="10">
        <f t="shared" si="44"/>
        <v>-1165.8989999999999</v>
      </c>
      <c r="L96" s="16">
        <f t="shared" si="49"/>
        <v>-99.934085789616248</v>
      </c>
      <c r="M96" s="117" t="s">
        <v>299</v>
      </c>
      <c r="N96" s="118"/>
      <c r="P96">
        <f t="shared" si="40"/>
        <v>2352.9</v>
      </c>
      <c r="Q96" s="44">
        <f>E96+март!I96</f>
        <v>1166.6679999999999</v>
      </c>
      <c r="R96" s="30">
        <f>F96+фев!J96</f>
        <v>0.76800000000000002</v>
      </c>
    </row>
    <row r="97" spans="1:18" ht="17.25" customHeight="1">
      <c r="A97" s="74" t="s">
        <v>86</v>
      </c>
      <c r="B97" s="6" t="s">
        <v>87</v>
      </c>
      <c r="C97" s="74" t="s">
        <v>4</v>
      </c>
      <c r="D97" s="7">
        <f t="shared" ref="D97" si="51">D98+D99+D103+D104+D109+D110</f>
        <v>2575.1889999999999</v>
      </c>
      <c r="E97" s="7">
        <f>E98+E99+E103+E104+E109+E110</f>
        <v>2562.3330000000001</v>
      </c>
      <c r="F97" s="7">
        <f>F98+F99+F103+F104+F109+F110</f>
        <v>3709.1730000000002</v>
      </c>
      <c r="G97" s="10">
        <f t="shared" si="43"/>
        <v>1146.8400000000001</v>
      </c>
      <c r="H97" s="7">
        <f t="shared" ref="H97" si="52">H98+H99+H103+H104+H109+H110</f>
        <v>10300.755999999999</v>
      </c>
      <c r="I97" s="7">
        <f>I98+I99+I103+I104+I109+I110</f>
        <v>10249.332</v>
      </c>
      <c r="J97" s="7">
        <f>J98+J99+J103+J104+J109+J110</f>
        <v>9892.2924999999996</v>
      </c>
      <c r="K97" s="10">
        <f t="shared" si="44"/>
        <v>-357.03950000000077</v>
      </c>
      <c r="L97" s="16">
        <f t="shared" si="49"/>
        <v>-3.4835392199218522</v>
      </c>
      <c r="M97" s="110"/>
      <c r="N97" s="111"/>
      <c r="P97">
        <f t="shared" si="40"/>
        <v>10300.755999999999</v>
      </c>
      <c r="Q97" s="44">
        <f>E97+март!I97</f>
        <v>10249.332</v>
      </c>
      <c r="R97" s="30">
        <f>F97+фев!J97</f>
        <v>7649.4459999999999</v>
      </c>
    </row>
    <row r="98" spans="1:18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>
        <v>586.70000000000005</v>
      </c>
      <c r="G98" s="10">
        <f t="shared" si="43"/>
        <v>43.617000000000075</v>
      </c>
      <c r="H98" s="10">
        <f>D98+март!H98</f>
        <v>2505.6680000000001</v>
      </c>
      <c r="I98" s="8">
        <f>E98+март!I98</f>
        <v>2172.3319999999999</v>
      </c>
      <c r="J98" s="10">
        <f>F98+март!J98</f>
        <v>2290.402</v>
      </c>
      <c r="K98" s="10">
        <f t="shared" si="44"/>
        <v>118.07000000000016</v>
      </c>
      <c r="L98" s="16">
        <f t="shared" si="49"/>
        <v>5.4351728925412948</v>
      </c>
      <c r="M98" s="117" t="s">
        <v>298</v>
      </c>
      <c r="N98" s="118"/>
      <c r="P98">
        <f t="shared" si="40"/>
        <v>2505.6680000000001</v>
      </c>
      <c r="Q98" s="44">
        <f>E98+март!I98</f>
        <v>2172.3319999999999</v>
      </c>
      <c r="R98" s="30">
        <f>F98+фев!J98</f>
        <v>1752.5240000000001</v>
      </c>
    </row>
    <row r="99" spans="1:18" ht="53.25" customHeight="1">
      <c r="A99" s="8" t="s">
        <v>90</v>
      </c>
      <c r="B99" s="20" t="s">
        <v>242</v>
      </c>
      <c r="C99" s="8" t="s">
        <v>4</v>
      </c>
      <c r="D99" s="10">
        <f t="shared" ref="D99:F99" si="53">D100+D101+D102</f>
        <v>107.703</v>
      </c>
      <c r="E99" s="8">
        <v>107.667</v>
      </c>
      <c r="F99" s="10">
        <f t="shared" si="53"/>
        <v>0</v>
      </c>
      <c r="G99" s="10">
        <f t="shared" si="43"/>
        <v>-107.667</v>
      </c>
      <c r="H99" s="10">
        <f t="shared" ref="H99" si="54">H100+H101+H102</f>
        <v>430.81200000000001</v>
      </c>
      <c r="I99" s="8">
        <f>E99+март!I99</f>
        <v>430.66800000000001</v>
      </c>
      <c r="J99" s="10">
        <f t="shared" ref="J99" si="55">J100+J101+J102</f>
        <v>0</v>
      </c>
      <c r="K99" s="10">
        <f t="shared" si="44"/>
        <v>-430.66800000000001</v>
      </c>
      <c r="L99" s="16">
        <f t="shared" si="49"/>
        <v>-100</v>
      </c>
      <c r="M99" s="110"/>
      <c r="N99" s="111"/>
      <c r="P99">
        <f t="shared" si="40"/>
        <v>430.81200000000001</v>
      </c>
      <c r="Q99" s="44">
        <f>E99+март!I99</f>
        <v>430.66800000000001</v>
      </c>
      <c r="R99" s="30">
        <f>F99+фев!J99</f>
        <v>0</v>
      </c>
    </row>
    <row r="100" spans="1:18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43"/>
        <v>0</v>
      </c>
      <c r="H100" s="10">
        <f>D100+март!H100</f>
        <v>181.79599999999999</v>
      </c>
      <c r="I100" s="8"/>
      <c r="J100" s="10">
        <f>F100+март!J100</f>
        <v>0</v>
      </c>
      <c r="K100" s="10">
        <f t="shared" si="44"/>
        <v>0</v>
      </c>
      <c r="L100" s="16"/>
      <c r="M100" s="110"/>
      <c r="N100" s="111"/>
      <c r="P100">
        <f t="shared" si="40"/>
        <v>181.79599999999999</v>
      </c>
      <c r="Q100" s="44">
        <f>E100+март!I100</f>
        <v>0</v>
      </c>
      <c r="R100" s="30">
        <f>F100+фев!J100</f>
        <v>0</v>
      </c>
    </row>
    <row r="101" spans="1:18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43"/>
        <v>0</v>
      </c>
      <c r="H101" s="10">
        <f>D101+март!H101</f>
        <v>249.01599999999999</v>
      </c>
      <c r="I101" s="8"/>
      <c r="J101" s="10">
        <f>F101+март!J101</f>
        <v>0</v>
      </c>
      <c r="K101" s="10">
        <f t="shared" si="44"/>
        <v>0</v>
      </c>
      <c r="L101" s="16"/>
      <c r="M101" s="110"/>
      <c r="N101" s="111"/>
      <c r="P101">
        <f t="shared" si="40"/>
        <v>249.01599999999999</v>
      </c>
      <c r="Q101" s="44">
        <f>E101+март!I101</f>
        <v>0</v>
      </c>
      <c r="R101" s="30">
        <f>F101+фев!J101</f>
        <v>0</v>
      </c>
    </row>
    <row r="102" spans="1:18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43"/>
        <v>0</v>
      </c>
      <c r="H102" s="10">
        <f>D102+март!H102</f>
        <v>0</v>
      </c>
      <c r="I102" s="8"/>
      <c r="J102" s="10">
        <f>F102+март!J102</f>
        <v>0</v>
      </c>
      <c r="K102" s="10">
        <f t="shared" si="44"/>
        <v>0</v>
      </c>
      <c r="L102" s="16"/>
      <c r="M102" s="110"/>
      <c r="N102" s="111"/>
      <c r="P102">
        <f t="shared" si="40"/>
        <v>0</v>
      </c>
      <c r="Q102" s="44">
        <f>E102+март!I102</f>
        <v>0</v>
      </c>
      <c r="R102" s="30">
        <f>F102+фев!J102</f>
        <v>0</v>
      </c>
    </row>
    <row r="103" spans="1:18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43"/>
        <v>-1.333</v>
      </c>
      <c r="H103" s="10">
        <f>D103+март!H103</f>
        <v>5.2359999999999998</v>
      </c>
      <c r="I103" s="8">
        <f>E103+март!I103</f>
        <v>5.3319999999999999</v>
      </c>
      <c r="J103" s="10">
        <f>F103+март!J103</f>
        <v>0</v>
      </c>
      <c r="K103" s="10">
        <f t="shared" si="44"/>
        <v>-5.3319999999999999</v>
      </c>
      <c r="L103" s="16">
        <f t="shared" si="49"/>
        <v>-100</v>
      </c>
      <c r="M103" s="110"/>
      <c r="N103" s="111"/>
      <c r="P103">
        <f t="shared" si="40"/>
        <v>5.2359999999999998</v>
      </c>
      <c r="Q103" s="44">
        <f>E103+март!I103</f>
        <v>5.3319999999999999</v>
      </c>
      <c r="R103" s="30">
        <f>F103+фев!J103</f>
        <v>0</v>
      </c>
    </row>
    <row r="104" spans="1:18" ht="36" customHeight="1">
      <c r="A104" s="18" t="s">
        <v>105</v>
      </c>
      <c r="B104" s="20" t="s">
        <v>99</v>
      </c>
      <c r="C104" s="8" t="s">
        <v>4</v>
      </c>
      <c r="D104" s="10">
        <f t="shared" ref="D104:F104" si="56">D105+D106+D107+D108</f>
        <v>186.095</v>
      </c>
      <c r="E104" s="10">
        <f t="shared" si="56"/>
        <v>152.833</v>
      </c>
      <c r="F104" s="10">
        <f t="shared" si="56"/>
        <v>575.077</v>
      </c>
      <c r="G104" s="10">
        <f t="shared" si="43"/>
        <v>422.24400000000003</v>
      </c>
      <c r="H104" s="10">
        <f t="shared" ref="H104:J104" si="57">H105+H106+H107+H108</f>
        <v>744.38</v>
      </c>
      <c r="I104" s="10">
        <f t="shared" si="57"/>
        <v>611.33199999999999</v>
      </c>
      <c r="J104" s="10">
        <f t="shared" si="57"/>
        <v>798.98400000000004</v>
      </c>
      <c r="K104" s="10">
        <f t="shared" si="44"/>
        <v>187.65200000000004</v>
      </c>
      <c r="L104" s="16">
        <f t="shared" si="49"/>
        <v>30.695595846446782</v>
      </c>
      <c r="M104" s="110"/>
      <c r="N104" s="111"/>
      <c r="P104">
        <f t="shared" si="40"/>
        <v>744.38</v>
      </c>
      <c r="Q104" s="44">
        <f>E104+март!I104</f>
        <v>611.33199999999999</v>
      </c>
      <c r="R104" s="30">
        <f>F104+фев!J104</f>
        <v>722.74</v>
      </c>
    </row>
    <row r="105" spans="1:18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55">
        <v>221.631</v>
      </c>
      <c r="G105" s="10">
        <f t="shared" si="43"/>
        <v>178.048</v>
      </c>
      <c r="H105" s="10">
        <f>D105+март!H105</f>
        <v>174.28399999999999</v>
      </c>
      <c r="I105" s="8">
        <f>E105+март!I105</f>
        <v>174.33199999999999</v>
      </c>
      <c r="J105" s="10">
        <f>F105+март!J105</f>
        <v>221.631</v>
      </c>
      <c r="K105" s="10">
        <f t="shared" si="44"/>
        <v>47.299000000000007</v>
      </c>
      <c r="L105" s="16">
        <f t="shared" si="49"/>
        <v>27.131565059771017</v>
      </c>
      <c r="M105" s="110"/>
      <c r="N105" s="111"/>
      <c r="P105">
        <f t="shared" si="40"/>
        <v>174.28399999999999</v>
      </c>
      <c r="Q105" s="44">
        <f>E105+март!I105</f>
        <v>174.33199999999999</v>
      </c>
      <c r="R105" s="30">
        <f>F105+фев!J105</f>
        <v>221.631</v>
      </c>
    </row>
    <row r="106" spans="1:18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55">
        <v>270.29300000000001</v>
      </c>
      <c r="G106" s="10">
        <f t="shared" si="43"/>
        <v>187.376</v>
      </c>
      <c r="H106" s="10">
        <f>D106+март!H106</f>
        <v>464.83600000000001</v>
      </c>
      <c r="I106" s="8">
        <f>E106+март!I106</f>
        <v>331.66800000000001</v>
      </c>
      <c r="J106" s="10">
        <f>F106+март!J106</f>
        <v>453.6</v>
      </c>
      <c r="K106" s="10">
        <f t="shared" si="44"/>
        <v>121.93200000000002</v>
      </c>
      <c r="L106" s="16">
        <f t="shared" si="49"/>
        <v>36.763269293389776</v>
      </c>
      <c r="M106" s="112" t="s">
        <v>287</v>
      </c>
      <c r="N106" s="113"/>
      <c r="P106">
        <f t="shared" si="40"/>
        <v>464.83600000000001</v>
      </c>
      <c r="Q106" s="44">
        <f>E106+март!I106</f>
        <v>331.66800000000001</v>
      </c>
      <c r="R106" s="30">
        <f>F106+фев!J106</f>
        <v>417.95600000000002</v>
      </c>
    </row>
    <row r="107" spans="1:18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54">
        <f>29.894+33.63+4+7+8.629</f>
        <v>83.153000000000006</v>
      </c>
      <c r="G107" s="10">
        <f t="shared" si="43"/>
        <v>56.820000000000007</v>
      </c>
      <c r="H107" s="10">
        <f>D107+март!H107</f>
        <v>105.26</v>
      </c>
      <c r="I107" s="8">
        <f>E107+март!I107</f>
        <v>105.33199999999999</v>
      </c>
      <c r="J107" s="10">
        <f>F107+март!J107</f>
        <v>123.75300000000001</v>
      </c>
      <c r="K107" s="10">
        <f t="shared" si="44"/>
        <v>18.421000000000021</v>
      </c>
      <c r="L107" s="16">
        <f t="shared" si="49"/>
        <v>17.488512512816641</v>
      </c>
      <c r="M107" s="110"/>
      <c r="N107" s="111"/>
      <c r="P107">
        <f t="shared" si="40"/>
        <v>105.26</v>
      </c>
      <c r="Q107" s="44">
        <f>E107+март!I107</f>
        <v>105.33199999999999</v>
      </c>
      <c r="R107" s="30">
        <f>F107+фев!J107</f>
        <v>83.153000000000006</v>
      </c>
    </row>
    <row r="108" spans="1:18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3"/>
        <v>0</v>
      </c>
      <c r="H108" s="10">
        <f>D108+март!H108</f>
        <v>0</v>
      </c>
      <c r="I108" s="8">
        <f>E108+март!I108</f>
        <v>0</v>
      </c>
      <c r="J108" s="8">
        <f>F108+фев!J108</f>
        <v>0</v>
      </c>
      <c r="K108" s="10">
        <f t="shared" si="44"/>
        <v>0</v>
      </c>
      <c r="L108" s="16" t="e">
        <f t="shared" si="49"/>
        <v>#DIV/0!</v>
      </c>
      <c r="M108" s="110"/>
      <c r="N108" s="111"/>
      <c r="P108">
        <f t="shared" si="40"/>
        <v>0</v>
      </c>
      <c r="Q108" s="44">
        <f>E108+март!I108</f>
        <v>0</v>
      </c>
      <c r="R108" s="30">
        <f>F108+фев!J108</f>
        <v>0</v>
      </c>
    </row>
    <row r="109" spans="1:18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55">
        <f>15.207+23.81+0.405+2.478+1.332</f>
        <v>43.231999999999999</v>
      </c>
      <c r="G109" s="10">
        <f t="shared" si="43"/>
        <v>-14.935000000000002</v>
      </c>
      <c r="H109" s="10">
        <f>D109+март!H109</f>
        <v>365.93599999999998</v>
      </c>
      <c r="I109" s="8">
        <f>E109+март!I109</f>
        <v>232.66800000000001</v>
      </c>
      <c r="J109" s="10">
        <f>F109+март!J109</f>
        <v>146.83699999999999</v>
      </c>
      <c r="K109" s="10">
        <f t="shared" si="44"/>
        <v>-85.831000000000017</v>
      </c>
      <c r="L109" s="16">
        <f t="shared" si="49"/>
        <v>-36.889903209723734</v>
      </c>
      <c r="M109" s="110"/>
      <c r="N109" s="111"/>
      <c r="P109">
        <f t="shared" si="40"/>
        <v>365.93599999999998</v>
      </c>
      <c r="Q109" s="44">
        <f>E109+март!I109</f>
        <v>232.66800000000001</v>
      </c>
      <c r="R109" s="30">
        <f>F109+фев!J109</f>
        <v>107.77</v>
      </c>
    </row>
    <row r="110" spans="1:18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2504.1640000000002</v>
      </c>
      <c r="G110" s="10">
        <f t="shared" si="43"/>
        <v>804.91400000000021</v>
      </c>
      <c r="H110" s="10">
        <f>H111+H115+H119+H123+H124+H125+H126+H127+H128+H129+H130+H131+H132+H133+H134+H135</f>
        <v>6248.7239999999993</v>
      </c>
      <c r="I110" s="10">
        <f>I111+I115+I119+I123+I124+I125+I126+I127+I128+I129+I130+I131+I132+I133+I134+I135+I136+I137</f>
        <v>6797</v>
      </c>
      <c r="J110" s="10">
        <f>J111+J115+J119+J123+J124+J125+J126+J127+J128+J129+J130+J131+J132+J133+J134+J135+J136+J137</f>
        <v>6656.0695000000005</v>
      </c>
      <c r="K110" s="10">
        <f t="shared" si="44"/>
        <v>-140.93049999999948</v>
      </c>
      <c r="L110" s="16">
        <f t="shared" si="49"/>
        <v>-2.0734220979843974</v>
      </c>
      <c r="M110" s="116"/>
      <c r="N110" s="111"/>
      <c r="P110">
        <f t="shared" si="40"/>
        <v>6248.7239999999993</v>
      </c>
      <c r="Q110" s="44">
        <f>E110+март!I110</f>
        <v>6797</v>
      </c>
      <c r="R110" s="30">
        <f>F110+фев!J110</f>
        <v>5066.4120000000003</v>
      </c>
    </row>
    <row r="111" spans="1:18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290.02</v>
      </c>
      <c r="G111" s="10">
        <f t="shared" si="43"/>
        <v>-141.39699999999999</v>
      </c>
      <c r="H111" s="10">
        <f>D111+март!H111</f>
        <v>1725.5239999999999</v>
      </c>
      <c r="I111" s="8">
        <f>E111+март!I111</f>
        <v>1725.6679999999999</v>
      </c>
      <c r="J111" s="10">
        <f>J112+J113+J114</f>
        <v>1188.6309999999999</v>
      </c>
      <c r="K111" s="10">
        <f t="shared" si="44"/>
        <v>-537.03700000000003</v>
      </c>
      <c r="L111" s="16">
        <f t="shared" si="49"/>
        <v>-31.120528398278235</v>
      </c>
      <c r="M111" s="121"/>
      <c r="N111" s="122"/>
      <c r="P111">
        <f t="shared" si="40"/>
        <v>1725.5239999999999</v>
      </c>
      <c r="Q111" s="44">
        <f>E111+март!I111</f>
        <v>1725.6679999999999</v>
      </c>
      <c r="R111" s="30">
        <f>F111+фев!J111</f>
        <v>805.50099999999998</v>
      </c>
    </row>
    <row r="112" spans="1:18" ht="17.25" customHeight="1">
      <c r="A112" s="18"/>
      <c r="B112" s="9" t="s">
        <v>221</v>
      </c>
      <c r="C112" s="8" t="s">
        <v>4</v>
      </c>
      <c r="D112" s="10"/>
      <c r="E112" s="8"/>
      <c r="F112" s="54">
        <v>202.02</v>
      </c>
      <c r="G112" s="10">
        <f t="shared" si="43"/>
        <v>202.02</v>
      </c>
      <c r="H112" s="10"/>
      <c r="I112" s="8"/>
      <c r="J112" s="10">
        <f>F112+март!J112</f>
        <v>966.81</v>
      </c>
      <c r="K112" s="10">
        <f t="shared" si="44"/>
        <v>966.81</v>
      </c>
      <c r="L112" s="16"/>
      <c r="M112" s="110"/>
      <c r="N112" s="111"/>
      <c r="P112">
        <f t="shared" si="40"/>
        <v>0</v>
      </c>
      <c r="Q112" s="44">
        <f>E112+март!I112</f>
        <v>0</v>
      </c>
      <c r="R112" s="30">
        <f>F112+фев!J112</f>
        <v>615.67999999999995</v>
      </c>
    </row>
    <row r="113" spans="1:18" ht="36" customHeight="1">
      <c r="A113" s="18"/>
      <c r="B113" s="9" t="s">
        <v>222</v>
      </c>
      <c r="C113" s="8" t="s">
        <v>4</v>
      </c>
      <c r="D113" s="10"/>
      <c r="E113" s="8"/>
      <c r="F113" s="54">
        <v>88</v>
      </c>
      <c r="G113" s="10">
        <f t="shared" si="43"/>
        <v>88</v>
      </c>
      <c r="H113" s="10"/>
      <c r="I113" s="8"/>
      <c r="J113" s="10">
        <f>F113+март!J113</f>
        <v>221.821</v>
      </c>
      <c r="K113" s="10">
        <f t="shared" si="44"/>
        <v>221.821</v>
      </c>
      <c r="L113" s="16"/>
      <c r="M113" s="110"/>
      <c r="N113" s="111"/>
      <c r="P113">
        <f t="shared" si="40"/>
        <v>0</v>
      </c>
      <c r="Q113" s="44">
        <f>E113+март!I113</f>
        <v>0</v>
      </c>
      <c r="R113" s="30">
        <f>F113+фев!J113</f>
        <v>189.821</v>
      </c>
    </row>
    <row r="114" spans="1:18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3"/>
        <v>0</v>
      </c>
      <c r="H114" s="10"/>
      <c r="I114" s="8"/>
      <c r="J114" s="10">
        <f>F114+март!J114</f>
        <v>0</v>
      </c>
      <c r="K114" s="10">
        <f t="shared" si="44"/>
        <v>0</v>
      </c>
      <c r="L114" s="16"/>
      <c r="M114" s="110"/>
      <c r="N114" s="111"/>
      <c r="P114">
        <f t="shared" si="40"/>
        <v>0</v>
      </c>
      <c r="Q114" s="44">
        <f>E114+март!I114</f>
        <v>0</v>
      </c>
      <c r="R114" s="30">
        <f>F114+фев!J114</f>
        <v>0</v>
      </c>
    </row>
    <row r="115" spans="1:18" ht="17.25" customHeight="1">
      <c r="A115" s="18" t="s">
        <v>249</v>
      </c>
      <c r="B115" s="9" t="s">
        <v>109</v>
      </c>
      <c r="C115" s="8" t="s">
        <v>4</v>
      </c>
      <c r="D115" s="10">
        <f t="shared" ref="D115:F115" si="58">D116+D117+D118</f>
        <v>121.34400000000001</v>
      </c>
      <c r="E115" s="10">
        <v>121.333</v>
      </c>
      <c r="F115" s="10">
        <f t="shared" si="58"/>
        <v>0</v>
      </c>
      <c r="G115" s="10">
        <f t="shared" si="43"/>
        <v>-121.333</v>
      </c>
      <c r="H115" s="10">
        <f t="shared" ref="H115" si="59">H116+H117+H118</f>
        <v>485.37600000000003</v>
      </c>
      <c r="I115" s="8">
        <f>E115+март!I115</f>
        <v>485.33199999999999</v>
      </c>
      <c r="J115" s="10">
        <f t="shared" ref="J115" si="60">J116+J117+J118</f>
        <v>0</v>
      </c>
      <c r="K115" s="10">
        <f t="shared" si="44"/>
        <v>-485.33199999999999</v>
      </c>
      <c r="L115" s="16">
        <f t="shared" si="49"/>
        <v>-100</v>
      </c>
      <c r="M115" s="110"/>
      <c r="N115" s="111"/>
      <c r="P115">
        <f t="shared" si="40"/>
        <v>485.37600000000003</v>
      </c>
      <c r="Q115" s="44">
        <f>E115+март!I115</f>
        <v>485.33199999999999</v>
      </c>
      <c r="R115" s="30">
        <f>F115+фев!J115</f>
        <v>0</v>
      </c>
    </row>
    <row r="116" spans="1:18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3"/>
        <v>0</v>
      </c>
      <c r="H116" s="10">
        <f>D116+март!H116</f>
        <v>345.28800000000001</v>
      </c>
      <c r="I116" s="8"/>
      <c r="J116" s="10">
        <f>F116+март!J116</f>
        <v>0</v>
      </c>
      <c r="K116" s="10">
        <f t="shared" si="44"/>
        <v>0</v>
      </c>
      <c r="L116" s="16"/>
      <c r="M116" s="110"/>
      <c r="N116" s="111"/>
      <c r="P116">
        <f t="shared" si="40"/>
        <v>345.28800000000001</v>
      </c>
      <c r="Q116" s="44">
        <f>E116+март!I116</f>
        <v>0</v>
      </c>
      <c r="R116" s="30">
        <f>F116+фев!J116</f>
        <v>0</v>
      </c>
    </row>
    <row r="117" spans="1:18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3"/>
        <v>0</v>
      </c>
      <c r="H117" s="10">
        <f>D117+март!H117</f>
        <v>127.04</v>
      </c>
      <c r="I117" s="8"/>
      <c r="J117" s="10">
        <f>F117+март!J117</f>
        <v>0</v>
      </c>
      <c r="K117" s="10">
        <f t="shared" si="44"/>
        <v>0</v>
      </c>
      <c r="L117" s="16"/>
      <c r="M117" s="110"/>
      <c r="N117" s="111"/>
      <c r="P117">
        <f t="shared" si="40"/>
        <v>127.04</v>
      </c>
      <c r="Q117" s="44">
        <f>E117+март!I117</f>
        <v>0</v>
      </c>
      <c r="R117" s="30">
        <f>F117+фев!J117</f>
        <v>0</v>
      </c>
    </row>
    <row r="118" spans="1:18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3"/>
        <v>0</v>
      </c>
      <c r="H118" s="10">
        <f>D118+март!H118</f>
        <v>13.048</v>
      </c>
      <c r="I118" s="8"/>
      <c r="J118" s="10">
        <f>F118+март!J118</f>
        <v>0</v>
      </c>
      <c r="K118" s="10">
        <f t="shared" si="44"/>
        <v>0</v>
      </c>
      <c r="L118" s="16"/>
      <c r="M118" s="110"/>
      <c r="N118" s="111"/>
      <c r="P118">
        <f t="shared" si="40"/>
        <v>13.048</v>
      </c>
      <c r="Q118" s="44">
        <f>E118+март!I118</f>
        <v>0</v>
      </c>
      <c r="R118" s="30">
        <f>F118+фев!J118</f>
        <v>0</v>
      </c>
    </row>
    <row r="119" spans="1:18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54">
        <f>F120</f>
        <v>310.05500000000001</v>
      </c>
      <c r="G119" s="10">
        <f t="shared" si="43"/>
        <v>-46.444999999999993</v>
      </c>
      <c r="H119" s="10">
        <f>H120</f>
        <v>1523.396</v>
      </c>
      <c r="I119" s="10">
        <f>E119+март!I119</f>
        <v>1426</v>
      </c>
      <c r="J119" s="10">
        <f>J120</f>
        <v>1326.8415</v>
      </c>
      <c r="K119" s="10">
        <f t="shared" si="44"/>
        <v>-99.158500000000004</v>
      </c>
      <c r="L119" s="16">
        <f t="shared" si="49"/>
        <v>-6.9536115007012622</v>
      </c>
      <c r="M119" s="110"/>
      <c r="N119" s="111"/>
      <c r="P119">
        <f t="shared" si="40"/>
        <v>1523.396</v>
      </c>
      <c r="Q119" s="44">
        <f>E119+март!I119</f>
        <v>1426</v>
      </c>
      <c r="R119" s="30">
        <f>F119+фев!J119</f>
        <v>1109.2270000000001</v>
      </c>
    </row>
    <row r="120" spans="1:18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310.05500000000001</v>
      </c>
      <c r="G120" s="10">
        <f t="shared" si="43"/>
        <v>-46.444999999999993</v>
      </c>
      <c r="H120" s="10">
        <f>D120+март!H120</f>
        <v>1523.396</v>
      </c>
      <c r="I120" s="10">
        <f>E120+март!I120</f>
        <v>1426</v>
      </c>
      <c r="J120" s="10">
        <f>F120+март!J120</f>
        <v>1326.8415</v>
      </c>
      <c r="K120" s="10">
        <f t="shared" si="44"/>
        <v>-99.158500000000004</v>
      </c>
      <c r="L120" s="16">
        <f t="shared" si="49"/>
        <v>-6.9536115007012622</v>
      </c>
      <c r="M120" s="110"/>
      <c r="N120" s="111"/>
      <c r="P120">
        <f t="shared" si="40"/>
        <v>1523.396</v>
      </c>
      <c r="Q120" s="44">
        <f>E120+март!I120</f>
        <v>1426</v>
      </c>
      <c r="R120" s="30">
        <f>F120+фев!J120</f>
        <v>1109.2270000000001</v>
      </c>
    </row>
    <row r="121" spans="1:18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620.11</v>
      </c>
      <c r="G121" s="10">
        <f t="shared" si="43"/>
        <v>-92.889999999999986</v>
      </c>
      <c r="H121" s="10">
        <f>D121+март!H121</f>
        <v>3046.7959999999998</v>
      </c>
      <c r="I121" s="8">
        <f>E121+март!I121</f>
        <v>2852</v>
      </c>
      <c r="J121" s="10">
        <f>F121+март!J121</f>
        <v>2653.6820000000002</v>
      </c>
      <c r="K121" s="10">
        <f t="shared" si="44"/>
        <v>-198.31799999999976</v>
      </c>
      <c r="L121" s="16">
        <f t="shared" si="49"/>
        <v>-6.9536465638148579</v>
      </c>
      <c r="M121" s="110"/>
      <c r="N121" s="111"/>
      <c r="P121">
        <f t="shared" si="40"/>
        <v>3046.7959999999998</v>
      </c>
      <c r="Q121" s="44">
        <f>E121+март!I121</f>
        <v>2852</v>
      </c>
      <c r="R121" s="30">
        <f>F121+фев!J121</f>
        <v>2218.453</v>
      </c>
    </row>
    <row r="122" spans="1:18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3"/>
        <v>0</v>
      </c>
      <c r="H122" s="11">
        <v>0.5</v>
      </c>
      <c r="I122" s="11">
        <v>0.5</v>
      </c>
      <c r="J122" s="11">
        <v>0.5</v>
      </c>
      <c r="K122" s="10">
        <f t="shared" si="44"/>
        <v>0</v>
      </c>
      <c r="L122" s="16">
        <f t="shared" si="49"/>
        <v>0</v>
      </c>
      <c r="M122" s="110"/>
      <c r="N122" s="111"/>
      <c r="P122">
        <f t="shared" si="40"/>
        <v>2</v>
      </c>
      <c r="Q122" s="44">
        <f>E122+март!I122</f>
        <v>1</v>
      </c>
      <c r="R122" s="30">
        <f>F122+фев!J122</f>
        <v>1</v>
      </c>
    </row>
    <row r="123" spans="1:18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3"/>
        <v>-1.083</v>
      </c>
      <c r="H123" s="10">
        <f>D123+март!H123</f>
        <v>4.4480000000000004</v>
      </c>
      <c r="I123" s="8">
        <f>E123+март!I123</f>
        <v>4.3319999999999999</v>
      </c>
      <c r="J123" s="10">
        <f>F123+март!J123</f>
        <v>0</v>
      </c>
      <c r="K123" s="10">
        <f t="shared" si="44"/>
        <v>-4.3319999999999999</v>
      </c>
      <c r="L123" s="16">
        <f t="shared" si="49"/>
        <v>-100</v>
      </c>
      <c r="M123" s="110"/>
      <c r="N123" s="111"/>
      <c r="P123">
        <f t="shared" si="40"/>
        <v>4.4480000000000004</v>
      </c>
      <c r="Q123" s="44">
        <f>E123+март!I123</f>
        <v>4.3319999999999999</v>
      </c>
      <c r="R123" s="30">
        <f>F123+фев!J123</f>
        <v>0</v>
      </c>
    </row>
    <row r="124" spans="1:18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54">
        <v>45</v>
      </c>
      <c r="G124" s="10">
        <f t="shared" si="43"/>
        <v>-7.1670000000000016</v>
      </c>
      <c r="H124" s="10">
        <f>D124+март!H124</f>
        <v>212.68</v>
      </c>
      <c r="I124" s="8">
        <f>E124+март!I124</f>
        <v>208.66800000000001</v>
      </c>
      <c r="J124" s="10">
        <f>F124+март!J124</f>
        <v>180</v>
      </c>
      <c r="K124" s="10">
        <f t="shared" si="44"/>
        <v>-28.668000000000006</v>
      </c>
      <c r="L124" s="16">
        <f t="shared" si="49"/>
        <v>-13.738570360572776</v>
      </c>
      <c r="M124" s="110"/>
      <c r="N124" s="111"/>
      <c r="P124">
        <f t="shared" si="40"/>
        <v>212.68</v>
      </c>
      <c r="Q124" s="44">
        <f>E124+март!I124</f>
        <v>208.66800000000001</v>
      </c>
      <c r="R124" s="30">
        <f>F124+фев!J124</f>
        <v>135</v>
      </c>
    </row>
    <row r="125" spans="1:18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55">
        <f>464.954+329.434</f>
        <v>794.38800000000003</v>
      </c>
      <c r="G125" s="10">
        <f t="shared" si="43"/>
        <v>383.05500000000001</v>
      </c>
      <c r="H125" s="10">
        <f>D125+март!H125</f>
        <v>1645.4</v>
      </c>
      <c r="I125" s="8">
        <f>E125+март!I125</f>
        <v>1645.3320000000001</v>
      </c>
      <c r="J125" s="10">
        <f>F125+март!J125</f>
        <v>2227.3760000000002</v>
      </c>
      <c r="K125" s="10">
        <f t="shared" si="44"/>
        <v>582.0440000000001</v>
      </c>
      <c r="L125" s="16">
        <f t="shared" si="49"/>
        <v>35.375474372345522</v>
      </c>
      <c r="M125" s="112" t="s">
        <v>294</v>
      </c>
      <c r="N125" s="113"/>
      <c r="P125">
        <f t="shared" si="40"/>
        <v>1645.4</v>
      </c>
      <c r="Q125" s="44">
        <f>E125+март!I125</f>
        <v>1645.3320000000001</v>
      </c>
      <c r="R125" s="30">
        <f>F125+фев!J125</f>
        <v>1704.6510000000001</v>
      </c>
    </row>
    <row r="126" spans="1:18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54">
        <v>53.1</v>
      </c>
      <c r="G126" s="10">
        <f t="shared" si="43"/>
        <v>4.4329999999999998</v>
      </c>
      <c r="H126" s="10">
        <f>D126+март!H126</f>
        <v>194.816</v>
      </c>
      <c r="I126" s="8">
        <f>E126+март!I126</f>
        <v>194.66800000000001</v>
      </c>
      <c r="J126" s="10">
        <f>F126+март!J126</f>
        <v>212.34</v>
      </c>
      <c r="K126" s="10">
        <f t="shared" si="44"/>
        <v>17.671999999999997</v>
      </c>
      <c r="L126" s="16">
        <f t="shared" si="49"/>
        <v>9.0780200135615488</v>
      </c>
      <c r="M126" s="110"/>
      <c r="N126" s="111"/>
      <c r="P126">
        <f t="shared" si="40"/>
        <v>194.816</v>
      </c>
      <c r="Q126" s="44">
        <f>E126+март!I126</f>
        <v>194.66800000000001</v>
      </c>
      <c r="R126" s="30">
        <f>F126+фев!J126</f>
        <v>106.2</v>
      </c>
    </row>
    <row r="127" spans="1:18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54">
        <v>105</v>
      </c>
      <c r="G127" s="10">
        <f t="shared" si="43"/>
        <v>67</v>
      </c>
      <c r="H127" s="10">
        <f>D127+март!H127</f>
        <v>152.05199999999999</v>
      </c>
      <c r="I127" s="8">
        <f>E127+март!I127</f>
        <v>152</v>
      </c>
      <c r="J127" s="10">
        <f>F127+март!J127</f>
        <v>105</v>
      </c>
      <c r="K127" s="10">
        <f t="shared" si="44"/>
        <v>-47</v>
      </c>
      <c r="L127" s="16">
        <f t="shared" si="49"/>
        <v>-30.921052631578949</v>
      </c>
      <c r="M127" s="110"/>
      <c r="N127" s="111"/>
      <c r="P127">
        <f t="shared" si="40"/>
        <v>152.05199999999999</v>
      </c>
      <c r="Q127" s="44">
        <f>E127+март!I127</f>
        <v>152</v>
      </c>
      <c r="R127" s="30">
        <f>F127+фев!J127</f>
        <v>105</v>
      </c>
    </row>
    <row r="128" spans="1:18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>
        <v>368.68400000000003</v>
      </c>
      <c r="G128" s="10">
        <f t="shared" si="43"/>
        <v>368.68400000000003</v>
      </c>
      <c r="H128" s="10">
        <f>D128+март!H128</f>
        <v>0</v>
      </c>
      <c r="I128" s="8">
        <f>E128+март!I128</f>
        <v>0</v>
      </c>
      <c r="J128" s="87">
        <f>F128+март!J128</f>
        <v>640.45500000000004</v>
      </c>
      <c r="K128" s="10">
        <f t="shared" si="44"/>
        <v>640.45500000000004</v>
      </c>
      <c r="L128" s="16" t="e">
        <f t="shared" si="49"/>
        <v>#DIV/0!</v>
      </c>
      <c r="M128" s="110"/>
      <c r="N128" s="111"/>
      <c r="P128">
        <f t="shared" si="40"/>
        <v>0</v>
      </c>
      <c r="Q128" s="44">
        <f>E128+март!I128</f>
        <v>0</v>
      </c>
      <c r="R128" s="30">
        <f>F128+фев!J128</f>
        <v>404.57600000000002</v>
      </c>
    </row>
    <row r="129" spans="1:18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3"/>
        <v>0</v>
      </c>
      <c r="H129" s="10">
        <f>D129+март!H129</f>
        <v>0</v>
      </c>
      <c r="I129" s="8">
        <f>E129+март!I129</f>
        <v>0</v>
      </c>
      <c r="J129" s="10">
        <f>F129+март!J129</f>
        <v>0</v>
      </c>
      <c r="K129" s="10">
        <f t="shared" si="44"/>
        <v>0</v>
      </c>
      <c r="L129" s="16" t="e">
        <f t="shared" si="49"/>
        <v>#DIV/0!</v>
      </c>
      <c r="M129" s="110"/>
      <c r="N129" s="111"/>
      <c r="P129">
        <f t="shared" si="40"/>
        <v>0</v>
      </c>
      <c r="Q129" s="44">
        <f>E129+март!I129</f>
        <v>0</v>
      </c>
      <c r="R129" s="30">
        <f>F129+фев!J129</f>
        <v>0</v>
      </c>
    </row>
    <row r="130" spans="1:18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/>
      <c r="G130" s="10">
        <f t="shared" si="43"/>
        <v>0</v>
      </c>
      <c r="H130" s="10">
        <f>D130+март!H130</f>
        <v>0</v>
      </c>
      <c r="I130" s="8">
        <f>E130+март!I130</f>
        <v>0</v>
      </c>
      <c r="J130" s="10">
        <f>F130+март!J130</f>
        <v>0</v>
      </c>
      <c r="K130" s="10">
        <f t="shared" si="44"/>
        <v>0</v>
      </c>
      <c r="L130" s="16" t="e">
        <f t="shared" si="49"/>
        <v>#DIV/0!</v>
      </c>
      <c r="M130" s="112" t="s">
        <v>288</v>
      </c>
      <c r="N130" s="113"/>
      <c r="P130">
        <f t="shared" si="40"/>
        <v>0</v>
      </c>
      <c r="Q130" s="44">
        <f>E130+март!I130</f>
        <v>0</v>
      </c>
      <c r="R130" s="30">
        <f>F130+фев!J130</f>
        <v>0</v>
      </c>
    </row>
    <row r="131" spans="1:18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54">
        <v>208.75</v>
      </c>
      <c r="G131" s="10">
        <f t="shared" si="43"/>
        <v>139</v>
      </c>
      <c r="H131" s="10">
        <f>D131+март!H131</f>
        <v>279.13200000000001</v>
      </c>
      <c r="I131" s="8">
        <f>E131+март!I131</f>
        <v>279</v>
      </c>
      <c r="J131" s="10">
        <f>F131+март!J131</f>
        <v>208.75</v>
      </c>
      <c r="K131" s="10">
        <f t="shared" si="44"/>
        <v>-70.25</v>
      </c>
      <c r="L131" s="16">
        <f t="shared" si="49"/>
        <v>-25.179211469534053</v>
      </c>
      <c r="M131" s="110"/>
      <c r="N131" s="111"/>
      <c r="P131">
        <f t="shared" si="40"/>
        <v>279.13200000000001</v>
      </c>
      <c r="Q131" s="44">
        <f>E131+март!I131</f>
        <v>279</v>
      </c>
      <c r="R131" s="30">
        <f>F131+фев!J131</f>
        <v>208.75</v>
      </c>
    </row>
    <row r="132" spans="1:18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3"/>
        <v>0</v>
      </c>
      <c r="H132" s="10">
        <f>D132+март!H132</f>
        <v>0</v>
      </c>
      <c r="I132" s="8">
        <f>E132+март!I132</f>
        <v>0</v>
      </c>
      <c r="J132" s="10">
        <f>F132+март!J132</f>
        <v>0</v>
      </c>
      <c r="K132" s="10">
        <f t="shared" si="44"/>
        <v>0</v>
      </c>
      <c r="L132" s="16"/>
      <c r="M132" s="110"/>
      <c r="N132" s="111"/>
      <c r="P132">
        <f t="shared" si="40"/>
        <v>0</v>
      </c>
      <c r="Q132" s="44">
        <f>E132+март!I132</f>
        <v>0</v>
      </c>
      <c r="R132" s="30">
        <f>F132+фев!J132</f>
        <v>0</v>
      </c>
    </row>
    <row r="133" spans="1:18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3"/>
        <v>0</v>
      </c>
      <c r="H133" s="10">
        <f>D133+март!H133</f>
        <v>0</v>
      </c>
      <c r="I133" s="10">
        <f>E133+март!I133</f>
        <v>0</v>
      </c>
      <c r="J133" s="10">
        <f>F133+март!J133</f>
        <v>0</v>
      </c>
      <c r="K133" s="10">
        <f t="shared" si="44"/>
        <v>0</v>
      </c>
      <c r="L133" s="16"/>
      <c r="M133" s="110"/>
      <c r="N133" s="111"/>
      <c r="P133">
        <f t="shared" si="40"/>
        <v>0</v>
      </c>
      <c r="Q133" s="44">
        <f>E133+март!I133</f>
        <v>0</v>
      </c>
      <c r="R133" s="30">
        <f>F133+фев!J133</f>
        <v>0</v>
      </c>
    </row>
    <row r="134" spans="1:18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43"/>
        <v>-6.5</v>
      </c>
      <c r="H134" s="10">
        <f>D134+март!H134</f>
        <v>25.9</v>
      </c>
      <c r="I134" s="10">
        <f>E134+март!I134</f>
        <v>26</v>
      </c>
      <c r="J134" s="10">
        <f>F134+март!J134</f>
        <v>0</v>
      </c>
      <c r="K134" s="10">
        <f t="shared" si="44"/>
        <v>-26</v>
      </c>
      <c r="L134" s="16">
        <f t="shared" si="49"/>
        <v>-100</v>
      </c>
      <c r="M134" s="110"/>
      <c r="N134" s="111"/>
      <c r="P134">
        <f t="shared" si="40"/>
        <v>25.9</v>
      </c>
      <c r="Q134" s="44">
        <f>E134+март!I134</f>
        <v>26</v>
      </c>
      <c r="R134" s="30">
        <f>F134+фев!J134</f>
        <v>0</v>
      </c>
    </row>
    <row r="135" spans="1:18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3"/>
        <v>0</v>
      </c>
      <c r="H135" s="10">
        <f>D135+март!H135</f>
        <v>0</v>
      </c>
      <c r="I135" s="10">
        <f>E135+март!I135</f>
        <v>0</v>
      </c>
      <c r="J135" s="10">
        <f>F135+март!J135</f>
        <v>0</v>
      </c>
      <c r="K135" s="10">
        <f t="shared" si="44"/>
        <v>0</v>
      </c>
      <c r="L135" s="16"/>
      <c r="M135" s="110"/>
      <c r="N135" s="111"/>
      <c r="P135">
        <f t="shared" si="40"/>
        <v>0</v>
      </c>
      <c r="Q135" s="44">
        <f>E135+март!I135</f>
        <v>0</v>
      </c>
      <c r="R135" s="30">
        <f>F135+фев!J135</f>
        <v>0</v>
      </c>
    </row>
    <row r="136" spans="1:18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54">
        <v>79.167000000000002</v>
      </c>
      <c r="G136" s="10">
        <f t="shared" si="43"/>
        <v>0</v>
      </c>
      <c r="H136" s="10">
        <f>D136+март!H136</f>
        <v>0</v>
      </c>
      <c r="I136" s="8">
        <f>E136+март!I136</f>
        <v>316.66800000000001</v>
      </c>
      <c r="J136" s="10">
        <f>F136+март!J136</f>
        <v>316.67600000000004</v>
      </c>
      <c r="K136" s="10">
        <f t="shared" si="44"/>
        <v>8.0000000000381988E-3</v>
      </c>
      <c r="L136" s="16">
        <f t="shared" si="49"/>
        <v>2.5263051524114211E-3</v>
      </c>
      <c r="M136" s="72"/>
      <c r="N136" s="73"/>
      <c r="P136">
        <f t="shared" si="40"/>
        <v>0</v>
      </c>
      <c r="Q136" s="44">
        <f>E136+март!I136</f>
        <v>316.66800000000001</v>
      </c>
      <c r="R136" s="30">
        <f>F136+фев!J136</f>
        <v>237.50700000000001</v>
      </c>
    </row>
    <row r="137" spans="1:18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54">
        <v>250</v>
      </c>
      <c r="G137" s="10">
        <f t="shared" si="43"/>
        <v>166.667</v>
      </c>
      <c r="H137" s="10">
        <f>D137+март!H137</f>
        <v>0</v>
      </c>
      <c r="I137" s="8">
        <f>E137+март!I137</f>
        <v>333.33199999999999</v>
      </c>
      <c r="J137" s="10">
        <f>F137+март!J137</f>
        <v>250</v>
      </c>
      <c r="K137" s="10">
        <f t="shared" si="44"/>
        <v>-83.331999999999994</v>
      </c>
      <c r="L137" s="16">
        <f t="shared" si="49"/>
        <v>-24.999699998799993</v>
      </c>
      <c r="M137" s="72"/>
      <c r="N137" s="73"/>
      <c r="O137" s="30">
        <f>F138-O138</f>
        <v>0</v>
      </c>
      <c r="P137">
        <f t="shared" ref="P137:P200" si="61">D137*4</f>
        <v>0</v>
      </c>
      <c r="Q137" s="44">
        <f>E137+март!I137</f>
        <v>333.33199999999999</v>
      </c>
      <c r="R137" s="30">
        <f>F137+фев!J137</f>
        <v>250</v>
      </c>
    </row>
    <row r="138" spans="1:18" ht="17.25" customHeight="1">
      <c r="A138" s="74" t="s">
        <v>126</v>
      </c>
      <c r="B138" s="6" t="s">
        <v>127</v>
      </c>
      <c r="C138" s="8" t="s">
        <v>4</v>
      </c>
      <c r="D138" s="7">
        <f t="shared" ref="D138:J138" si="62">D139</f>
        <v>3385.116</v>
      </c>
      <c r="E138" s="7">
        <f t="shared" si="62"/>
        <v>2989.2490000000003</v>
      </c>
      <c r="F138" s="7">
        <f t="shared" si="62"/>
        <v>2424.3829999999998</v>
      </c>
      <c r="G138" s="10">
        <f t="shared" si="43"/>
        <v>-564.86600000000044</v>
      </c>
      <c r="H138" s="7">
        <f t="shared" si="62"/>
        <v>13540.464</v>
      </c>
      <c r="I138" s="7">
        <f t="shared" si="62"/>
        <v>11956.996000000001</v>
      </c>
      <c r="J138" s="7">
        <f t="shared" si="62"/>
        <v>9173.1960000000017</v>
      </c>
      <c r="K138" s="10">
        <f t="shared" si="44"/>
        <v>-2783.7999999999993</v>
      </c>
      <c r="L138" s="16">
        <f t="shared" si="49"/>
        <v>-23.281767427203278</v>
      </c>
      <c r="M138" s="110"/>
      <c r="N138" s="111"/>
      <c r="O138">
        <v>2424.3829999999998</v>
      </c>
      <c r="P138">
        <f t="shared" si="61"/>
        <v>13540.464</v>
      </c>
      <c r="Q138" s="44">
        <f>E138+март!I138</f>
        <v>11956.995999999999</v>
      </c>
      <c r="R138" s="30">
        <f>F138+фев!J138</f>
        <v>6770.5389999999998</v>
      </c>
    </row>
    <row r="139" spans="1:18" ht="17.25" customHeight="1">
      <c r="A139" s="74">
        <v>6</v>
      </c>
      <c r="B139" s="6" t="s">
        <v>128</v>
      </c>
      <c r="C139" s="74" t="s">
        <v>4</v>
      </c>
      <c r="D139" s="7">
        <f>D140+D145+D146+D147+D148+D149+D150+D151+D154+D156+D172+D176+D177+D179+D184+D183+D188</f>
        <v>3385.116</v>
      </c>
      <c r="E139" s="7">
        <f t="shared" ref="E139:F139" si="63">E140+E145+E146+E147+E148+E149+E150+E151+E154+E156+E172+E176+E177+E179+E184+E183+E188</f>
        <v>2989.2490000000003</v>
      </c>
      <c r="F139" s="7">
        <f t="shared" si="63"/>
        <v>2424.3829999999998</v>
      </c>
      <c r="G139" s="10">
        <f>F139-E139</f>
        <v>-564.86600000000044</v>
      </c>
      <c r="H139" s="7">
        <f t="shared" ref="H139:J139" si="64">H140+H145+H146+H147+H148+H149+H150+H151+H154+H156+H172+H176+H177+H179+H184+H183+H188</f>
        <v>13540.464</v>
      </c>
      <c r="I139" s="7">
        <f t="shared" si="64"/>
        <v>11956.996000000001</v>
      </c>
      <c r="J139" s="89">
        <f t="shared" si="64"/>
        <v>9173.1960000000017</v>
      </c>
      <c r="K139" s="10">
        <f t="shared" si="44"/>
        <v>-2783.7999999999993</v>
      </c>
      <c r="L139" s="16">
        <f t="shared" si="49"/>
        <v>-23.281767427203278</v>
      </c>
      <c r="M139" s="110"/>
      <c r="N139" s="111"/>
      <c r="P139">
        <f t="shared" si="61"/>
        <v>13540.464</v>
      </c>
      <c r="Q139" s="44">
        <f>E139+март!I139</f>
        <v>11956.995999999999</v>
      </c>
      <c r="R139" s="30">
        <f>F139+фев!J139</f>
        <v>6770.5389999999998</v>
      </c>
    </row>
    <row r="140" spans="1:18" ht="17.25" customHeight="1">
      <c r="A140" s="74" t="s">
        <v>129</v>
      </c>
      <c r="B140" s="6" t="s">
        <v>130</v>
      </c>
      <c r="C140" s="74" t="s">
        <v>4</v>
      </c>
      <c r="D140" s="7">
        <f t="shared" ref="D140:F140" si="65">D141+D142</f>
        <v>97.608999999999995</v>
      </c>
      <c r="E140" s="7">
        <f t="shared" si="65"/>
        <v>97.582999999999998</v>
      </c>
      <c r="F140" s="7">
        <f t="shared" si="65"/>
        <v>40.42</v>
      </c>
      <c r="G140" s="10">
        <f t="shared" ref="G140:G204" si="66">F140-E140</f>
        <v>-57.162999999999997</v>
      </c>
      <c r="H140" s="7">
        <f t="shared" ref="H140:J140" si="67">H141+H142</f>
        <v>390.43599999999998</v>
      </c>
      <c r="I140" s="7">
        <f t="shared" si="67"/>
        <v>390.33199999999999</v>
      </c>
      <c r="J140" s="7">
        <f t="shared" si="67"/>
        <v>292.99800000000005</v>
      </c>
      <c r="K140" s="10">
        <f t="shared" ref="K140:K204" si="68">J140-I140</f>
        <v>-97.333999999999946</v>
      </c>
      <c r="L140" s="16">
        <f t="shared" si="49"/>
        <v>-24.936208151009893</v>
      </c>
      <c r="M140" s="110"/>
      <c r="N140" s="111"/>
      <c r="P140">
        <f t="shared" si="61"/>
        <v>390.43599999999998</v>
      </c>
      <c r="Q140" s="44">
        <f>E140+март!I140</f>
        <v>390.33199999999999</v>
      </c>
      <c r="R140" s="30">
        <f>F140+фев!J140</f>
        <v>250.488</v>
      </c>
    </row>
    <row r="141" spans="1:18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87">
        <f>14.765+14.75</f>
        <v>29.515000000000001</v>
      </c>
      <c r="G141" s="10">
        <f t="shared" si="66"/>
        <v>-12.984999999999999</v>
      </c>
      <c r="H141" s="10">
        <f>D141+март!H141</f>
        <v>170.21199999999999</v>
      </c>
      <c r="I141" s="10">
        <f>E141+март!I141</f>
        <v>170</v>
      </c>
      <c r="J141" s="10">
        <f>F141+март!J141</f>
        <v>157.04500000000002</v>
      </c>
      <c r="K141" s="10">
        <f t="shared" si="68"/>
        <v>-12.954999999999984</v>
      </c>
      <c r="L141" s="16">
        <f t="shared" si="49"/>
        <v>-7.6205882352941083</v>
      </c>
      <c r="M141" s="110"/>
      <c r="N141" s="111"/>
      <c r="P141">
        <f t="shared" si="61"/>
        <v>170.21199999999999</v>
      </c>
      <c r="Q141" s="44">
        <f>E141+март!I141</f>
        <v>170</v>
      </c>
      <c r="R141" s="30">
        <f>F141+фев!J141</f>
        <v>114.535</v>
      </c>
    </row>
    <row r="142" spans="1:18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>
        <v>10.904999999999999</v>
      </c>
      <c r="G142" s="10">
        <f t="shared" si="66"/>
        <v>-44.177999999999997</v>
      </c>
      <c r="H142" s="10">
        <f>D142+март!H142</f>
        <v>220.22399999999999</v>
      </c>
      <c r="I142" s="8">
        <f>E142+март!I142</f>
        <v>220.33199999999999</v>
      </c>
      <c r="J142" s="10">
        <f>F142+март!J142</f>
        <v>135.953</v>
      </c>
      <c r="K142" s="10">
        <f t="shared" si="68"/>
        <v>-84.378999999999991</v>
      </c>
      <c r="L142" s="16">
        <f t="shared" si="49"/>
        <v>-38.296298313454244</v>
      </c>
      <c r="M142" s="110"/>
      <c r="N142" s="111"/>
      <c r="P142">
        <f t="shared" si="61"/>
        <v>220.22399999999999</v>
      </c>
      <c r="Q142" s="44">
        <f>E142+март!I142</f>
        <v>220.33199999999999</v>
      </c>
      <c r="R142" s="30">
        <f>F142+фев!J142</f>
        <v>135.953</v>
      </c>
    </row>
    <row r="143" spans="1:18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>
        <v>552</v>
      </c>
      <c r="G143" s="10">
        <f t="shared" si="66"/>
        <v>-2265</v>
      </c>
      <c r="H143" s="10">
        <f>D143+март!H143</f>
        <v>11266.668</v>
      </c>
      <c r="I143" s="59"/>
      <c r="J143" s="10">
        <f>F143+март!J143</f>
        <v>552</v>
      </c>
      <c r="K143" s="10">
        <f t="shared" si="68"/>
        <v>552</v>
      </c>
      <c r="L143" s="16"/>
      <c r="M143" s="110"/>
      <c r="N143" s="111"/>
      <c r="P143">
        <f t="shared" si="61"/>
        <v>11266.668</v>
      </c>
      <c r="Q143" s="44">
        <f>E143+март!I143</f>
        <v>2817</v>
      </c>
      <c r="R143" s="30">
        <f>F143+фев!J143</f>
        <v>552</v>
      </c>
    </row>
    <row r="144" spans="1:18" ht="17.25" customHeight="1">
      <c r="A144" s="8"/>
      <c r="B144" s="12" t="s">
        <v>15</v>
      </c>
      <c r="C144" s="13" t="s">
        <v>16</v>
      </c>
      <c r="D144" s="16">
        <f t="shared" ref="D144:F144" si="69">D142/D143*1000</f>
        <v>19.546506562543602</v>
      </c>
      <c r="E144" s="16">
        <f t="shared" si="69"/>
        <v>19.553780617678381</v>
      </c>
      <c r="F144" s="16">
        <f t="shared" si="69"/>
        <v>19.755434782608695</v>
      </c>
      <c r="G144" s="10">
        <f t="shared" si="66"/>
        <v>0.20165416493031429</v>
      </c>
      <c r="H144" s="16">
        <f t="shared" ref="H144:J144" si="70">H142/H143*1000</f>
        <v>19.546506562543602</v>
      </c>
      <c r="I144" s="16"/>
      <c r="J144" s="16">
        <f t="shared" si="70"/>
        <v>246.29166666666666</v>
      </c>
      <c r="K144" s="10">
        <f t="shared" si="68"/>
        <v>246.29166666666666</v>
      </c>
      <c r="L144" s="16"/>
      <c r="M144" s="110"/>
      <c r="N144" s="111"/>
      <c r="P144">
        <f t="shared" si="61"/>
        <v>78.186026250174407</v>
      </c>
      <c r="Q144" s="44">
        <f>E144+март!I144</f>
        <v>19.553780617678381</v>
      </c>
      <c r="R144" s="30">
        <f>F144+фев!J144</f>
        <v>19.755434782608695</v>
      </c>
    </row>
    <row r="145" spans="1:18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87">
        <f>1557.948-F149</f>
        <v>1557.9480000000001</v>
      </c>
      <c r="G145" s="10">
        <f t="shared" si="66"/>
        <v>141.53100000000018</v>
      </c>
      <c r="H145" s="10">
        <f>D145+март!H145</f>
        <v>7657.4319999999998</v>
      </c>
      <c r="I145" s="10">
        <f>E145+март!I145</f>
        <v>5665.6679999999997</v>
      </c>
      <c r="J145" s="10">
        <f>F145+март!J145</f>
        <v>5418.049</v>
      </c>
      <c r="K145" s="10">
        <f t="shared" si="68"/>
        <v>-247.61899999999969</v>
      </c>
      <c r="L145" s="16">
        <f t="shared" si="49"/>
        <v>-4.3705172982250229</v>
      </c>
      <c r="M145" s="117"/>
      <c r="N145" s="118"/>
      <c r="P145">
        <f t="shared" si="61"/>
        <v>7657.4319999999998</v>
      </c>
      <c r="Q145" s="44">
        <f>E145+март!I145</f>
        <v>5665.6679999999997</v>
      </c>
      <c r="R145" s="30">
        <f>F145+фев!J145</f>
        <v>3812.12</v>
      </c>
    </row>
    <row r="146" spans="1:18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6">
        <v>81.475999999999999</v>
      </c>
      <c r="G146" s="10">
        <f t="shared" si="66"/>
        <v>4.9759999999999991</v>
      </c>
      <c r="H146" s="10">
        <f>D146+март!H146</f>
        <v>421.16</v>
      </c>
      <c r="I146" s="10">
        <f>E146+март!I146</f>
        <v>306</v>
      </c>
      <c r="J146" s="10">
        <f>F146+март!J146</f>
        <v>322.41899999999998</v>
      </c>
      <c r="K146" s="10">
        <f t="shared" si="68"/>
        <v>16.418999999999983</v>
      </c>
      <c r="L146" s="16">
        <f t="shared" si="49"/>
        <v>5.3656862745097982</v>
      </c>
      <c r="M146" s="117"/>
      <c r="N146" s="118"/>
      <c r="P146">
        <f t="shared" si="61"/>
        <v>421.16</v>
      </c>
      <c r="Q146" s="44">
        <f>E146+март!I146</f>
        <v>306</v>
      </c>
      <c r="R146" s="30">
        <f>F146+фев!J146</f>
        <v>224.72</v>
      </c>
    </row>
    <row r="147" spans="1:18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6">
        <v>38.473999999999997</v>
      </c>
      <c r="G147" s="10">
        <f t="shared" si="66"/>
        <v>-25.276000000000003</v>
      </c>
      <c r="H147" s="10">
        <f>D147+март!H147</f>
        <v>336.928</v>
      </c>
      <c r="I147" s="10">
        <f>E147+март!I147</f>
        <v>255</v>
      </c>
      <c r="J147" s="10">
        <f>F147+март!J147</f>
        <v>151.49399999999997</v>
      </c>
      <c r="K147" s="10">
        <f t="shared" si="68"/>
        <v>-103.50600000000003</v>
      </c>
      <c r="L147" s="16">
        <f t="shared" si="49"/>
        <v>-40.590588235294128</v>
      </c>
      <c r="M147" s="76"/>
      <c r="N147" s="77"/>
      <c r="P147">
        <f t="shared" si="61"/>
        <v>336.928</v>
      </c>
      <c r="Q147" s="44">
        <f>E147+март!I147</f>
        <v>255</v>
      </c>
      <c r="R147" s="30">
        <f>F147+фев!J147</f>
        <v>106.37099999999998</v>
      </c>
    </row>
    <row r="148" spans="1:18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6">
        <v>18.213000000000001</v>
      </c>
      <c r="G148" s="10">
        <f t="shared" si="66"/>
        <v>-3.036999999999999</v>
      </c>
      <c r="H148" s="10">
        <f>D148+март!H148</f>
        <v>0</v>
      </c>
      <c r="I148" s="10">
        <f>E148+март!I148</f>
        <v>85</v>
      </c>
      <c r="J148" s="10">
        <f>F148+март!J148</f>
        <v>69.332999999999998</v>
      </c>
      <c r="K148" s="10">
        <f t="shared" si="68"/>
        <v>-15.667000000000002</v>
      </c>
      <c r="L148" s="16">
        <f t="shared" si="49"/>
        <v>-18.431764705882355</v>
      </c>
      <c r="M148" s="76"/>
      <c r="N148" s="77"/>
      <c r="P148">
        <f t="shared" si="61"/>
        <v>0</v>
      </c>
      <c r="Q148" s="44">
        <f>E148+март!I148</f>
        <v>85</v>
      </c>
      <c r="R148" s="30">
        <f>F148+фев!J148</f>
        <v>48.001000000000005</v>
      </c>
    </row>
    <row r="149" spans="1:18" ht="17.25" customHeight="1">
      <c r="A149" s="8"/>
      <c r="B149" s="9" t="s">
        <v>315</v>
      </c>
      <c r="C149" s="8" t="s">
        <v>4</v>
      </c>
      <c r="D149" s="10"/>
      <c r="E149" s="10"/>
      <c r="F149" s="10"/>
      <c r="G149" s="10">
        <f t="shared" si="66"/>
        <v>0</v>
      </c>
      <c r="H149" s="10">
        <f>D149+март!H149</f>
        <v>0</v>
      </c>
      <c r="I149" s="10">
        <f>E149+март!I149</f>
        <v>0</v>
      </c>
      <c r="J149" s="10">
        <f>F149+март!J149</f>
        <v>211.14000000000004</v>
      </c>
      <c r="K149" s="10"/>
      <c r="L149" s="16"/>
      <c r="M149" s="76"/>
      <c r="N149" s="77"/>
      <c r="P149">
        <f t="shared" si="61"/>
        <v>0</v>
      </c>
      <c r="Q149" s="44">
        <f>E149+март!I149</f>
        <v>0</v>
      </c>
      <c r="R149" s="30">
        <f>F149+фев!J149</f>
        <v>173.54700000000003</v>
      </c>
    </row>
    <row r="150" spans="1:18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6">
        <v>123.57599999999999</v>
      </c>
      <c r="G150" s="10">
        <f t="shared" si="66"/>
        <v>45.992999999999995</v>
      </c>
      <c r="H150" s="10">
        <f>D150+март!H150</f>
        <v>310.32</v>
      </c>
      <c r="I150" s="10">
        <f>E150+март!I150</f>
        <v>310.33199999999999</v>
      </c>
      <c r="J150" s="10">
        <f>F150+март!J150</f>
        <v>562.10500000000002</v>
      </c>
      <c r="K150" s="10">
        <f t="shared" si="68"/>
        <v>251.77300000000002</v>
      </c>
      <c r="L150" s="16">
        <f t="shared" si="49"/>
        <v>81.130208937524984</v>
      </c>
      <c r="M150" s="117" t="s">
        <v>301</v>
      </c>
      <c r="N150" s="118"/>
      <c r="P150">
        <f t="shared" si="61"/>
        <v>310.32</v>
      </c>
      <c r="Q150" s="44">
        <f>E150+март!I150</f>
        <v>310.33199999999999</v>
      </c>
      <c r="R150" s="30">
        <f>F150+фев!J150</f>
        <v>464.16800000000001</v>
      </c>
    </row>
    <row r="151" spans="1:18" ht="17.25" customHeight="1">
      <c r="A151" s="74" t="s">
        <v>139</v>
      </c>
      <c r="B151" s="6" t="s">
        <v>140</v>
      </c>
      <c r="C151" s="74" t="s">
        <v>4</v>
      </c>
      <c r="D151" s="7">
        <f t="shared" ref="D151:F151" si="71">D152+D153</f>
        <v>239.149</v>
      </c>
      <c r="E151" s="74">
        <v>47.832999999999998</v>
      </c>
      <c r="F151" s="7">
        <f t="shared" si="71"/>
        <v>44.481999999999999</v>
      </c>
      <c r="G151" s="10">
        <f t="shared" si="66"/>
        <v>-3.3509999999999991</v>
      </c>
      <c r="H151" s="7">
        <f t="shared" ref="H151" si="72">H152+H153</f>
        <v>956.596</v>
      </c>
      <c r="I151" s="10">
        <f>E151+март!I151</f>
        <v>191.33199999999999</v>
      </c>
      <c r="J151" s="7">
        <f t="shared" ref="J151" si="73">J152+J153</f>
        <v>177.93100000000001</v>
      </c>
      <c r="K151" s="10">
        <f t="shared" si="68"/>
        <v>-13.400999999999982</v>
      </c>
      <c r="L151" s="16">
        <f t="shared" si="49"/>
        <v>-7.0040557773921677</v>
      </c>
      <c r="M151" s="110"/>
      <c r="N151" s="111"/>
      <c r="P151">
        <f t="shared" si="61"/>
        <v>956.596</v>
      </c>
      <c r="Q151" s="44">
        <f>E151+март!I151</f>
        <v>191.33199999999999</v>
      </c>
      <c r="R151" s="30">
        <f>F151+фев!J151</f>
        <v>133.447</v>
      </c>
    </row>
    <row r="152" spans="1:18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6">
        <v>32.506999999999998</v>
      </c>
      <c r="G152" s="10">
        <f t="shared" si="66"/>
        <v>32.506999999999998</v>
      </c>
      <c r="H152" s="10">
        <f>D152+март!H152</f>
        <v>35.031999999999996</v>
      </c>
      <c r="I152" s="8"/>
      <c r="J152" s="10">
        <f>F152+март!J152</f>
        <v>130.03</v>
      </c>
      <c r="K152" s="10">
        <f t="shared" si="68"/>
        <v>130.03</v>
      </c>
      <c r="L152" s="16"/>
      <c r="M152" s="110"/>
      <c r="N152" s="111"/>
      <c r="P152">
        <f t="shared" si="61"/>
        <v>35.031999999999996</v>
      </c>
      <c r="Q152" s="44">
        <f>E152+март!I152</f>
        <v>0</v>
      </c>
      <c r="R152" s="30">
        <f>F152+фев!J152</f>
        <v>97.521999999999991</v>
      </c>
    </row>
    <row r="153" spans="1:18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6">
        <v>11.975</v>
      </c>
      <c r="G153" s="10">
        <f t="shared" si="66"/>
        <v>11.975</v>
      </c>
      <c r="H153" s="10">
        <f>D153+март!H153</f>
        <v>921.56399999999996</v>
      </c>
      <c r="I153" s="8"/>
      <c r="J153" s="10">
        <f>F153+март!J153</f>
        <v>47.901000000000003</v>
      </c>
      <c r="K153" s="10">
        <f t="shared" si="68"/>
        <v>47.901000000000003</v>
      </c>
      <c r="L153" s="16"/>
      <c r="M153" s="110"/>
      <c r="N153" s="111"/>
      <c r="P153">
        <f t="shared" si="61"/>
        <v>921.56399999999996</v>
      </c>
      <c r="Q153" s="44">
        <f>E153+март!I153</f>
        <v>0</v>
      </c>
      <c r="R153" s="30">
        <f>F153+фев!J153</f>
        <v>35.924999999999997</v>
      </c>
    </row>
    <row r="154" spans="1:18" ht="75.75" customHeight="1">
      <c r="A154" s="74" t="s">
        <v>144</v>
      </c>
      <c r="B154" s="6" t="s">
        <v>145</v>
      </c>
      <c r="C154" s="74" t="s">
        <v>4</v>
      </c>
      <c r="D154" s="7">
        <f t="shared" ref="D154:J154" si="74">D155</f>
        <v>13.856</v>
      </c>
      <c r="E154" s="7">
        <f t="shared" si="74"/>
        <v>13.833</v>
      </c>
      <c r="F154" s="7">
        <f t="shared" si="74"/>
        <v>75.061000000000007</v>
      </c>
      <c r="G154" s="10">
        <f t="shared" si="66"/>
        <v>61.228000000000009</v>
      </c>
      <c r="H154" s="7">
        <f t="shared" si="74"/>
        <v>55.423999999999999</v>
      </c>
      <c r="I154" s="7">
        <f t="shared" si="74"/>
        <v>55.332000000000001</v>
      </c>
      <c r="J154" s="7">
        <f t="shared" si="74"/>
        <v>135.75200000000001</v>
      </c>
      <c r="K154" s="10">
        <f t="shared" si="68"/>
        <v>80.420000000000016</v>
      </c>
      <c r="L154" s="16">
        <f t="shared" ref="L154:L203" si="75">K154/I154*100</f>
        <v>145.34085158678525</v>
      </c>
      <c r="M154" s="110"/>
      <c r="N154" s="111"/>
      <c r="P154">
        <f t="shared" si="61"/>
        <v>55.423999999999999</v>
      </c>
      <c r="Q154" s="44">
        <f>E154+март!I154</f>
        <v>55.332000000000001</v>
      </c>
      <c r="R154" s="30">
        <f>F154+фев!J154</f>
        <v>128.364</v>
      </c>
    </row>
    <row r="155" spans="1:18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6">
        <f>68.718+6.343</f>
        <v>75.061000000000007</v>
      </c>
      <c r="G155" s="10">
        <f t="shared" si="66"/>
        <v>61.228000000000009</v>
      </c>
      <c r="H155" s="10">
        <f>D155+март!H155</f>
        <v>55.423999999999999</v>
      </c>
      <c r="I155" s="10">
        <f>E155+март!I155</f>
        <v>55.332000000000001</v>
      </c>
      <c r="J155" s="10">
        <f>F155+март!J155</f>
        <v>135.75200000000001</v>
      </c>
      <c r="K155" s="10">
        <f t="shared" si="68"/>
        <v>80.420000000000016</v>
      </c>
      <c r="L155" s="16">
        <f t="shared" si="75"/>
        <v>145.34085158678525</v>
      </c>
      <c r="M155" s="110"/>
      <c r="N155" s="111"/>
      <c r="P155">
        <f t="shared" si="61"/>
        <v>55.423999999999999</v>
      </c>
      <c r="Q155" s="44">
        <f>E155+март!I155</f>
        <v>55.332000000000001</v>
      </c>
      <c r="R155" s="30">
        <f>F155+фев!J155</f>
        <v>128.364</v>
      </c>
    </row>
    <row r="156" spans="1:18" ht="18" customHeight="1">
      <c r="A156" s="74" t="s">
        <v>148</v>
      </c>
      <c r="B156" s="6" t="s">
        <v>149</v>
      </c>
      <c r="C156" s="74" t="s">
        <v>4</v>
      </c>
      <c r="D156" s="27">
        <f t="shared" ref="D156" si="76">D157+D160+D163+D166+D169</f>
        <v>71.188999999999993</v>
      </c>
      <c r="E156" s="74">
        <v>72.417000000000002</v>
      </c>
      <c r="F156" s="27">
        <f>F157+F160+F163+F166+F169</f>
        <v>120.07299999999999</v>
      </c>
      <c r="G156" s="10">
        <f t="shared" si="66"/>
        <v>47.655999999999992</v>
      </c>
      <c r="H156" s="27">
        <f t="shared" ref="H156" si="77">H157+H160+H163+H166+H169</f>
        <v>284.75599999999997</v>
      </c>
      <c r="I156" s="10">
        <f>E156+март!I156</f>
        <v>289.66800000000001</v>
      </c>
      <c r="J156" s="27">
        <f>J157+J160+J163+J166+J169</f>
        <v>525.91800000000001</v>
      </c>
      <c r="K156" s="10">
        <f t="shared" si="68"/>
        <v>236.25</v>
      </c>
      <c r="L156" s="16">
        <f t="shared" si="75"/>
        <v>81.558888106383847</v>
      </c>
      <c r="M156" s="110"/>
      <c r="N156" s="111"/>
      <c r="P156">
        <f t="shared" si="61"/>
        <v>284.75599999999997</v>
      </c>
      <c r="Q156" s="44">
        <f>E156+март!I156</f>
        <v>289.66800000000001</v>
      </c>
      <c r="R156" s="30">
        <f>F156+фев!J156</f>
        <v>418.04699999999997</v>
      </c>
    </row>
    <row r="157" spans="1:18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6">
        <v>100.58799999999999</v>
      </c>
      <c r="G157" s="10">
        <f t="shared" si="66"/>
        <v>100.58799999999999</v>
      </c>
      <c r="H157" s="10">
        <f>D157+март!H157</f>
        <v>196.11199999999999</v>
      </c>
      <c r="I157" s="8"/>
      <c r="J157" s="10">
        <f>F157+март!J157</f>
        <v>483.976</v>
      </c>
      <c r="K157" s="10">
        <f t="shared" si="68"/>
        <v>483.976</v>
      </c>
      <c r="L157" s="16"/>
      <c r="M157" s="110"/>
      <c r="N157" s="111"/>
      <c r="P157">
        <f t="shared" si="61"/>
        <v>196.11199999999999</v>
      </c>
      <c r="Q157" s="44">
        <f>E157+март!I157</f>
        <v>0</v>
      </c>
      <c r="R157" s="30">
        <f>F157+фев!J157</f>
        <v>381.65499999999997</v>
      </c>
    </row>
    <row r="158" spans="1:18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/>
      <c r="G158" s="10">
        <f t="shared" si="66"/>
        <v>0</v>
      </c>
      <c r="H158" s="10">
        <f>D158+март!H158</f>
        <v>52.576000000000001</v>
      </c>
      <c r="I158" s="8"/>
      <c r="J158" s="10">
        <f>F158+март!J158</f>
        <v>81.87</v>
      </c>
      <c r="K158" s="10">
        <f t="shared" si="68"/>
        <v>81.87</v>
      </c>
      <c r="L158" s="16"/>
      <c r="M158" s="117" t="s">
        <v>302</v>
      </c>
      <c r="N158" s="118"/>
      <c r="P158">
        <f t="shared" si="61"/>
        <v>52.576000000000001</v>
      </c>
      <c r="Q158" s="44">
        <f>E158+март!I158</f>
        <v>0</v>
      </c>
      <c r="R158" s="30">
        <f>F158+фев!J158</f>
        <v>60.019999999999996</v>
      </c>
    </row>
    <row r="159" spans="1:18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 t="e">
        <f>F157/F158*1000</f>
        <v>#DIV/0!</v>
      </c>
      <c r="G159" s="10" t="e">
        <f t="shared" si="66"/>
        <v>#DIV/0!</v>
      </c>
      <c r="H159" s="16">
        <f>H157/H158*1000</f>
        <v>3730.0669506999393</v>
      </c>
      <c r="I159" s="8"/>
      <c r="J159" s="16">
        <f>J157/J158*1000</f>
        <v>5911.5182606571389</v>
      </c>
      <c r="K159" s="10">
        <f t="shared" si="68"/>
        <v>5911.5182606571389</v>
      </c>
      <c r="L159" s="16"/>
      <c r="M159" s="110"/>
      <c r="N159" s="111"/>
      <c r="P159">
        <f t="shared" si="61"/>
        <v>14920.267802799757</v>
      </c>
      <c r="Q159" s="44">
        <f>E159+март!I159</f>
        <v>0</v>
      </c>
      <c r="R159" s="30" t="e">
        <f>F159+фев!J159</f>
        <v>#DIV/0!</v>
      </c>
    </row>
    <row r="160" spans="1:18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66"/>
        <v>0</v>
      </c>
      <c r="H160" s="10">
        <f>D160+март!H160</f>
        <v>3.6920000000000002</v>
      </c>
      <c r="I160" s="8"/>
      <c r="J160" s="10">
        <f>F160+март!J160</f>
        <v>0</v>
      </c>
      <c r="K160" s="10">
        <f t="shared" si="68"/>
        <v>0</v>
      </c>
      <c r="L160" s="16"/>
      <c r="M160" s="110"/>
      <c r="N160" s="111"/>
      <c r="P160">
        <f t="shared" si="61"/>
        <v>3.6920000000000002</v>
      </c>
      <c r="Q160" s="44">
        <f>E160+март!I160</f>
        <v>0</v>
      </c>
      <c r="R160" s="30">
        <f>F160+фев!J160</f>
        <v>0</v>
      </c>
    </row>
    <row r="161" spans="1:18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66"/>
        <v>0</v>
      </c>
      <c r="H161" s="10">
        <f>D161+март!H161</f>
        <v>3</v>
      </c>
      <c r="I161" s="8"/>
      <c r="J161" s="10">
        <f>F161+март!J161</f>
        <v>0</v>
      </c>
      <c r="K161" s="10">
        <f t="shared" si="68"/>
        <v>0</v>
      </c>
      <c r="L161" s="16"/>
      <c r="M161" s="110"/>
      <c r="N161" s="111"/>
      <c r="P161">
        <f t="shared" si="61"/>
        <v>3</v>
      </c>
      <c r="Q161" s="44">
        <f>E161+март!I161</f>
        <v>0</v>
      </c>
      <c r="R161" s="30">
        <f>F161+фев!J161</f>
        <v>0</v>
      </c>
    </row>
    <row r="162" spans="1:18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66"/>
        <v>0</v>
      </c>
      <c r="H162" s="16">
        <f>H160/H161*1000</f>
        <v>1230.6666666666667</v>
      </c>
      <c r="I162" s="8"/>
      <c r="J162" s="8"/>
      <c r="K162" s="10">
        <f t="shared" si="68"/>
        <v>0</v>
      </c>
      <c r="L162" s="16"/>
      <c r="M162" s="110"/>
      <c r="N162" s="111"/>
      <c r="P162">
        <f t="shared" si="61"/>
        <v>4922.666666666667</v>
      </c>
      <c r="Q162" s="44">
        <f>E162+март!I162</f>
        <v>0</v>
      </c>
      <c r="R162" s="30">
        <f>F162+фев!J162</f>
        <v>0</v>
      </c>
    </row>
    <row r="163" spans="1:18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6">
        <v>1.837</v>
      </c>
      <c r="G163" s="10">
        <f t="shared" si="66"/>
        <v>1.837</v>
      </c>
      <c r="H163" s="10">
        <f>D163+март!H163</f>
        <v>8.7200000000000006</v>
      </c>
      <c r="I163" s="8"/>
      <c r="J163" s="10">
        <f>F163+март!J163</f>
        <v>12.802999999999999</v>
      </c>
      <c r="K163" s="10">
        <f t="shared" si="68"/>
        <v>12.802999999999999</v>
      </c>
      <c r="L163" s="16"/>
      <c r="M163" s="110"/>
      <c r="N163" s="111"/>
      <c r="P163">
        <f t="shared" si="61"/>
        <v>8.7200000000000006</v>
      </c>
      <c r="Q163" s="44">
        <f>E163+март!I163</f>
        <v>0</v>
      </c>
      <c r="R163" s="30">
        <f>F163+фев!J163</f>
        <v>12.802999999999999</v>
      </c>
    </row>
    <row r="164" spans="1:18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/>
      <c r="G164" s="10">
        <f t="shared" si="66"/>
        <v>0</v>
      </c>
      <c r="H164" s="10">
        <f>D164+март!H164</f>
        <v>80</v>
      </c>
      <c r="I164" s="8"/>
      <c r="J164" s="10">
        <f>F164+март!J164</f>
        <v>99</v>
      </c>
      <c r="K164" s="10">
        <f t="shared" si="68"/>
        <v>99</v>
      </c>
      <c r="L164" s="16"/>
      <c r="M164" s="110"/>
      <c r="N164" s="111"/>
      <c r="P164">
        <f t="shared" si="61"/>
        <v>80</v>
      </c>
      <c r="Q164" s="44">
        <f>E164+март!I164</f>
        <v>0</v>
      </c>
      <c r="R164" s="30">
        <f>F164+фев!J164</f>
        <v>85</v>
      </c>
    </row>
    <row r="165" spans="1:18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 t="e">
        <f t="shared" ref="F165" si="78">F163/F164*1000</f>
        <v>#DIV/0!</v>
      </c>
      <c r="G165" s="10" t="e">
        <f t="shared" si="66"/>
        <v>#DIV/0!</v>
      </c>
      <c r="H165" s="16">
        <f>H163/H164*1000</f>
        <v>109.00000000000001</v>
      </c>
      <c r="I165" s="8"/>
      <c r="J165" s="16">
        <f t="shared" ref="J165" si="79">J163/J164*1000</f>
        <v>129.3232323232323</v>
      </c>
      <c r="K165" s="10">
        <f t="shared" si="68"/>
        <v>129.3232323232323</v>
      </c>
      <c r="L165" s="16"/>
      <c r="M165" s="110"/>
      <c r="N165" s="111"/>
      <c r="P165">
        <f t="shared" si="61"/>
        <v>436.00000000000006</v>
      </c>
      <c r="Q165" s="44">
        <f>E165+март!I165</f>
        <v>0</v>
      </c>
      <c r="R165" s="30" t="e">
        <f>F165+фев!J165</f>
        <v>#DIV/0!</v>
      </c>
    </row>
    <row r="166" spans="1:18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87">
        <v>16.649999999999999</v>
      </c>
      <c r="G166" s="10">
        <f t="shared" si="66"/>
        <v>16.649999999999999</v>
      </c>
      <c r="H166" s="10">
        <f>D166+март!H166</f>
        <v>76.231999999999999</v>
      </c>
      <c r="I166" s="8"/>
      <c r="J166" s="10">
        <f>F166+март!J166</f>
        <v>22.2</v>
      </c>
      <c r="K166" s="10">
        <f t="shared" si="68"/>
        <v>22.2</v>
      </c>
      <c r="L166" s="16"/>
      <c r="M166" s="110"/>
      <c r="N166" s="111"/>
      <c r="P166">
        <f t="shared" si="61"/>
        <v>76.231999999999999</v>
      </c>
      <c r="Q166" s="44">
        <f>E166+март!I166</f>
        <v>0</v>
      </c>
      <c r="R166" s="30">
        <f>F166+фев!J166</f>
        <v>16.649999999999999</v>
      </c>
    </row>
    <row r="167" spans="1:18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66"/>
        <v>0</v>
      </c>
      <c r="H167" s="14">
        <f>D167+март!H167</f>
        <v>64</v>
      </c>
      <c r="I167" s="8"/>
      <c r="J167" s="10">
        <f>F167+март!J167</f>
        <v>6</v>
      </c>
      <c r="K167" s="10">
        <f t="shared" si="68"/>
        <v>6</v>
      </c>
      <c r="L167" s="16"/>
      <c r="M167" s="110"/>
      <c r="N167" s="111"/>
      <c r="P167">
        <f t="shared" si="61"/>
        <v>64</v>
      </c>
      <c r="Q167" s="44">
        <f>E167+март!I167</f>
        <v>0</v>
      </c>
      <c r="R167" s="30">
        <f>F167+фев!J167</f>
        <v>0</v>
      </c>
    </row>
    <row r="168" spans="1:18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 t="e">
        <f>F166/F167*1000</f>
        <v>#DIV/0!</v>
      </c>
      <c r="G168" s="10" t="e">
        <f t="shared" si="66"/>
        <v>#DIV/0!</v>
      </c>
      <c r="H168" s="16">
        <f>H166/H167*1000</f>
        <v>1191.125</v>
      </c>
      <c r="I168" s="8"/>
      <c r="J168" s="16">
        <f>J166/J167*1000</f>
        <v>3699.9999999999995</v>
      </c>
      <c r="K168" s="10">
        <f t="shared" si="68"/>
        <v>3699.9999999999995</v>
      </c>
      <c r="L168" s="16"/>
      <c r="M168" s="110"/>
      <c r="N168" s="111"/>
      <c r="P168">
        <f t="shared" si="61"/>
        <v>4764.5</v>
      </c>
      <c r="Q168" s="44">
        <f>E168+март!I168</f>
        <v>0</v>
      </c>
      <c r="R168" s="30" t="e">
        <f>F168+фев!J168</f>
        <v>#DIV/0!</v>
      </c>
    </row>
    <row r="169" spans="1:18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6">
        <v>0.998</v>
      </c>
      <c r="G169" s="10">
        <f t="shared" si="66"/>
        <v>0.998</v>
      </c>
      <c r="H169" s="10">
        <f>D169+март!H169</f>
        <v>0</v>
      </c>
      <c r="I169" s="8"/>
      <c r="J169" s="10">
        <f>F169+март!J169</f>
        <v>6.9390000000000001</v>
      </c>
      <c r="K169" s="10">
        <f t="shared" si="68"/>
        <v>6.9390000000000001</v>
      </c>
      <c r="L169" s="16"/>
      <c r="M169" s="110"/>
      <c r="N169" s="111"/>
      <c r="P169">
        <f t="shared" si="61"/>
        <v>0</v>
      </c>
      <c r="Q169" s="44">
        <f>E169+март!I169</f>
        <v>0</v>
      </c>
      <c r="R169" s="30">
        <f>F169+фев!J169</f>
        <v>6.9390000000000001</v>
      </c>
    </row>
    <row r="170" spans="1:18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/>
      <c r="G170" s="10">
        <f t="shared" si="66"/>
        <v>0</v>
      </c>
      <c r="H170" s="10">
        <f>D170+март!H170</f>
        <v>0</v>
      </c>
      <c r="I170" s="8"/>
      <c r="J170" s="10">
        <f>F170+март!J170</f>
        <v>99</v>
      </c>
      <c r="K170" s="10">
        <f t="shared" si="68"/>
        <v>99</v>
      </c>
      <c r="L170" s="16"/>
      <c r="M170" s="110"/>
      <c r="N170" s="111"/>
      <c r="P170">
        <f t="shared" si="61"/>
        <v>0</v>
      </c>
      <c r="Q170" s="44">
        <f>E170+март!I170</f>
        <v>0</v>
      </c>
      <c r="R170" s="30">
        <f>F170+фев!J170</f>
        <v>85</v>
      </c>
    </row>
    <row r="171" spans="1:18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 t="e">
        <f>F169/F170*1000</f>
        <v>#DIV/0!</v>
      </c>
      <c r="G171" s="10" t="e">
        <f t="shared" si="66"/>
        <v>#DIV/0!</v>
      </c>
      <c r="H171" s="16" t="e">
        <f>H169/H170*1000</f>
        <v>#DIV/0!</v>
      </c>
      <c r="I171" s="8"/>
      <c r="J171" s="16">
        <f>J169/J170*1000</f>
        <v>70.090909090909093</v>
      </c>
      <c r="K171" s="10">
        <f t="shared" si="68"/>
        <v>70.090909090909093</v>
      </c>
      <c r="L171" s="16"/>
      <c r="M171" s="110"/>
      <c r="N171" s="111"/>
      <c r="P171" t="e">
        <f t="shared" si="61"/>
        <v>#DIV/0!</v>
      </c>
      <c r="Q171" s="44">
        <f>E171+март!I171</f>
        <v>0</v>
      </c>
      <c r="R171" s="30" t="e">
        <f>F171+фев!J171</f>
        <v>#DIV/0!</v>
      </c>
    </row>
    <row r="172" spans="1:18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10">
        <f>F173+F174+F175</f>
        <v>81.67</v>
      </c>
      <c r="G172" s="10">
        <f t="shared" si="66"/>
        <v>19.003</v>
      </c>
      <c r="H172" s="10">
        <f>D172+март!H172</f>
        <v>250.82</v>
      </c>
      <c r="I172" s="10">
        <f>E172+март!I172</f>
        <v>250.66800000000001</v>
      </c>
      <c r="J172" s="8">
        <f>J173+J174+J175</f>
        <v>260.55100000000004</v>
      </c>
      <c r="K172" s="10">
        <f t="shared" si="68"/>
        <v>9.8830000000000382</v>
      </c>
      <c r="L172" s="16">
        <f t="shared" si="75"/>
        <v>3.9426651985893848</v>
      </c>
      <c r="M172" s="110"/>
      <c r="N172" s="111"/>
      <c r="P172">
        <f t="shared" si="61"/>
        <v>250.82</v>
      </c>
      <c r="Q172" s="44">
        <f>E172+март!I172</f>
        <v>250.66800000000001</v>
      </c>
      <c r="R172" s="30">
        <f>F172+фев!J172</f>
        <v>200.45100000000002</v>
      </c>
    </row>
    <row r="173" spans="1:18" ht="17.25" customHeight="1">
      <c r="A173" s="16"/>
      <c r="B173" s="9" t="s">
        <v>221</v>
      </c>
      <c r="C173" s="8" t="s">
        <v>4</v>
      </c>
      <c r="D173" s="10"/>
      <c r="E173" s="8"/>
      <c r="F173" s="87">
        <v>33.67</v>
      </c>
      <c r="G173" s="10">
        <f t="shared" si="66"/>
        <v>33.67</v>
      </c>
      <c r="H173" s="10"/>
      <c r="I173" s="8"/>
      <c r="J173" s="10">
        <f>F173+март!J173</f>
        <v>158.73000000000002</v>
      </c>
      <c r="K173" s="10">
        <f t="shared" si="68"/>
        <v>158.73000000000002</v>
      </c>
      <c r="L173" s="16"/>
      <c r="M173" s="110"/>
      <c r="N173" s="111"/>
      <c r="P173">
        <f t="shared" si="61"/>
        <v>0</v>
      </c>
      <c r="Q173" s="44">
        <f>E173+март!I173</f>
        <v>0</v>
      </c>
      <c r="R173" s="30">
        <f>F173+фев!J173</f>
        <v>110.63000000000001</v>
      </c>
    </row>
    <row r="174" spans="1:18" ht="37.5" customHeight="1">
      <c r="A174" s="16"/>
      <c r="B174" s="9" t="s">
        <v>222</v>
      </c>
      <c r="C174" s="8" t="s">
        <v>4</v>
      </c>
      <c r="D174" s="10"/>
      <c r="E174" s="8"/>
      <c r="F174" s="10">
        <v>48</v>
      </c>
      <c r="G174" s="10">
        <f t="shared" si="66"/>
        <v>48</v>
      </c>
      <c r="H174" s="10"/>
      <c r="I174" s="8"/>
      <c r="J174" s="10">
        <f>F174+март!J174</f>
        <v>101.821</v>
      </c>
      <c r="K174" s="10">
        <f t="shared" si="68"/>
        <v>101.821</v>
      </c>
      <c r="L174" s="16"/>
      <c r="M174" s="110"/>
      <c r="N174" s="111"/>
      <c r="P174">
        <f t="shared" si="61"/>
        <v>0</v>
      </c>
      <c r="Q174" s="44">
        <f>E174+март!I174</f>
        <v>0</v>
      </c>
      <c r="R174" s="30">
        <f>F174+фев!J174</f>
        <v>89.820999999999998</v>
      </c>
    </row>
    <row r="175" spans="1:18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66"/>
        <v>0</v>
      </c>
      <c r="H175" s="10"/>
      <c r="I175" s="8"/>
      <c r="J175" s="10">
        <f>F175+март!J175</f>
        <v>0</v>
      </c>
      <c r="K175" s="10">
        <f t="shared" si="68"/>
        <v>0</v>
      </c>
      <c r="L175" s="16"/>
      <c r="M175" s="110"/>
      <c r="N175" s="111"/>
      <c r="P175">
        <f t="shared" si="61"/>
        <v>0</v>
      </c>
      <c r="Q175" s="44">
        <f>E175+март!I175</f>
        <v>0</v>
      </c>
      <c r="R175" s="30">
        <f>F175+фев!J175</f>
        <v>0</v>
      </c>
    </row>
    <row r="176" spans="1:18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6">
        <f>8.554+24.75+5.563+28.026+13.125</f>
        <v>80.018000000000001</v>
      </c>
      <c r="G176" s="10">
        <f t="shared" si="66"/>
        <v>15.100999999999999</v>
      </c>
      <c r="H176" s="10">
        <f>D176+март!H176</f>
        <v>259.62400000000002</v>
      </c>
      <c r="I176" s="10">
        <f>E176+март!I176</f>
        <v>259.66800000000001</v>
      </c>
      <c r="J176" s="10">
        <f>F176+март!J176</f>
        <v>305.517</v>
      </c>
      <c r="K176" s="10">
        <f t="shared" si="68"/>
        <v>45.84899999999999</v>
      </c>
      <c r="L176" s="16">
        <f t="shared" si="75"/>
        <v>17.656777115393499</v>
      </c>
      <c r="M176" s="110"/>
      <c r="N176" s="111"/>
      <c r="P176">
        <f t="shared" si="61"/>
        <v>259.62400000000002</v>
      </c>
      <c r="Q176" s="44">
        <f>E176+март!I176</f>
        <v>259.66800000000001</v>
      </c>
      <c r="R176" s="30">
        <f>F176+фев!J176</f>
        <v>228.441</v>
      </c>
    </row>
    <row r="177" spans="1:18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66"/>
        <v>0</v>
      </c>
      <c r="H177" s="10">
        <f>H178</f>
        <v>8.9320000000000004</v>
      </c>
      <c r="I177" s="8"/>
      <c r="J177" s="8"/>
      <c r="K177" s="10">
        <f t="shared" si="68"/>
        <v>0</v>
      </c>
      <c r="L177" s="16"/>
      <c r="M177" s="110"/>
      <c r="N177" s="111"/>
      <c r="P177">
        <f t="shared" si="61"/>
        <v>8.9320000000000004</v>
      </c>
      <c r="Q177" s="44">
        <f>E177+март!I177</f>
        <v>0</v>
      </c>
      <c r="R177" s="30">
        <f>F177+фев!J177</f>
        <v>0</v>
      </c>
    </row>
    <row r="178" spans="1:18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66"/>
        <v>0</v>
      </c>
      <c r="H178" s="10">
        <f>D178+март!H178</f>
        <v>8.9320000000000004</v>
      </c>
      <c r="I178" s="8"/>
      <c r="J178" s="10">
        <f>F178+март!J178</f>
        <v>0</v>
      </c>
      <c r="K178" s="10">
        <f t="shared" si="68"/>
        <v>0</v>
      </c>
      <c r="L178" s="16"/>
      <c r="M178" s="72"/>
      <c r="N178" s="73"/>
      <c r="P178">
        <f t="shared" si="61"/>
        <v>8.9320000000000004</v>
      </c>
      <c r="Q178" s="44">
        <f>E178+март!I178</f>
        <v>0</v>
      </c>
      <c r="R178" s="30">
        <f>F178+фев!J178</f>
        <v>0</v>
      </c>
    </row>
    <row r="179" spans="1:18" ht="17.25" customHeight="1">
      <c r="A179" s="16" t="s">
        <v>164</v>
      </c>
      <c r="B179" s="6" t="s">
        <v>169</v>
      </c>
      <c r="C179" s="74" t="s">
        <v>4</v>
      </c>
      <c r="D179" s="7">
        <f t="shared" ref="D179:F179" si="80">D180+D181+D182</f>
        <v>318.99799999999999</v>
      </c>
      <c r="E179" s="7">
        <f t="shared" si="80"/>
        <v>637.41600000000005</v>
      </c>
      <c r="F179" s="7">
        <f t="shared" si="80"/>
        <v>0</v>
      </c>
      <c r="G179" s="10">
        <f t="shared" si="66"/>
        <v>-637.41600000000005</v>
      </c>
      <c r="H179" s="7">
        <f t="shared" ref="H179:J179" si="81">H180+H181+H182</f>
        <v>1275.992</v>
      </c>
      <c r="I179" s="7">
        <f t="shared" si="81"/>
        <v>2549.6640000000002</v>
      </c>
      <c r="J179" s="7">
        <f t="shared" si="81"/>
        <v>0</v>
      </c>
      <c r="K179" s="10">
        <f t="shared" si="68"/>
        <v>-2549.6640000000002</v>
      </c>
      <c r="L179" s="16">
        <f t="shared" si="75"/>
        <v>-100</v>
      </c>
      <c r="M179" s="110"/>
      <c r="N179" s="111"/>
      <c r="P179">
        <f t="shared" si="61"/>
        <v>1275.992</v>
      </c>
      <c r="Q179" s="44">
        <f>E179+март!I179</f>
        <v>2549.6640000000002</v>
      </c>
      <c r="R179" s="30">
        <f>F179+фев!J179</f>
        <v>0</v>
      </c>
    </row>
    <row r="180" spans="1:18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66"/>
        <v>-61.332999999999998</v>
      </c>
      <c r="H180" s="10">
        <f>D180+март!H180</f>
        <v>245.172</v>
      </c>
      <c r="I180" s="10">
        <f>E180+март!I180</f>
        <v>245.33199999999999</v>
      </c>
      <c r="J180" s="10">
        <f>F180+март!J180</f>
        <v>0</v>
      </c>
      <c r="K180" s="10">
        <f t="shared" si="68"/>
        <v>-245.33199999999999</v>
      </c>
      <c r="L180" s="16">
        <f t="shared" si="75"/>
        <v>-100</v>
      </c>
      <c r="M180" s="110"/>
      <c r="N180" s="111"/>
      <c r="P180">
        <f t="shared" si="61"/>
        <v>245.172</v>
      </c>
      <c r="Q180" s="44">
        <f>E180+март!I180</f>
        <v>245.33199999999999</v>
      </c>
      <c r="R180" s="30">
        <f>F180+фев!J180</f>
        <v>0</v>
      </c>
    </row>
    <row r="181" spans="1:18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/>
      <c r="G181" s="10">
        <f t="shared" si="66"/>
        <v>-486.83300000000003</v>
      </c>
      <c r="H181" s="10">
        <f>D181+март!H181</f>
        <v>673.90800000000002</v>
      </c>
      <c r="I181" s="10">
        <f>E181+март!I181</f>
        <v>1947.3320000000001</v>
      </c>
      <c r="J181" s="10">
        <f>F181+март!J181</f>
        <v>0</v>
      </c>
      <c r="K181" s="10">
        <f t="shared" si="68"/>
        <v>-1947.3320000000001</v>
      </c>
      <c r="L181" s="16">
        <f t="shared" si="75"/>
        <v>-100</v>
      </c>
      <c r="M181" s="117" t="s">
        <v>300</v>
      </c>
      <c r="N181" s="118"/>
      <c r="P181">
        <f t="shared" si="61"/>
        <v>673.90800000000002</v>
      </c>
      <c r="Q181" s="44">
        <f>E181+март!I181</f>
        <v>1947.3320000000001</v>
      </c>
      <c r="R181" s="30">
        <f>F181+фев!J181</f>
        <v>0</v>
      </c>
    </row>
    <row r="182" spans="1:18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/>
      <c r="G182" s="10">
        <f t="shared" si="66"/>
        <v>-89.25</v>
      </c>
      <c r="H182" s="10">
        <f>D182+март!H182</f>
        <v>356.91199999999998</v>
      </c>
      <c r="I182" s="10">
        <f>E182+март!I182</f>
        <v>357</v>
      </c>
      <c r="J182" s="10">
        <f>F182+март!J182</f>
        <v>0</v>
      </c>
      <c r="K182" s="10">
        <f t="shared" si="68"/>
        <v>-357</v>
      </c>
      <c r="L182" s="16">
        <f t="shared" si="75"/>
        <v>-100</v>
      </c>
      <c r="M182" s="117" t="s">
        <v>300</v>
      </c>
      <c r="N182" s="118"/>
      <c r="P182">
        <f t="shared" si="61"/>
        <v>356.91199999999998</v>
      </c>
      <c r="Q182" s="44">
        <f>E182+март!I182</f>
        <v>357</v>
      </c>
      <c r="R182" s="30">
        <f>F182+фев!J182</f>
        <v>0</v>
      </c>
    </row>
    <row r="183" spans="1:18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6">
        <v>73.533000000000001</v>
      </c>
      <c r="G183" s="10">
        <f t="shared" si="66"/>
        <v>-19.634</v>
      </c>
      <c r="H183" s="10">
        <f>D183+март!H183</f>
        <v>382.83600000000001</v>
      </c>
      <c r="I183" s="10">
        <f>E183+март!I183</f>
        <v>372.66800000000001</v>
      </c>
      <c r="J183" s="10">
        <f>F183+март!J183</f>
        <v>314.67400000000004</v>
      </c>
      <c r="K183" s="10">
        <f t="shared" si="68"/>
        <v>-57.993999999999971</v>
      </c>
      <c r="L183" s="16">
        <f t="shared" si="75"/>
        <v>-15.561840565865589</v>
      </c>
      <c r="M183" s="112" t="s">
        <v>303</v>
      </c>
      <c r="N183" s="113"/>
      <c r="P183">
        <f t="shared" si="61"/>
        <v>382.83600000000001</v>
      </c>
      <c r="Q183" s="44">
        <f>E183+март!I183</f>
        <v>372.66800000000001</v>
      </c>
      <c r="R183" s="30">
        <f>F183+фев!J183</f>
        <v>263.065</v>
      </c>
    </row>
    <row r="184" spans="1:18" ht="33" customHeight="1">
      <c r="A184" s="74" t="s">
        <v>173</v>
      </c>
      <c r="B184" s="6" t="s">
        <v>176</v>
      </c>
      <c r="C184" s="74" t="s">
        <v>4</v>
      </c>
      <c r="D184" s="7">
        <f t="shared" ref="D184:F184" si="82">D185+D186+D187</f>
        <v>50.518000000000001</v>
      </c>
      <c r="E184" s="7">
        <v>50.5</v>
      </c>
      <c r="F184" s="7">
        <f t="shared" si="82"/>
        <v>0</v>
      </c>
      <c r="G184" s="10">
        <f t="shared" si="66"/>
        <v>-50.5</v>
      </c>
      <c r="H184" s="7">
        <f t="shared" ref="H184" si="83">H185+H186+H187</f>
        <v>202.072</v>
      </c>
      <c r="I184" s="10">
        <f>E184+март!I184</f>
        <v>202</v>
      </c>
      <c r="J184" s="7">
        <f t="shared" ref="J184" si="84">J185+J186+J187</f>
        <v>0</v>
      </c>
      <c r="K184" s="10">
        <f t="shared" si="68"/>
        <v>-202</v>
      </c>
      <c r="L184" s="16">
        <f t="shared" si="75"/>
        <v>-100</v>
      </c>
      <c r="M184" s="119" t="s">
        <v>293</v>
      </c>
      <c r="N184" s="120"/>
      <c r="O184" s="7">
        <f t="shared" ref="O184" si="85">O185+O186+O187</f>
        <v>343.50800000000004</v>
      </c>
      <c r="P184">
        <f t="shared" si="61"/>
        <v>202.072</v>
      </c>
      <c r="Q184" s="44">
        <f>E184+март!I184</f>
        <v>202</v>
      </c>
      <c r="R184" s="30">
        <f>F184+фев!J184</f>
        <v>0</v>
      </c>
    </row>
    <row r="185" spans="1:18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10"/>
      <c r="G185" s="10">
        <f t="shared" si="66"/>
        <v>0</v>
      </c>
      <c r="H185" s="10">
        <f>D185+март!H185</f>
        <v>77.016000000000005</v>
      </c>
      <c r="I185" s="10">
        <f>E185+март!I185</f>
        <v>0</v>
      </c>
      <c r="J185" s="10">
        <f>F185+март!J185</f>
        <v>0</v>
      </c>
      <c r="K185" s="10">
        <f t="shared" si="68"/>
        <v>0</v>
      </c>
      <c r="L185" s="16"/>
      <c r="M185" s="110"/>
      <c r="N185" s="111"/>
      <c r="O185" s="10">
        <v>130.12</v>
      </c>
      <c r="P185">
        <f t="shared" si="61"/>
        <v>77.016000000000005</v>
      </c>
      <c r="Q185" s="44">
        <f>E185+март!I185</f>
        <v>0</v>
      </c>
      <c r="R185" s="30">
        <f>F185+фев!J185</f>
        <v>0</v>
      </c>
    </row>
    <row r="186" spans="1:18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66"/>
        <v>0</v>
      </c>
      <c r="H186" s="10">
        <f>D186+март!H186</f>
        <v>35.055999999999997</v>
      </c>
      <c r="I186" s="10">
        <f>E186+март!I186</f>
        <v>0</v>
      </c>
      <c r="J186" s="10">
        <f>F186+март!J186</f>
        <v>0</v>
      </c>
      <c r="K186" s="10">
        <f t="shared" si="68"/>
        <v>0</v>
      </c>
      <c r="L186" s="16"/>
      <c r="M186" s="110"/>
      <c r="N186" s="111"/>
      <c r="O186" s="8">
        <v>15.369</v>
      </c>
      <c r="P186">
        <f t="shared" si="61"/>
        <v>35.055999999999997</v>
      </c>
      <c r="Q186" s="44">
        <f>E186+март!I186</f>
        <v>0</v>
      </c>
      <c r="R186" s="30">
        <f>F186+фев!J186</f>
        <v>0</v>
      </c>
    </row>
    <row r="187" spans="1:18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66"/>
        <v>0</v>
      </c>
      <c r="H187" s="10">
        <f>D187+март!H187</f>
        <v>90</v>
      </c>
      <c r="I187" s="10">
        <f>E187+март!I187</f>
        <v>0</v>
      </c>
      <c r="J187" s="10">
        <f>F187+март!J187</f>
        <v>0</v>
      </c>
      <c r="K187" s="10">
        <f t="shared" si="68"/>
        <v>0</v>
      </c>
      <c r="L187" s="16"/>
      <c r="M187" s="110"/>
      <c r="N187" s="111"/>
      <c r="O187" s="8">
        <v>198.01900000000001</v>
      </c>
      <c r="P187">
        <f t="shared" si="61"/>
        <v>90</v>
      </c>
      <c r="Q187" s="44">
        <f>E187+март!I187</f>
        <v>0</v>
      </c>
      <c r="R187" s="30">
        <f>F187+фев!J187</f>
        <v>0</v>
      </c>
    </row>
    <row r="188" spans="1:18" ht="17.25" customHeight="1">
      <c r="A188" s="74" t="s">
        <v>175</v>
      </c>
      <c r="B188" s="6" t="s">
        <v>180</v>
      </c>
      <c r="C188" s="74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89.438999999999993</v>
      </c>
      <c r="G188" s="10">
        <f t="shared" si="66"/>
        <v>-103.977</v>
      </c>
      <c r="H188" s="7">
        <f>H189+H190+H191+H192+H197+H198+H199+H200+H204</f>
        <v>747.13600000000019</v>
      </c>
      <c r="I188" s="7">
        <f>I189+I190+I191+I192+I197+I198+I199+I200+I204</f>
        <v>773.66399999999999</v>
      </c>
      <c r="J188" s="7">
        <f>J189+J190+J191+J192+J197+J198+J199+J200+J204</f>
        <v>425.315</v>
      </c>
      <c r="K188" s="10">
        <f t="shared" si="68"/>
        <v>-348.34899999999999</v>
      </c>
      <c r="L188" s="16">
        <f t="shared" si="75"/>
        <v>-45.025876866443312</v>
      </c>
      <c r="M188" s="116"/>
      <c r="N188" s="111"/>
      <c r="P188">
        <f t="shared" si="61"/>
        <v>747.13600000000019</v>
      </c>
      <c r="Q188" s="44">
        <f>E188+март!I188</f>
        <v>773.66399999999999</v>
      </c>
      <c r="R188" s="30">
        <f>F188+фев!J188</f>
        <v>319.30899999999997</v>
      </c>
    </row>
    <row r="189" spans="1:18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66"/>
        <v>0</v>
      </c>
      <c r="H189" s="10">
        <f>D189+март!H189</f>
        <v>0</v>
      </c>
      <c r="I189" s="10">
        <f>E189+март!I189</f>
        <v>0</v>
      </c>
      <c r="J189" s="10">
        <f>F189+март!J189</f>
        <v>0</v>
      </c>
      <c r="K189" s="10">
        <f t="shared" si="68"/>
        <v>0</v>
      </c>
      <c r="L189" s="16"/>
      <c r="M189" s="110"/>
      <c r="N189" s="111"/>
      <c r="P189">
        <f t="shared" si="61"/>
        <v>0</v>
      </c>
      <c r="Q189" s="44">
        <f>E189+март!I189</f>
        <v>0</v>
      </c>
      <c r="R189" s="30">
        <f>F189+фев!J189</f>
        <v>0</v>
      </c>
    </row>
    <row r="190" spans="1:18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6">
        <v>29.395</v>
      </c>
      <c r="G190" s="10">
        <f t="shared" si="66"/>
        <v>7.1449999999999996</v>
      </c>
      <c r="H190" s="10">
        <f>D190+март!H190</f>
        <v>62.603999999999999</v>
      </c>
      <c r="I190" s="10">
        <f>E190+март!I190</f>
        <v>89</v>
      </c>
      <c r="J190" s="10">
        <f>F190+март!J190</f>
        <v>131.35500000000002</v>
      </c>
      <c r="K190" s="10">
        <f t="shared" si="68"/>
        <v>42.355000000000018</v>
      </c>
      <c r="L190" s="16">
        <f t="shared" si="75"/>
        <v>47.589887640449454</v>
      </c>
      <c r="M190" s="110"/>
      <c r="N190" s="111"/>
      <c r="P190">
        <f t="shared" si="61"/>
        <v>62.603999999999999</v>
      </c>
      <c r="Q190" s="44">
        <f>E190+март!I190</f>
        <v>89</v>
      </c>
      <c r="R190" s="30">
        <f>F190+фев!J190</f>
        <v>109.241</v>
      </c>
    </row>
    <row r="191" spans="1:18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87">
        <v>4</v>
      </c>
      <c r="G191" s="10">
        <f t="shared" si="66"/>
        <v>2.5</v>
      </c>
      <c r="H191" s="10">
        <f>D191+март!H191</f>
        <v>5.9640000000000004</v>
      </c>
      <c r="I191" s="10">
        <f>E191+март!I191</f>
        <v>6</v>
      </c>
      <c r="J191" s="10">
        <f>F191+март!J191</f>
        <v>9.09</v>
      </c>
      <c r="K191" s="10">
        <f t="shared" si="68"/>
        <v>3.09</v>
      </c>
      <c r="L191" s="16">
        <f t="shared" si="75"/>
        <v>51.5</v>
      </c>
      <c r="M191" s="110"/>
      <c r="N191" s="111"/>
      <c r="P191">
        <f t="shared" si="61"/>
        <v>5.9640000000000004</v>
      </c>
      <c r="Q191" s="44">
        <f>E191+март!I191</f>
        <v>6</v>
      </c>
      <c r="R191" s="30">
        <f>F191+фев!J191</f>
        <v>6.99</v>
      </c>
    </row>
    <row r="192" spans="1:18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86">D193+D194+D195+D196</f>
        <v>149.55900000000003</v>
      </c>
      <c r="E192" s="10">
        <f t="shared" si="86"/>
        <v>149.583</v>
      </c>
      <c r="F192" s="87">
        <f t="shared" si="86"/>
        <v>51.534999999999997</v>
      </c>
      <c r="G192" s="10">
        <f t="shared" si="66"/>
        <v>-98.048000000000002</v>
      </c>
      <c r="H192" s="10">
        <f t="shared" ref="H192:J192" si="87">H193+H194+H195+H196</f>
        <v>598.2360000000001</v>
      </c>
      <c r="I192" s="10">
        <f t="shared" si="87"/>
        <v>598.33199999999999</v>
      </c>
      <c r="J192" s="10">
        <f t="shared" si="87"/>
        <v>274.28100000000001</v>
      </c>
      <c r="K192" s="10">
        <f t="shared" si="68"/>
        <v>-324.05099999999999</v>
      </c>
      <c r="L192" s="16">
        <f t="shared" si="75"/>
        <v>-54.159062192896243</v>
      </c>
      <c r="M192" s="110"/>
      <c r="N192" s="111"/>
      <c r="P192">
        <f t="shared" si="61"/>
        <v>598.2360000000001</v>
      </c>
      <c r="Q192" s="44">
        <f>E192+март!I192</f>
        <v>598.33199999999999</v>
      </c>
      <c r="R192" s="30">
        <f>F192+фев!J192</f>
        <v>194.72099999999998</v>
      </c>
    </row>
    <row r="193" spans="1:18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">
        <f>2.249+31.9</f>
        <v>34.149000000000001</v>
      </c>
      <c r="G193" s="10">
        <f t="shared" si="66"/>
        <v>0.8160000000000025</v>
      </c>
      <c r="H193" s="10">
        <f>D193+март!H193</f>
        <v>133.45599999999999</v>
      </c>
      <c r="I193" s="10">
        <f>E193+март!I193</f>
        <v>133.33199999999999</v>
      </c>
      <c r="J193" s="10">
        <f>F193+март!J193</f>
        <v>189.47499999999999</v>
      </c>
      <c r="K193" s="10">
        <f t="shared" si="68"/>
        <v>56.143000000000001</v>
      </c>
      <c r="L193" s="16">
        <f t="shared" si="75"/>
        <v>42.107671076710766</v>
      </c>
      <c r="M193" s="110"/>
      <c r="N193" s="111"/>
      <c r="P193">
        <f t="shared" si="61"/>
        <v>133.45599999999999</v>
      </c>
      <c r="Q193" s="44">
        <f>E193+март!I193</f>
        <v>133.33199999999999</v>
      </c>
      <c r="R193" s="30">
        <f>F193+фев!J193</f>
        <v>127.30199999999999</v>
      </c>
    </row>
    <row r="194" spans="1:18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66"/>
        <v>-89.832999999999998</v>
      </c>
      <c r="H194" s="10">
        <f>D194+март!H194</f>
        <v>359.16800000000001</v>
      </c>
      <c r="I194" s="10">
        <f>E194+март!I194</f>
        <v>359.33199999999999</v>
      </c>
      <c r="J194" s="10">
        <f>F194+март!J194</f>
        <v>0</v>
      </c>
      <c r="K194" s="10">
        <f t="shared" si="68"/>
        <v>-359.33199999999999</v>
      </c>
      <c r="L194" s="16">
        <f t="shared" si="75"/>
        <v>-100</v>
      </c>
      <c r="M194" s="110"/>
      <c r="N194" s="111"/>
      <c r="P194">
        <f t="shared" si="61"/>
        <v>359.16800000000001</v>
      </c>
      <c r="Q194" s="44">
        <f>E194+март!I194</f>
        <v>359.33199999999999</v>
      </c>
      <c r="R194" s="30">
        <f>F194+фев!J194</f>
        <v>0</v>
      </c>
    </row>
    <row r="195" spans="1:18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66"/>
        <v>-8</v>
      </c>
      <c r="H195" s="10">
        <f>D195+март!H195</f>
        <v>31.864000000000001</v>
      </c>
      <c r="I195" s="10">
        <f>E195+март!I195</f>
        <v>32</v>
      </c>
      <c r="J195" s="10">
        <f>F195+март!J195</f>
        <v>15.260999999999999</v>
      </c>
      <c r="K195" s="10">
        <f t="shared" si="68"/>
        <v>-16.739000000000001</v>
      </c>
      <c r="L195" s="16">
        <f t="shared" si="75"/>
        <v>-52.309375000000003</v>
      </c>
      <c r="M195" s="110"/>
      <c r="N195" s="111"/>
      <c r="P195">
        <f t="shared" si="61"/>
        <v>31.864000000000001</v>
      </c>
      <c r="Q195" s="44">
        <f>E195+март!I195</f>
        <v>32</v>
      </c>
      <c r="R195" s="30">
        <f>F195+фев!J195</f>
        <v>15.260999999999999</v>
      </c>
    </row>
    <row r="196" spans="1:18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6">
        <v>17.385999999999999</v>
      </c>
      <c r="G196" s="10">
        <f t="shared" si="66"/>
        <v>-1.0310000000000024</v>
      </c>
      <c r="H196" s="10">
        <f>D196+март!H196</f>
        <v>73.748000000000005</v>
      </c>
      <c r="I196" s="10">
        <f>E196+март!I196</f>
        <v>73.668000000000006</v>
      </c>
      <c r="J196" s="10">
        <f>F196+март!J196</f>
        <v>69.545000000000002</v>
      </c>
      <c r="K196" s="10">
        <f t="shared" si="68"/>
        <v>-4.1230000000000047</v>
      </c>
      <c r="L196" s="16">
        <f t="shared" si="75"/>
        <v>-5.5967312808817997</v>
      </c>
      <c r="M196" s="110"/>
      <c r="N196" s="111"/>
      <c r="P196">
        <f t="shared" si="61"/>
        <v>73.748000000000005</v>
      </c>
      <c r="Q196" s="44">
        <f>E196+март!I196</f>
        <v>73.668000000000006</v>
      </c>
      <c r="R196" s="30">
        <f>F196+фев!J196</f>
        <v>52.158000000000001</v>
      </c>
    </row>
    <row r="197" spans="1:18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66"/>
        <v>-15.833</v>
      </c>
      <c r="H197" s="10">
        <f>D197+март!H197</f>
        <v>63.271999999999998</v>
      </c>
      <c r="I197" s="10">
        <f>E197+март!I197</f>
        <v>63.332000000000001</v>
      </c>
      <c r="J197" s="10">
        <f>F197+март!J197</f>
        <v>0</v>
      </c>
      <c r="K197" s="10">
        <f t="shared" si="68"/>
        <v>-63.332000000000001</v>
      </c>
      <c r="L197" s="16">
        <f t="shared" si="75"/>
        <v>-100</v>
      </c>
      <c r="M197" s="110"/>
      <c r="N197" s="111"/>
      <c r="P197">
        <f t="shared" si="61"/>
        <v>63.271999999999998</v>
      </c>
      <c r="Q197" s="44">
        <f>E197+март!I197</f>
        <v>63.332000000000001</v>
      </c>
      <c r="R197" s="30">
        <f>F197+фев!J197</f>
        <v>0</v>
      </c>
    </row>
    <row r="198" spans="1:18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66"/>
        <v>-0.33300000000000002</v>
      </c>
      <c r="H198" s="10">
        <f>D198+март!H198</f>
        <v>1.3680000000000001</v>
      </c>
      <c r="I198" s="10">
        <f>E198+март!I198</f>
        <v>1.3320000000000001</v>
      </c>
      <c r="J198" s="10">
        <f>F198+март!J198</f>
        <v>0</v>
      </c>
      <c r="K198" s="10">
        <f t="shared" si="68"/>
        <v>-1.3320000000000001</v>
      </c>
      <c r="L198" s="16">
        <f t="shared" si="75"/>
        <v>-100</v>
      </c>
      <c r="M198" s="110"/>
      <c r="N198" s="111"/>
      <c r="P198">
        <f t="shared" si="61"/>
        <v>1.3680000000000001</v>
      </c>
      <c r="Q198" s="44">
        <f>E198+март!I198</f>
        <v>1.3320000000000001</v>
      </c>
      <c r="R198" s="30">
        <f>F198+фев!J198</f>
        <v>0</v>
      </c>
    </row>
    <row r="199" spans="1:18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66"/>
        <v>0</v>
      </c>
      <c r="H199" s="10">
        <f>D199+март!H199</f>
        <v>0</v>
      </c>
      <c r="I199" s="10">
        <f>E199+март!I199</f>
        <v>0</v>
      </c>
      <c r="J199" s="10">
        <f>F199+март!J199</f>
        <v>0</v>
      </c>
      <c r="K199" s="10">
        <f t="shared" si="68"/>
        <v>0</v>
      </c>
      <c r="L199" s="16"/>
      <c r="M199" s="110"/>
      <c r="N199" s="111"/>
      <c r="P199">
        <f t="shared" si="61"/>
        <v>0</v>
      </c>
      <c r="Q199" s="44">
        <f>E199+март!I199</f>
        <v>0</v>
      </c>
      <c r="R199" s="30">
        <f>F199+фев!J199</f>
        <v>0</v>
      </c>
    </row>
    <row r="200" spans="1:18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87">
        <v>4.5090000000000003</v>
      </c>
      <c r="G200" s="10">
        <f t="shared" si="66"/>
        <v>0.59200000000000053</v>
      </c>
      <c r="H200" s="10">
        <f>D200+март!H200</f>
        <v>15.692</v>
      </c>
      <c r="I200" s="10">
        <f>E200+март!I200</f>
        <v>15.667999999999999</v>
      </c>
      <c r="J200" s="10">
        <f>F200+март!J200</f>
        <v>10.589</v>
      </c>
      <c r="K200" s="10">
        <f t="shared" si="68"/>
        <v>-5.0789999999999988</v>
      </c>
      <c r="L200" s="16">
        <f t="shared" si="75"/>
        <v>-32.416390094460041</v>
      </c>
      <c r="M200" s="112" t="s">
        <v>289</v>
      </c>
      <c r="N200" s="113"/>
      <c r="P200">
        <f t="shared" si="61"/>
        <v>15.692</v>
      </c>
      <c r="Q200" s="44">
        <f>E200+март!I200</f>
        <v>15.667999999999999</v>
      </c>
      <c r="R200" s="30">
        <f>F200+фев!J200</f>
        <v>8.3569999999999993</v>
      </c>
    </row>
    <row r="201" spans="1:18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66"/>
        <v>0</v>
      </c>
      <c r="H201" s="10">
        <f>D201+март!H201</f>
        <v>0</v>
      </c>
      <c r="I201" s="10">
        <f>E201+март!I201</f>
        <v>0</v>
      </c>
      <c r="J201" s="10">
        <f>F201+март!J201</f>
        <v>0</v>
      </c>
      <c r="K201" s="10">
        <f t="shared" si="68"/>
        <v>0</v>
      </c>
      <c r="L201" s="16" t="e">
        <f t="shared" si="75"/>
        <v>#DIV/0!</v>
      </c>
      <c r="M201" s="112" t="s">
        <v>290</v>
      </c>
      <c r="N201" s="113"/>
      <c r="P201">
        <f t="shared" ref="P201:P218" si="88">D201*4</f>
        <v>0</v>
      </c>
      <c r="Q201" s="44">
        <f>E201+март!I201</f>
        <v>0</v>
      </c>
      <c r="R201" s="30">
        <f>F201+фев!J201</f>
        <v>0</v>
      </c>
    </row>
    <row r="202" spans="1:18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66"/>
        <v>0</v>
      </c>
      <c r="H202" s="10">
        <f>D202+март!H202</f>
        <v>0</v>
      </c>
      <c r="I202" s="10">
        <f>E202+март!I202</f>
        <v>0</v>
      </c>
      <c r="J202" s="10">
        <f>F202+март!J202</f>
        <v>0</v>
      </c>
      <c r="K202" s="10">
        <f t="shared" si="68"/>
        <v>0</v>
      </c>
      <c r="L202" s="16" t="e">
        <f t="shared" si="75"/>
        <v>#DIV/0!</v>
      </c>
      <c r="M202" s="112" t="s">
        <v>290</v>
      </c>
      <c r="N202" s="113"/>
      <c r="P202">
        <f t="shared" si="88"/>
        <v>0</v>
      </c>
      <c r="Q202" s="44">
        <f>E202+март!I202</f>
        <v>0</v>
      </c>
      <c r="R202" s="30">
        <f>F202+фев!J202</f>
        <v>0</v>
      </c>
    </row>
    <row r="203" spans="1:18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66"/>
        <v>0</v>
      </c>
      <c r="H203" s="10">
        <f>D203+март!H203</f>
        <v>0</v>
      </c>
      <c r="I203" s="10">
        <f>E203+март!I203</f>
        <v>0</v>
      </c>
      <c r="J203" s="10">
        <f>F203+март!J203</f>
        <v>0</v>
      </c>
      <c r="K203" s="10">
        <f t="shared" si="68"/>
        <v>0</v>
      </c>
      <c r="L203" s="16" t="e">
        <f t="shared" si="75"/>
        <v>#DIV/0!</v>
      </c>
      <c r="M203" s="112" t="s">
        <v>290</v>
      </c>
      <c r="N203" s="113"/>
      <c r="P203">
        <f t="shared" si="88"/>
        <v>0</v>
      </c>
      <c r="Q203" s="44">
        <f>E203+март!I203</f>
        <v>0</v>
      </c>
      <c r="R203" s="30">
        <f>F203+фев!J203</f>
        <v>0</v>
      </c>
    </row>
    <row r="204" spans="1:18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66"/>
        <v>0</v>
      </c>
      <c r="H204" s="10">
        <f>D204+март!H204</f>
        <v>0</v>
      </c>
      <c r="I204" s="10">
        <f>E204+март!I204</f>
        <v>0</v>
      </c>
      <c r="J204" s="10">
        <f>F204+март!J204</f>
        <v>0</v>
      </c>
      <c r="K204" s="10">
        <f t="shared" si="68"/>
        <v>0</v>
      </c>
      <c r="L204" s="16"/>
      <c r="M204" s="110"/>
      <c r="N204" s="111"/>
      <c r="P204">
        <f t="shared" si="88"/>
        <v>0</v>
      </c>
      <c r="Q204" s="44">
        <f>E204+март!I204</f>
        <v>0</v>
      </c>
      <c r="R204" s="30">
        <f>F204+фев!J204</f>
        <v>0</v>
      </c>
    </row>
    <row r="205" spans="1:18" ht="21" customHeight="1">
      <c r="A205" s="74" t="s">
        <v>190</v>
      </c>
      <c r="B205" s="6" t="s">
        <v>191</v>
      </c>
      <c r="C205" s="74" t="s">
        <v>4</v>
      </c>
      <c r="D205" s="7">
        <f>D8+D138</f>
        <v>76555.231</v>
      </c>
      <c r="E205" s="21">
        <f>E8+E138</f>
        <v>71086.831999999995</v>
      </c>
      <c r="F205" s="7">
        <f>F8+F138</f>
        <v>69128.384999999995</v>
      </c>
      <c r="G205" s="10">
        <f t="shared" ref="G205:G213" si="89">F205-E205</f>
        <v>-1958.4470000000001</v>
      </c>
      <c r="H205" s="7">
        <f>H8+H138</f>
        <v>306220.924</v>
      </c>
      <c r="I205" s="21">
        <f>I8+I138</f>
        <v>284347.32799999998</v>
      </c>
      <c r="J205" s="7">
        <f>J8+J138</f>
        <v>282984.64849999989</v>
      </c>
      <c r="K205" s="10">
        <f t="shared" ref="K205:K213" si="90">J205-I205</f>
        <v>-1362.6795000000857</v>
      </c>
      <c r="L205" s="16">
        <f t="shared" ref="L205:L213" si="91">K205/I205*100</f>
        <v>-0.479230633037665</v>
      </c>
      <c r="M205" s="110"/>
      <c r="N205" s="111"/>
      <c r="P205">
        <f t="shared" si="88"/>
        <v>306220.924</v>
      </c>
      <c r="Q205" s="44">
        <f>E205+март!I205</f>
        <v>284347.32799999998</v>
      </c>
      <c r="R205" s="30">
        <f>F205+фев!J205</f>
        <v>211139.50099999999</v>
      </c>
    </row>
    <row r="206" spans="1:18" ht="17.25" customHeight="1">
      <c r="A206" s="74" t="s">
        <v>192</v>
      </c>
      <c r="B206" s="6" t="s">
        <v>193</v>
      </c>
      <c r="C206" s="74" t="s">
        <v>4</v>
      </c>
      <c r="D206" s="7">
        <v>1469.992</v>
      </c>
      <c r="E206" s="74">
        <v>1470.0830000000001</v>
      </c>
      <c r="F206" s="21">
        <f>F209-F205</f>
        <v>2743.3820399999968</v>
      </c>
      <c r="G206" s="16">
        <f t="shared" si="89"/>
        <v>1273.2990399999967</v>
      </c>
      <c r="H206" s="10">
        <f>D206+март!H206</f>
        <v>5879.9679999999998</v>
      </c>
      <c r="I206" s="10">
        <f>E206+март!I206</f>
        <v>5880.3320000000003</v>
      </c>
      <c r="J206" s="10">
        <f>F206+март!J206</f>
        <v>7662.7195399999764</v>
      </c>
      <c r="K206" s="10">
        <f t="shared" si="90"/>
        <v>1782.3875399999761</v>
      </c>
      <c r="L206" s="16">
        <f t="shared" si="91"/>
        <v>30.31100182778755</v>
      </c>
      <c r="M206" s="110"/>
      <c r="N206" s="111"/>
      <c r="P206">
        <f t="shared" si="88"/>
        <v>5879.9679999999998</v>
      </c>
      <c r="Q206" s="44">
        <f>E206+март!I206</f>
        <v>5880.3320000000003</v>
      </c>
      <c r="R206" s="30">
        <f>F206+фев!J206</f>
        <v>30886.238839999976</v>
      </c>
    </row>
    <row r="207" spans="1:18" ht="17.25" customHeight="1">
      <c r="A207" s="74" t="s">
        <v>194</v>
      </c>
      <c r="B207" s="6" t="s">
        <v>195</v>
      </c>
      <c r="C207" s="74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71871.767039999992</v>
      </c>
      <c r="G207" s="16">
        <f t="shared" si="89"/>
        <v>-685.14796000000206</v>
      </c>
      <c r="H207" s="7">
        <f>H205+H206</f>
        <v>312100.89199999999</v>
      </c>
      <c r="I207" s="21">
        <f>I205+I206</f>
        <v>290227.65999999997</v>
      </c>
      <c r="J207" s="7">
        <f>J205+J206</f>
        <v>290647.36803999986</v>
      </c>
      <c r="K207" s="10">
        <f t="shared" si="90"/>
        <v>419.70803999988129</v>
      </c>
      <c r="L207" s="16">
        <f t="shared" si="91"/>
        <v>0.14461338385179459</v>
      </c>
      <c r="M207" s="110"/>
      <c r="N207" s="111"/>
      <c r="P207">
        <f t="shared" si="88"/>
        <v>312100.89199999999</v>
      </c>
      <c r="Q207" s="44">
        <f>E207+март!I207</f>
        <v>290227.66000000003</v>
      </c>
      <c r="R207" s="30">
        <f>F207+фев!J207</f>
        <v>242025.73983999994</v>
      </c>
    </row>
    <row r="208" spans="1:18" ht="17.25" customHeight="1">
      <c r="A208" s="114" t="s">
        <v>196</v>
      </c>
      <c r="B208" s="115" t="s">
        <v>197</v>
      </c>
      <c r="C208" s="74" t="s">
        <v>114</v>
      </c>
      <c r="D208" s="7">
        <v>559.39200000000005</v>
      </c>
      <c r="E208" s="74">
        <v>523.61</v>
      </c>
      <c r="F208" s="81">
        <v>521.11199999999997</v>
      </c>
      <c r="G208" s="10">
        <f t="shared" si="89"/>
        <v>-2.4980000000000473</v>
      </c>
      <c r="H208" s="10">
        <f>D208+март!H208</f>
        <v>2237.5680000000002</v>
      </c>
      <c r="I208" s="10">
        <f>E208+март!I208</f>
        <v>2094.44</v>
      </c>
      <c r="J208" s="10">
        <f>F208+март!J208</f>
        <v>2107.3620000000001</v>
      </c>
      <c r="K208" s="10">
        <f t="shared" si="90"/>
        <v>12.922000000000025</v>
      </c>
      <c r="L208" s="16">
        <f t="shared" si="91"/>
        <v>0.61696682645480538</v>
      </c>
      <c r="M208" s="110"/>
      <c r="N208" s="111"/>
      <c r="P208">
        <f t="shared" si="88"/>
        <v>2237.5680000000002</v>
      </c>
      <c r="Q208" s="44">
        <f>E208+март!I208</f>
        <v>2094.44</v>
      </c>
      <c r="R208" s="30">
        <f>F208+фев!J208</f>
        <v>1754.8269999999998</v>
      </c>
    </row>
    <row r="209" spans="1:19" ht="17.25" customHeight="1">
      <c r="A209" s="114"/>
      <c r="B209" s="115"/>
      <c r="C209" s="74" t="s">
        <v>4</v>
      </c>
      <c r="D209" s="7">
        <f>D207</f>
        <v>78025.222999999998</v>
      </c>
      <c r="E209" s="21">
        <f>E207</f>
        <v>72556.914999999994</v>
      </c>
      <c r="F209" s="81">
        <f>F213*F208</f>
        <v>71871.767039999992</v>
      </c>
      <c r="G209" s="16">
        <f t="shared" si="89"/>
        <v>-685.14796000000206</v>
      </c>
      <c r="H209" s="10">
        <f>D209+март!H209</f>
        <v>312100.89199999999</v>
      </c>
      <c r="I209" s="21">
        <f>I207</f>
        <v>290227.65999999997</v>
      </c>
      <c r="J209" s="74">
        <f>J213*J208</f>
        <v>290647.36803999986</v>
      </c>
      <c r="K209" s="10">
        <f t="shared" si="90"/>
        <v>419.70803999988129</v>
      </c>
      <c r="L209" s="16">
        <f t="shared" si="91"/>
        <v>0.14461338385179459</v>
      </c>
      <c r="M209" s="110"/>
      <c r="N209" s="111"/>
      <c r="P209">
        <f t="shared" si="88"/>
        <v>312100.89199999999</v>
      </c>
      <c r="Q209" s="44">
        <f>E209+март!I209</f>
        <v>290227.66000000003</v>
      </c>
      <c r="R209" s="30">
        <f>F209+фев!J209</f>
        <v>242025.73983999994</v>
      </c>
    </row>
    <row r="210" spans="1:19" ht="17.25" customHeight="1">
      <c r="A210" s="74" t="s">
        <v>198</v>
      </c>
      <c r="B210" s="75" t="s">
        <v>199</v>
      </c>
      <c r="C210" s="74" t="s">
        <v>114</v>
      </c>
      <c r="D210" s="7">
        <v>761.69899999999996</v>
      </c>
      <c r="E210" s="21">
        <v>713</v>
      </c>
      <c r="F210" s="7">
        <v>620.11</v>
      </c>
      <c r="G210" s="10">
        <f t="shared" si="89"/>
        <v>-92.889999999999986</v>
      </c>
      <c r="H210" s="10">
        <f>D210+март!H210</f>
        <v>3046.7959999999998</v>
      </c>
      <c r="I210" s="10">
        <f>E210+март!I210</f>
        <v>2852</v>
      </c>
      <c r="J210" s="10">
        <f>F210+март!J210</f>
        <v>2653.6820000000002</v>
      </c>
      <c r="K210" s="10">
        <f t="shared" si="90"/>
        <v>-198.31799999999976</v>
      </c>
      <c r="L210" s="16">
        <f t="shared" si="91"/>
        <v>-6.9536465638148579</v>
      </c>
      <c r="M210" s="110"/>
      <c r="N210" s="111"/>
      <c r="P210">
        <f t="shared" si="88"/>
        <v>3046.7959999999998</v>
      </c>
      <c r="Q210" s="44">
        <f>E210+март!I210</f>
        <v>2852</v>
      </c>
      <c r="R210" s="30">
        <f>F210+фев!J210</f>
        <v>2218.453</v>
      </c>
    </row>
    <row r="211" spans="1:19" ht="17.25" customHeight="1">
      <c r="A211" s="114" t="s">
        <v>200</v>
      </c>
      <c r="B211" s="115" t="s">
        <v>201</v>
      </c>
      <c r="C211" s="74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15.964586928125662</v>
      </c>
      <c r="G211" s="10">
        <f t="shared" si="89"/>
        <v>-10.597825414090323</v>
      </c>
      <c r="H211" s="21">
        <f>H212/H210*100</f>
        <v>26.559966600980168</v>
      </c>
      <c r="I211" s="21">
        <f>I212/I210*100</f>
        <v>26.562412342215985</v>
      </c>
      <c r="J211" s="21">
        <f>J212/J210*100</f>
        <v>20.587244439989423</v>
      </c>
      <c r="K211" s="10">
        <f t="shared" si="90"/>
        <v>-5.9751679022265627</v>
      </c>
      <c r="L211" s="16">
        <f t="shared" si="91"/>
        <v>-22.494823983777074</v>
      </c>
      <c r="M211" s="110"/>
      <c r="N211" s="111"/>
      <c r="P211">
        <f t="shared" si="88"/>
        <v>106.23986640392067</v>
      </c>
      <c r="Q211" s="44">
        <f>E211+март!I211</f>
        <v>53.124824684431978</v>
      </c>
      <c r="R211" s="30">
        <f>F211+фев!J211</f>
        <v>38.777462512402636</v>
      </c>
    </row>
    <row r="212" spans="1:19" ht="17.25" customHeight="1">
      <c r="A212" s="114"/>
      <c r="B212" s="115"/>
      <c r="C212" s="74" t="s">
        <v>114</v>
      </c>
      <c r="D212" s="7">
        <f>D210-D208</f>
        <v>202.3069999999999</v>
      </c>
      <c r="E212" s="7">
        <f>E210-E208</f>
        <v>189.39</v>
      </c>
      <c r="F212" s="7">
        <f>F210-F208</f>
        <v>98.998000000000047</v>
      </c>
      <c r="G212" s="10">
        <f t="shared" si="89"/>
        <v>-90.391999999999939</v>
      </c>
      <c r="H212" s="7">
        <f>H210-H208</f>
        <v>809.22799999999961</v>
      </c>
      <c r="I212" s="7">
        <f>I210-I208</f>
        <v>757.56</v>
      </c>
      <c r="J212" s="7">
        <f>J210-J208</f>
        <v>546.32000000000016</v>
      </c>
      <c r="K212" s="10">
        <f t="shared" si="90"/>
        <v>-211.23999999999978</v>
      </c>
      <c r="L212" s="16">
        <f t="shared" si="91"/>
        <v>-27.884259992607817</v>
      </c>
      <c r="M212" s="110"/>
      <c r="N212" s="111"/>
      <c r="P212">
        <f t="shared" si="88"/>
        <v>809.22799999999961</v>
      </c>
      <c r="Q212" s="44">
        <f>E212+март!I212</f>
        <v>757.56000000000006</v>
      </c>
      <c r="R212" s="30">
        <f>F212+фев!J212</f>
        <v>463.6260000000002</v>
      </c>
    </row>
    <row r="213" spans="1:19" s="1" customFormat="1" ht="21" customHeight="1">
      <c r="A213" s="74" t="s">
        <v>203</v>
      </c>
      <c r="B213" s="6" t="s">
        <v>204</v>
      </c>
      <c r="C213" s="74" t="s">
        <v>205</v>
      </c>
      <c r="D213" s="21">
        <f>D207/D208</f>
        <v>139.48219316686686</v>
      </c>
      <c r="E213" s="21">
        <f>E209/E208</f>
        <v>138.57052959263572</v>
      </c>
      <c r="F213" s="81">
        <v>137.91999999999999</v>
      </c>
      <c r="G213" s="10">
        <f t="shared" si="89"/>
        <v>-0.65052959263573484</v>
      </c>
      <c r="H213" s="21">
        <f>H207/H208</f>
        <v>139.48219316686686</v>
      </c>
      <c r="I213" s="21">
        <f>I207/I208</f>
        <v>138.57052959263572</v>
      </c>
      <c r="J213" s="21">
        <f>J207/J208</f>
        <v>137.92000047452686</v>
      </c>
      <c r="K213" s="10">
        <f t="shared" si="90"/>
        <v>-0.65052911810886371</v>
      </c>
      <c r="L213" s="16">
        <f t="shared" si="91"/>
        <v>-0.46945704835022567</v>
      </c>
      <c r="M213" s="110"/>
      <c r="N213" s="111"/>
      <c r="O213"/>
      <c r="P213">
        <f t="shared" si="88"/>
        <v>557.92877266746746</v>
      </c>
      <c r="Q213" s="44">
        <f>E213+март!I213</f>
        <v>277.1410591852715</v>
      </c>
      <c r="R213" s="30">
        <f>F213+фев!J213</f>
        <v>275.83999999999997</v>
      </c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110"/>
      <c r="N214" s="111"/>
      <c r="P214">
        <f t="shared" si="88"/>
        <v>0</v>
      </c>
      <c r="Q214" s="44">
        <f>E214+март!I214</f>
        <v>0</v>
      </c>
      <c r="R214" s="30">
        <f>F214+фев!J214</f>
        <v>0</v>
      </c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92">E216+E217</f>
        <v>0</v>
      </c>
      <c r="F215" s="14">
        <f t="shared" si="92"/>
        <v>0</v>
      </c>
      <c r="G215" s="14">
        <f t="shared" si="92"/>
        <v>0</v>
      </c>
      <c r="H215" s="14">
        <f>H216+H217</f>
        <v>253</v>
      </c>
      <c r="I215" s="14">
        <f t="shared" ref="I215:K215" si="93">I216+I217</f>
        <v>0</v>
      </c>
      <c r="J215" s="14">
        <f t="shared" si="93"/>
        <v>172</v>
      </c>
      <c r="K215" s="14">
        <f t="shared" si="93"/>
        <v>0</v>
      </c>
      <c r="L215" s="16"/>
      <c r="M215" s="110"/>
      <c r="N215" s="111"/>
      <c r="P215">
        <f t="shared" si="88"/>
        <v>1012</v>
      </c>
      <c r="Q215" s="44">
        <f>E215+март!I215</f>
        <v>0</v>
      </c>
      <c r="R215" s="30">
        <f>F215+фев!J215</f>
        <v>0</v>
      </c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>
        <v>164</v>
      </c>
      <c r="K216" s="8"/>
      <c r="L216" s="16"/>
      <c r="M216" s="110"/>
      <c r="N216" s="111"/>
      <c r="P216">
        <f t="shared" si="88"/>
        <v>944</v>
      </c>
      <c r="Q216" s="44">
        <f>E216+март!I216</f>
        <v>0</v>
      </c>
      <c r="R216" s="30">
        <f>F216+фев!J216</f>
        <v>0</v>
      </c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>
        <v>8</v>
      </c>
      <c r="K217" s="8"/>
      <c r="L217" s="16"/>
      <c r="M217" s="110"/>
      <c r="N217" s="111"/>
      <c r="P217">
        <f t="shared" si="88"/>
        <v>68</v>
      </c>
      <c r="Q217" s="44">
        <f>E217+март!I217</f>
        <v>0</v>
      </c>
      <c r="R217" s="30">
        <f>F217+фев!J217</f>
        <v>0</v>
      </c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(H88+H145)/H215*1000/4</f>
        <v>86746.573122529648</v>
      </c>
      <c r="I218" s="8"/>
      <c r="J218" s="14">
        <f>(J88+J145)/J215*1000/4</f>
        <v>113361.80523255812</v>
      </c>
      <c r="K218" s="8"/>
      <c r="L218" s="16"/>
      <c r="M218" s="110"/>
      <c r="N218" s="111"/>
      <c r="P218">
        <f t="shared" si="88"/>
        <v>346986.29249011859</v>
      </c>
      <c r="Q218" s="44">
        <f>E218+март!I218</f>
        <v>0</v>
      </c>
      <c r="R218" s="30">
        <f>F218+фев!J218</f>
        <v>0</v>
      </c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H88/H216*1000/4</f>
        <v>84883.580508474581</v>
      </c>
      <c r="I219" s="8"/>
      <c r="J219" s="14">
        <f>J88/J216*1000/4</f>
        <v>110632.42835365853</v>
      </c>
      <c r="K219" s="8"/>
      <c r="L219" s="16"/>
      <c r="M219" s="110"/>
      <c r="N219" s="111"/>
      <c r="Q219" s="44">
        <f>E219+март!I219</f>
        <v>0</v>
      </c>
      <c r="R219" s="30">
        <f>F219+фев!J219</f>
        <v>0</v>
      </c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H145/H217*1000/4</f>
        <v>112609.29411764705</v>
      </c>
      <c r="I220" s="8"/>
      <c r="J220" s="14">
        <f>J145/J217*1000/4</f>
        <v>169314.03125</v>
      </c>
      <c r="K220" s="8"/>
      <c r="L220" s="16"/>
      <c r="M220" s="110"/>
      <c r="N220" s="111"/>
      <c r="Q220" s="44">
        <f>E220+март!I220</f>
        <v>0</v>
      </c>
      <c r="R220" s="30">
        <f>F220+фев!J220</f>
        <v>0</v>
      </c>
    </row>
    <row r="221" spans="1:19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19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19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19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4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</row>
    <row r="226" spans="1:14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4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4" ht="16.5" customHeight="1">
      <c r="B234" s="4"/>
      <c r="C234" s="2"/>
      <c r="D234" s="2"/>
      <c r="E234" s="2"/>
      <c r="F234" s="2"/>
      <c r="G234" s="2"/>
    </row>
    <row r="235" spans="1:14" ht="15.75">
      <c r="A235" s="2"/>
      <c r="B235" s="2"/>
      <c r="C235" s="2"/>
      <c r="D235" s="2"/>
      <c r="E235" s="2"/>
      <c r="F235" s="2"/>
      <c r="G235" s="2"/>
    </row>
    <row r="236" spans="1:14" ht="15.75">
      <c r="A236" s="2"/>
      <c r="B236" s="2"/>
      <c r="C236" s="2"/>
      <c r="D236" s="2"/>
      <c r="E236" s="2"/>
      <c r="F236" s="2"/>
      <c r="G236" s="2"/>
    </row>
    <row r="237" spans="1:14" ht="15.75">
      <c r="A237" s="2"/>
      <c r="B237" s="2"/>
      <c r="C237" s="2"/>
      <c r="D237" s="2"/>
      <c r="E237" s="2"/>
      <c r="F237" s="2"/>
      <c r="G237" s="2"/>
    </row>
    <row r="238" spans="1:14" ht="15.75">
      <c r="A238" s="4" t="s">
        <v>235</v>
      </c>
      <c r="B238" s="2"/>
      <c r="C238" s="2"/>
      <c r="D238" s="2"/>
      <c r="E238" s="2"/>
      <c r="F238" s="2"/>
      <c r="G238" s="2"/>
    </row>
    <row r="239" spans="1:14" ht="15.75">
      <c r="A239" s="2"/>
      <c r="B239" s="2"/>
      <c r="C239" s="2"/>
      <c r="D239" s="2"/>
      <c r="E239" s="2"/>
      <c r="F239" s="2"/>
      <c r="G239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228"/>
  <sheetViews>
    <sheetView tabSelected="1" zoomScale="70" zoomScaleNormal="70" workbookViewId="0">
      <selection activeCell="T209" sqref="T209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hidden="1" customWidth="1"/>
    <col min="5" max="5" width="13" hidden="1" customWidth="1"/>
    <col min="6" max="6" width="14.5703125" style="60" hidden="1" customWidth="1"/>
    <col min="7" max="7" width="15" hidden="1" customWidth="1"/>
    <col min="8" max="8" width="15" customWidth="1"/>
    <col min="9" max="9" width="14.7109375" style="60" hidden="1" customWidth="1"/>
    <col min="10" max="10" width="15.5703125" customWidth="1"/>
    <col min="11" max="11" width="16.140625" customWidth="1"/>
    <col min="12" max="12" width="13.85546875" customWidth="1"/>
    <col min="13" max="13" width="14.85546875" hidden="1" customWidth="1"/>
    <col min="14" max="14" width="2" hidden="1" customWidth="1"/>
    <col min="15" max="15" width="13.42578125" hidden="1" customWidth="1"/>
    <col min="16" max="16" width="12.85546875" hidden="1" customWidth="1"/>
    <col min="17" max="17" width="13.28515625" hidden="1" customWidth="1"/>
    <col min="18" max="18" width="13.7109375" hidden="1" customWidth="1"/>
    <col min="19" max="19" width="11.85546875" hidden="1" customWidth="1"/>
  </cols>
  <sheetData>
    <row r="1" spans="1:19" ht="54" customHeight="1">
      <c r="A1" s="131" t="s">
        <v>226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9" ht="42.75" customHeight="1">
      <c r="A2" s="132" t="s">
        <v>326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Q2" s="30"/>
    </row>
    <row r="3" spans="1:19" ht="1.5" customHeight="1">
      <c r="A3" s="133"/>
      <c r="B3" s="133"/>
      <c r="C3" s="133"/>
      <c r="D3" s="96"/>
      <c r="E3" s="96"/>
      <c r="F3" s="96"/>
      <c r="G3" s="96"/>
      <c r="H3" s="29"/>
      <c r="I3" s="29"/>
      <c r="J3" s="29"/>
      <c r="K3" s="29"/>
      <c r="L3" s="29"/>
      <c r="M3" s="29"/>
      <c r="N3" s="29"/>
    </row>
    <row r="4" spans="1:19" ht="18.75">
      <c r="A4" s="134" t="s">
        <v>0</v>
      </c>
      <c r="B4" s="137" t="s">
        <v>1</v>
      </c>
      <c r="C4" s="134" t="s">
        <v>217</v>
      </c>
      <c r="D4" s="140" t="s">
        <v>304</v>
      </c>
      <c r="E4" s="141"/>
      <c r="F4" s="141"/>
      <c r="G4" s="142"/>
      <c r="H4" s="140" t="s">
        <v>227</v>
      </c>
      <c r="I4" s="141"/>
      <c r="J4" s="141"/>
      <c r="K4" s="141"/>
      <c r="L4" s="142"/>
      <c r="M4" s="143" t="s">
        <v>239</v>
      </c>
      <c r="N4" s="144"/>
    </row>
    <row r="5" spans="1:19" ht="15" customHeight="1">
      <c r="A5" s="135"/>
      <c r="B5" s="138"/>
      <c r="C5" s="135"/>
      <c r="D5" s="127" t="s">
        <v>305</v>
      </c>
      <c r="E5" s="127" t="s">
        <v>306</v>
      </c>
      <c r="F5" s="127" t="s">
        <v>229</v>
      </c>
      <c r="G5" s="127" t="s">
        <v>219</v>
      </c>
      <c r="H5" s="127" t="s">
        <v>305</v>
      </c>
      <c r="I5" s="127" t="s">
        <v>306</v>
      </c>
      <c r="J5" s="127" t="s">
        <v>229</v>
      </c>
      <c r="K5" s="127" t="s">
        <v>219</v>
      </c>
      <c r="L5" s="127" t="s">
        <v>236</v>
      </c>
      <c r="M5" s="145"/>
      <c r="N5" s="146"/>
      <c r="Q5" s="30">
        <f>F78+F81+F84</f>
        <v>31281.627</v>
      </c>
    </row>
    <row r="6" spans="1:19" ht="41.25" customHeight="1">
      <c r="A6" s="136"/>
      <c r="B6" s="139"/>
      <c r="C6" s="136"/>
      <c r="D6" s="128"/>
      <c r="E6" s="128"/>
      <c r="F6" s="128"/>
      <c r="G6" s="128"/>
      <c r="H6" s="128"/>
      <c r="I6" s="128"/>
      <c r="J6" s="128"/>
      <c r="K6" s="128"/>
      <c r="L6" s="128"/>
      <c r="M6" s="147"/>
      <c r="N6" s="148"/>
    </row>
    <row r="7" spans="1:19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129">
        <v>8</v>
      </c>
      <c r="N7" s="130"/>
      <c r="O7" s="30">
        <f>J8-O8</f>
        <v>78361.888999999966</v>
      </c>
      <c r="P7">
        <v>272681.63099999999</v>
      </c>
      <c r="Q7" s="30">
        <f>J8-P7</f>
        <v>79002.343999999983</v>
      </c>
    </row>
    <row r="8" spans="1:19" ht="39" customHeight="1">
      <c r="A8" s="92" t="s">
        <v>2</v>
      </c>
      <c r="B8" s="6" t="s">
        <v>3</v>
      </c>
      <c r="C8" s="92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77872.522499999992</v>
      </c>
      <c r="G8" s="7">
        <f>F8-E8</f>
        <v>9774.9394999999931</v>
      </c>
      <c r="H8" s="7">
        <f>H9+H87+H93+H95+H97</f>
        <v>365850.57500000001</v>
      </c>
      <c r="I8" s="21">
        <f>I9+I87+I93+I95+I97</f>
        <v>340486.58199999999</v>
      </c>
      <c r="J8" s="7">
        <f>J9+J87+J93+J95+J97</f>
        <v>351683.97499999998</v>
      </c>
      <c r="K8" s="71">
        <f>J8-H8</f>
        <v>-14166.600000000035</v>
      </c>
      <c r="L8" s="16">
        <f>J8/H8*100-100</f>
        <v>-3.8722366365011283</v>
      </c>
      <c r="M8" s="110"/>
      <c r="N8" s="111"/>
      <c r="O8">
        <f>640.455+272681.631</f>
        <v>273322.08600000001</v>
      </c>
      <c r="P8">
        <f>D8*5</f>
        <v>365850.57500000001</v>
      </c>
      <c r="Q8" s="44">
        <f>E8+апр!I8</f>
        <v>340487.91499999998</v>
      </c>
      <c r="R8" s="30">
        <f>F8+апр!J8</f>
        <v>351683.97499999986</v>
      </c>
      <c r="S8" s="30">
        <f>J8-R8</f>
        <v>0</v>
      </c>
    </row>
    <row r="9" spans="1:19" ht="17.25" customHeight="1">
      <c r="A9" s="92" t="s">
        <v>5</v>
      </c>
      <c r="B9" s="6" t="s">
        <v>6</v>
      </c>
      <c r="C9" s="92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41436.269999999997</v>
      </c>
      <c r="G9" s="7">
        <f>F9-E9</f>
        <v>9301.1859999999942</v>
      </c>
      <c r="H9" s="7">
        <f>H10+H37+H72</f>
        <v>178660.53000000003</v>
      </c>
      <c r="I9" s="21">
        <f>I10+I37+I72</f>
        <v>160675.42000000001</v>
      </c>
      <c r="J9" s="7">
        <f>J10+J37+J72</f>
        <v>180403.29199999999</v>
      </c>
      <c r="K9" s="21">
        <f>J9-H9</f>
        <v>1742.7619999999588</v>
      </c>
      <c r="L9" s="16">
        <f t="shared" ref="L9:L72" si="0">J9/H9*100-100</f>
        <v>0.97545999667636352</v>
      </c>
      <c r="M9" s="110"/>
      <c r="N9" s="111"/>
      <c r="P9">
        <f t="shared" ref="P9:P72" si="1">D9*5</f>
        <v>178660.53</v>
      </c>
      <c r="Q9" s="44">
        <f>E9+апр!I9</f>
        <v>160675.42000000001</v>
      </c>
      <c r="R9" s="30">
        <f>F9+апр!J9</f>
        <v>180403.29199999999</v>
      </c>
    </row>
    <row r="10" spans="1:19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6722.7729999999983</v>
      </c>
      <c r="G10" s="10">
        <f>F10-E10</f>
        <v>827.43899999999849</v>
      </c>
      <c r="H10" s="10">
        <f>H11+H30+H35</f>
        <v>38005.22</v>
      </c>
      <c r="I10" s="10">
        <f>I11+I30+I35</f>
        <v>29476.67</v>
      </c>
      <c r="J10" s="10">
        <f>J11+J30+J35</f>
        <v>29425.485000000001</v>
      </c>
      <c r="K10" s="10">
        <f>J10-H10</f>
        <v>-8579.7350000000006</v>
      </c>
      <c r="L10" s="16">
        <f t="shared" si="0"/>
        <v>-22.57514888744231</v>
      </c>
      <c r="M10" s="110"/>
      <c r="N10" s="111"/>
      <c r="P10">
        <f t="shared" si="1"/>
        <v>38005.22</v>
      </c>
      <c r="Q10" s="44">
        <f>E10+апр!I10</f>
        <v>29476.67</v>
      </c>
      <c r="R10" s="30">
        <f>F10+апр!J10</f>
        <v>29425.484999999997</v>
      </c>
    </row>
    <row r="11" spans="1:19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6165.253999999999</v>
      </c>
      <c r="G11" s="10">
        <f t="shared" ref="G11:G74" si="2">F11-E11</f>
        <v>1195.1709999999994</v>
      </c>
      <c r="H11" s="10">
        <f>H12+H15+H18+H21+H24+H27</f>
        <v>25161.225000000002</v>
      </c>
      <c r="I11" s="8">
        <f>E11+апр!I11</f>
        <v>24850.414999999997</v>
      </c>
      <c r="J11" s="10">
        <f>J12+J15+J18+J21+J24+J27</f>
        <v>17911.669000000002</v>
      </c>
      <c r="K11" s="10">
        <f t="shared" ref="K11:K74" si="3">J11-H11</f>
        <v>-7249.5560000000005</v>
      </c>
      <c r="L11" s="16">
        <f t="shared" si="0"/>
        <v>-28.812412750174119</v>
      </c>
      <c r="M11" s="110"/>
      <c r="N11" s="111"/>
      <c r="P11">
        <f t="shared" si="1"/>
        <v>25161.225000000006</v>
      </c>
      <c r="Q11" s="44">
        <f>E11+апр!I11</f>
        <v>24850.414999999997</v>
      </c>
      <c r="R11" s="30">
        <f>F11+апр!J11</f>
        <v>17911.669000000002</v>
      </c>
    </row>
    <row r="12" spans="1:19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10">
        <v>1256.386</v>
      </c>
      <c r="G12" s="10">
        <f t="shared" si="2"/>
        <v>1256.386</v>
      </c>
      <c r="H12" s="10">
        <f>D12+апр!H12</f>
        <v>4260.66</v>
      </c>
      <c r="I12" s="8"/>
      <c r="J12" s="10">
        <f>F12+апр!J12</f>
        <v>3575.9760000000001</v>
      </c>
      <c r="K12" s="10">
        <f t="shared" si="3"/>
        <v>-684.68399999999974</v>
      </c>
      <c r="L12" s="16">
        <f t="shared" si="0"/>
        <v>-16.069904662657891</v>
      </c>
      <c r="M12" s="112" t="s">
        <v>297</v>
      </c>
      <c r="N12" s="113"/>
      <c r="P12">
        <f t="shared" si="1"/>
        <v>4260.66</v>
      </c>
      <c r="Q12" s="44">
        <f>E12+апр!I12</f>
        <v>0</v>
      </c>
      <c r="R12" s="30">
        <f>F12+апр!J12</f>
        <v>3575.9760000000001</v>
      </c>
    </row>
    <row r="13" spans="1:19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4044</v>
      </c>
      <c r="G13" s="10">
        <f t="shared" si="2"/>
        <v>4044</v>
      </c>
      <c r="H13" s="14">
        <f>D13+апр!H13</f>
        <v>18335</v>
      </c>
      <c r="I13" s="8"/>
      <c r="J13" s="14">
        <f>F13+апр!J13</f>
        <v>11685</v>
      </c>
      <c r="K13" s="10">
        <f t="shared" si="3"/>
        <v>-6650</v>
      </c>
      <c r="L13" s="16">
        <f t="shared" si="0"/>
        <v>-36.269430051813465</v>
      </c>
      <c r="M13" s="110"/>
      <c r="N13" s="111"/>
      <c r="P13">
        <f t="shared" si="1"/>
        <v>18335</v>
      </c>
      <c r="Q13" s="44">
        <f>E13+апр!I13</f>
        <v>0</v>
      </c>
      <c r="R13" s="30">
        <f>F13+апр!J13</f>
        <v>11685</v>
      </c>
    </row>
    <row r="14" spans="1:19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310.6790306627102</v>
      </c>
      <c r="G14" s="10">
        <f t="shared" si="2"/>
        <v>310.6790306627102</v>
      </c>
      <c r="H14" s="16">
        <f>H12/H13*1000</f>
        <v>232.37851104445051</v>
      </c>
      <c r="I14" s="16"/>
      <c r="J14" s="16">
        <f t="shared" ref="J14" si="5">J12/J13*1000</f>
        <v>306.03132220795891</v>
      </c>
      <c r="K14" s="10">
        <f t="shared" si="3"/>
        <v>73.652811163508403</v>
      </c>
      <c r="L14" s="16">
        <f t="shared" si="0"/>
        <v>31.695190244772562</v>
      </c>
      <c r="M14" s="110"/>
      <c r="N14" s="111"/>
      <c r="P14">
        <f t="shared" si="1"/>
        <v>1161.8925552222524</v>
      </c>
      <c r="Q14" s="44">
        <f>E14+апр!I14</f>
        <v>0</v>
      </c>
      <c r="R14" s="30">
        <f>F14+апр!J14</f>
        <v>614.25055271479755</v>
      </c>
    </row>
    <row r="15" spans="1:19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10">
        <v>3206.8939999999998</v>
      </c>
      <c r="G15" s="10">
        <f t="shared" si="2"/>
        <v>3206.8939999999998</v>
      </c>
      <c r="H15" s="10">
        <f>D15+апр!H15</f>
        <v>14042.880000000001</v>
      </c>
      <c r="I15" s="8"/>
      <c r="J15" s="10">
        <f>F15+апр!J15</f>
        <v>8177.6990000000005</v>
      </c>
      <c r="K15" s="10">
        <f t="shared" si="3"/>
        <v>-5865.1810000000005</v>
      </c>
      <c r="L15" s="16">
        <f t="shared" si="0"/>
        <v>-41.766226016315741</v>
      </c>
      <c r="M15" s="110"/>
      <c r="N15" s="111"/>
      <c r="P15">
        <f t="shared" si="1"/>
        <v>14042.880000000001</v>
      </c>
      <c r="Q15" s="44">
        <f>E15+апр!I15</f>
        <v>0</v>
      </c>
      <c r="R15" s="30">
        <f>F15+апр!J15</f>
        <v>8177.6990000000005</v>
      </c>
    </row>
    <row r="16" spans="1:19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25371</v>
      </c>
      <c r="G16" s="10">
        <f t="shared" si="2"/>
        <v>25371</v>
      </c>
      <c r="H16" s="14">
        <f>D16+апр!H16</f>
        <v>75000</v>
      </c>
      <c r="I16" s="8"/>
      <c r="J16" s="14">
        <f>F16+апр!J16</f>
        <v>64697</v>
      </c>
      <c r="K16" s="10">
        <f t="shared" si="3"/>
        <v>-10303</v>
      </c>
      <c r="L16" s="16">
        <f t="shared" si="0"/>
        <v>-13.737333333333339</v>
      </c>
      <c r="M16" s="110"/>
      <c r="N16" s="111"/>
      <c r="P16">
        <f t="shared" si="1"/>
        <v>75000</v>
      </c>
      <c r="Q16" s="44">
        <f>E16+апр!I16</f>
        <v>0</v>
      </c>
      <c r="R16" s="30">
        <f>F16+апр!J16</f>
        <v>64697</v>
      </c>
    </row>
    <row r="17" spans="1:18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126.3999842339679</v>
      </c>
      <c r="G17" s="10">
        <f t="shared" si="2"/>
        <v>126.3999842339679</v>
      </c>
      <c r="H17" s="16">
        <f>H15/H16*1000</f>
        <v>187.23840000000001</v>
      </c>
      <c r="I17" s="8"/>
      <c r="J17" s="13"/>
      <c r="K17" s="10">
        <f t="shared" si="3"/>
        <v>-187.23840000000001</v>
      </c>
      <c r="L17" s="16">
        <f t="shared" si="0"/>
        <v>-100</v>
      </c>
      <c r="M17" s="110"/>
      <c r="N17" s="111"/>
      <c r="P17">
        <f t="shared" si="1"/>
        <v>936.19200000000001</v>
      </c>
      <c r="Q17" s="44">
        <f>E17+апр!I17</f>
        <v>0</v>
      </c>
      <c r="R17" s="30">
        <f>F17+апр!J17</f>
        <v>126.3999842339679</v>
      </c>
    </row>
    <row r="18" spans="1:18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10"/>
      <c r="G18" s="10">
        <f t="shared" si="2"/>
        <v>0</v>
      </c>
      <c r="H18" s="10">
        <f>D18+апр!H18</f>
        <v>1208.23</v>
      </c>
      <c r="I18" s="8"/>
      <c r="J18" s="10">
        <f>F18+апр!J18</f>
        <v>145.96</v>
      </c>
      <c r="K18" s="10">
        <f t="shared" si="3"/>
        <v>-1062.27</v>
      </c>
      <c r="L18" s="16">
        <f t="shared" si="0"/>
        <v>-87.919518634697042</v>
      </c>
      <c r="M18" s="110"/>
      <c r="N18" s="111"/>
      <c r="P18">
        <f t="shared" si="1"/>
        <v>1208.23</v>
      </c>
      <c r="Q18" s="44">
        <f>E18+апр!I18</f>
        <v>0</v>
      </c>
      <c r="R18" s="30">
        <f>F18+апр!J18</f>
        <v>145.96</v>
      </c>
    </row>
    <row r="19" spans="1:18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2"/>
        <v>0</v>
      </c>
      <c r="H19" s="14">
        <f>D19+апр!H19</f>
        <v>5125</v>
      </c>
      <c r="I19" s="8"/>
      <c r="J19" s="14">
        <f>F19+апр!J19</f>
        <v>290</v>
      </c>
      <c r="K19" s="10">
        <f t="shared" si="3"/>
        <v>-4835</v>
      </c>
      <c r="L19" s="16">
        <f t="shared" si="0"/>
        <v>-94.341463414634148</v>
      </c>
      <c r="M19" s="110"/>
      <c r="N19" s="111"/>
      <c r="P19">
        <f t="shared" si="1"/>
        <v>5125</v>
      </c>
      <c r="Q19" s="44">
        <f>E19+апр!I19</f>
        <v>0</v>
      </c>
      <c r="R19" s="30">
        <f>F19+апр!J19</f>
        <v>290</v>
      </c>
    </row>
    <row r="20" spans="1:18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2"/>
        <v>#DIV/0!</v>
      </c>
      <c r="H20" s="16">
        <f>H18/H19*1000</f>
        <v>235.75219512195122</v>
      </c>
      <c r="I20" s="8"/>
      <c r="J20" s="58"/>
      <c r="K20" s="10">
        <f t="shared" si="3"/>
        <v>-235.75219512195122</v>
      </c>
      <c r="L20" s="16">
        <f t="shared" si="0"/>
        <v>-100</v>
      </c>
      <c r="M20" s="110"/>
      <c r="N20" s="111"/>
      <c r="P20">
        <f t="shared" si="1"/>
        <v>1178.7609756097559</v>
      </c>
      <c r="Q20" s="44">
        <f>E20+апр!I20</f>
        <v>0</v>
      </c>
      <c r="R20" s="30" t="e">
        <f>F20+апр!J20</f>
        <v>#DIV/0!</v>
      </c>
    </row>
    <row r="21" spans="1:18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10">
        <v>984</v>
      </c>
      <c r="G21" s="10">
        <f t="shared" si="2"/>
        <v>984</v>
      </c>
      <c r="H21" s="10">
        <f>D21+апр!H21</f>
        <v>3753.65</v>
      </c>
      <c r="I21" s="8"/>
      <c r="J21" s="10">
        <f>F21+апр!J21</f>
        <v>4878.2199999999993</v>
      </c>
      <c r="K21" s="10">
        <f t="shared" si="3"/>
        <v>1124.5699999999993</v>
      </c>
      <c r="L21" s="16">
        <f t="shared" si="0"/>
        <v>29.959372877066301</v>
      </c>
      <c r="M21" s="110"/>
      <c r="N21" s="111"/>
      <c r="P21">
        <f t="shared" si="1"/>
        <v>3753.65</v>
      </c>
      <c r="Q21" s="44">
        <f>E21+апр!I21</f>
        <v>0</v>
      </c>
      <c r="R21" s="30">
        <f>F21+апр!J21</f>
        <v>4878.2199999999993</v>
      </c>
    </row>
    <row r="22" spans="1:18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6000</v>
      </c>
      <c r="G22" s="10">
        <f t="shared" si="2"/>
        <v>6000</v>
      </c>
      <c r="H22" s="14">
        <f>D22+апр!H22</f>
        <v>29415</v>
      </c>
      <c r="I22" s="8"/>
      <c r="J22" s="14">
        <f>F22+апр!J22</f>
        <v>28790</v>
      </c>
      <c r="K22" s="10">
        <f t="shared" si="3"/>
        <v>-625</v>
      </c>
      <c r="L22" s="16">
        <f t="shared" si="0"/>
        <v>-2.1247662757096748</v>
      </c>
      <c r="M22" s="110"/>
      <c r="N22" s="111"/>
      <c r="P22">
        <f t="shared" si="1"/>
        <v>29415</v>
      </c>
      <c r="Q22" s="44">
        <f>E22+апр!I22</f>
        <v>0</v>
      </c>
      <c r="R22" s="30">
        <f>F22+апр!J22</f>
        <v>28790</v>
      </c>
    </row>
    <row r="23" spans="1:18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7">E21/E22*1000</f>
        <v>#DIV/0!</v>
      </c>
      <c r="F23" s="16">
        <f t="shared" si="7"/>
        <v>164</v>
      </c>
      <c r="G23" s="10" t="e">
        <f t="shared" si="2"/>
        <v>#DIV/0!</v>
      </c>
      <c r="H23" s="16">
        <f>H21/H22*1000</f>
        <v>127.61006289308177</v>
      </c>
      <c r="I23" s="8"/>
      <c r="J23" s="13"/>
      <c r="K23" s="10">
        <f t="shared" si="3"/>
        <v>-127.61006289308177</v>
      </c>
      <c r="L23" s="16">
        <f t="shared" si="0"/>
        <v>-100</v>
      </c>
      <c r="M23" s="110"/>
      <c r="N23" s="111"/>
      <c r="P23">
        <f t="shared" si="1"/>
        <v>638.05031446540886</v>
      </c>
      <c r="Q23" s="44" t="e">
        <f>E23+апр!I23</f>
        <v>#DIV/0!</v>
      </c>
      <c r="R23" s="30">
        <f>F23+апр!J23</f>
        <v>164</v>
      </c>
    </row>
    <row r="24" spans="1:18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10">
        <v>67.573999999999998</v>
      </c>
      <c r="G24" s="10">
        <f t="shared" si="2"/>
        <v>67.573999999999998</v>
      </c>
      <c r="H24" s="10">
        <f>D24+апр!H24</f>
        <v>825.02499999999998</v>
      </c>
      <c r="I24" s="8"/>
      <c r="J24" s="10">
        <f>F24+апр!J24</f>
        <v>483.41399999999999</v>
      </c>
      <c r="K24" s="10">
        <f t="shared" si="3"/>
        <v>-341.61099999999999</v>
      </c>
      <c r="L24" s="16">
        <f t="shared" si="0"/>
        <v>-41.40613920790279</v>
      </c>
      <c r="M24" s="110"/>
      <c r="N24" s="111"/>
      <c r="P24">
        <f t="shared" si="1"/>
        <v>825.02499999999998</v>
      </c>
      <c r="Q24" s="44">
        <f>E24+апр!I24</f>
        <v>0</v>
      </c>
      <c r="R24" s="30">
        <f>F24+апр!J24</f>
        <v>483.41399999999999</v>
      </c>
    </row>
    <row r="25" spans="1:18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130</v>
      </c>
      <c r="G25" s="10">
        <f t="shared" si="2"/>
        <v>130</v>
      </c>
      <c r="H25" s="14">
        <f>D25+апр!H25</f>
        <v>1255</v>
      </c>
      <c r="I25" s="8"/>
      <c r="J25" s="14">
        <f>F25+апр!J25</f>
        <v>930</v>
      </c>
      <c r="K25" s="10">
        <f t="shared" si="3"/>
        <v>-325</v>
      </c>
      <c r="L25" s="16">
        <f t="shared" si="0"/>
        <v>-25.896414342629484</v>
      </c>
      <c r="M25" s="110"/>
      <c r="N25" s="111"/>
      <c r="P25">
        <f t="shared" si="1"/>
        <v>1255</v>
      </c>
      <c r="Q25" s="44">
        <f>E25+апр!I25</f>
        <v>0</v>
      </c>
      <c r="R25" s="30">
        <f>F25+апр!J25</f>
        <v>930</v>
      </c>
    </row>
    <row r="26" spans="1:18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8">E24/E25*1000</f>
        <v>#DIV/0!</v>
      </c>
      <c r="F26" s="16">
        <f t="shared" si="8"/>
        <v>519.80000000000007</v>
      </c>
      <c r="G26" s="10" t="e">
        <f t="shared" si="2"/>
        <v>#DIV/0!</v>
      </c>
      <c r="H26" s="16">
        <f>H24/H25*1000</f>
        <v>657.39043824701196</v>
      </c>
      <c r="I26" s="16"/>
      <c r="J26" s="16">
        <f t="shared" ref="J26" si="9">J24/J25*1000</f>
        <v>519.80000000000007</v>
      </c>
      <c r="K26" s="10">
        <f t="shared" si="3"/>
        <v>-137.59043824701189</v>
      </c>
      <c r="L26" s="16">
        <f t="shared" si="0"/>
        <v>-20.929790006363433</v>
      </c>
      <c r="M26" s="110"/>
      <c r="N26" s="111"/>
      <c r="P26">
        <f t="shared" si="1"/>
        <v>3286.9521912350597</v>
      </c>
      <c r="Q26" s="44" t="e">
        <f>E26+апр!I26</f>
        <v>#DIV/0!</v>
      </c>
      <c r="R26" s="30">
        <f>F26+апр!J26</f>
        <v>1039.5999999999999</v>
      </c>
    </row>
    <row r="27" spans="1:18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>
        <v>650.4</v>
      </c>
      <c r="G27" s="10">
        <f t="shared" si="2"/>
        <v>650.4</v>
      </c>
      <c r="H27" s="10">
        <f>D27+апр!H27</f>
        <v>1070.78</v>
      </c>
      <c r="I27" s="8"/>
      <c r="J27" s="10">
        <f>F27+апр!J27</f>
        <v>650.4</v>
      </c>
      <c r="K27" s="10">
        <f t="shared" si="3"/>
        <v>-420.38</v>
      </c>
      <c r="L27" s="16">
        <f t="shared" si="0"/>
        <v>-39.259231588188051</v>
      </c>
      <c r="M27" s="110"/>
      <c r="N27" s="111"/>
      <c r="P27">
        <f t="shared" si="1"/>
        <v>1070.78</v>
      </c>
      <c r="Q27" s="44">
        <f>E27+апр!I27</f>
        <v>0</v>
      </c>
      <c r="R27" s="30">
        <f>F27+апр!J27</f>
        <v>650.4</v>
      </c>
    </row>
    <row r="28" spans="1:18" ht="17.25" customHeight="1">
      <c r="A28" s="8"/>
      <c r="B28" s="12" t="s">
        <v>13</v>
      </c>
      <c r="C28" s="13" t="s">
        <v>14</v>
      </c>
      <c r="D28" s="14">
        <v>238</v>
      </c>
      <c r="E28" s="13"/>
      <c r="F28" s="8">
        <v>813</v>
      </c>
      <c r="G28" s="10">
        <f t="shared" si="2"/>
        <v>813</v>
      </c>
      <c r="H28" s="14">
        <f>D28+апр!H28</f>
        <v>1190</v>
      </c>
      <c r="I28" s="8"/>
      <c r="J28" s="14">
        <f>F28+апр!J28</f>
        <v>813</v>
      </c>
      <c r="K28" s="10">
        <f t="shared" si="3"/>
        <v>-377</v>
      </c>
      <c r="L28" s="16">
        <f t="shared" si="0"/>
        <v>-31.680672268907557</v>
      </c>
      <c r="M28" s="110"/>
      <c r="N28" s="111"/>
      <c r="P28">
        <f t="shared" si="1"/>
        <v>1190</v>
      </c>
      <c r="Q28" s="44">
        <f>E28+апр!I28</f>
        <v>0</v>
      </c>
      <c r="R28" s="30">
        <f>F28+апр!J28</f>
        <v>813</v>
      </c>
    </row>
    <row r="29" spans="1:18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2"/>
        <v>0</v>
      </c>
      <c r="H29" s="16">
        <f>H27/H28*1000</f>
        <v>899.81512605042008</v>
      </c>
      <c r="I29" s="16"/>
      <c r="J29" s="16">
        <f t="shared" ref="J29" si="10">J27/J28*1000</f>
        <v>799.99999999999989</v>
      </c>
      <c r="K29" s="10">
        <f t="shared" si="3"/>
        <v>-99.81512605042019</v>
      </c>
      <c r="L29" s="16">
        <f t="shared" si="0"/>
        <v>-11.092848204112897</v>
      </c>
      <c r="M29" s="110"/>
      <c r="N29" s="111"/>
      <c r="P29">
        <f t="shared" si="1"/>
        <v>4499.0756302521013</v>
      </c>
      <c r="Q29" s="44">
        <f>E29+апр!I29</f>
        <v>0</v>
      </c>
      <c r="R29" s="30" t="e">
        <f>F29+апр!J29</f>
        <v>#DIV/0!</v>
      </c>
    </row>
    <row r="30" spans="1:18" ht="17.25" customHeight="1">
      <c r="A30" s="18" t="s">
        <v>26</v>
      </c>
      <c r="B30" s="9" t="s">
        <v>27</v>
      </c>
      <c r="C30" s="8" t="s">
        <v>4</v>
      </c>
      <c r="D30" s="10">
        <f t="shared" ref="D30" si="11">D31+D32+D33+D34</f>
        <v>2406.0839999999998</v>
      </c>
      <c r="E30" s="8">
        <v>762.50099999999998</v>
      </c>
      <c r="F30" s="10">
        <f>F31+F32+F33+F34</f>
        <v>526.56100000000004</v>
      </c>
      <c r="G30" s="10">
        <f t="shared" si="2"/>
        <v>-235.93999999999994</v>
      </c>
      <c r="H30" s="10">
        <f t="shared" ref="H30" si="12">H31+H32+H33+H34</f>
        <v>12030.42</v>
      </c>
      <c r="I30" s="8">
        <f>E30+апр!I30</f>
        <v>3812.5050000000001</v>
      </c>
      <c r="J30" s="10">
        <f t="shared" ref="J30" si="13">J31+J32+J33+J34</f>
        <v>9699.3099999999977</v>
      </c>
      <c r="K30" s="10">
        <f t="shared" si="3"/>
        <v>-2331.1100000000024</v>
      </c>
      <c r="L30" s="16">
        <f t="shared" si="0"/>
        <v>-19.376796487570687</v>
      </c>
      <c r="M30" s="110"/>
      <c r="N30" s="111"/>
      <c r="P30">
        <f t="shared" si="1"/>
        <v>12030.419999999998</v>
      </c>
      <c r="Q30" s="44">
        <f>E30+апр!I30</f>
        <v>3812.5050000000001</v>
      </c>
      <c r="R30" s="30">
        <f>F30+апр!J30</f>
        <v>9699.31</v>
      </c>
    </row>
    <row r="31" spans="1:18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8">
        <v>409.738</v>
      </c>
      <c r="G31" s="10">
        <f t="shared" si="2"/>
        <v>409.738</v>
      </c>
      <c r="H31" s="10">
        <f>D31+апр!H31</f>
        <v>11442.61</v>
      </c>
      <c r="I31" s="8"/>
      <c r="J31" s="10">
        <f>F31+апр!J31</f>
        <v>9183.1729999999989</v>
      </c>
      <c r="K31" s="10">
        <f t="shared" si="3"/>
        <v>-2259.4370000000017</v>
      </c>
      <c r="L31" s="16">
        <f t="shared" si="0"/>
        <v>-19.745818480224358</v>
      </c>
      <c r="M31" s="110"/>
      <c r="N31" s="111"/>
      <c r="P31">
        <f t="shared" si="1"/>
        <v>11442.61</v>
      </c>
      <c r="Q31" s="44">
        <f>E31+апр!I31</f>
        <v>0</v>
      </c>
      <c r="R31" s="30">
        <f>F31+апр!J31</f>
        <v>9183.1729999999989</v>
      </c>
    </row>
    <row r="32" spans="1:18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10">
        <v>44.076999999999998</v>
      </c>
      <c r="G32" s="10">
        <f t="shared" si="2"/>
        <v>44.076999999999998</v>
      </c>
      <c r="H32" s="10">
        <f>D32+апр!H32</f>
        <v>301.685</v>
      </c>
      <c r="I32" s="8"/>
      <c r="J32" s="10">
        <f>F32+апр!J32</f>
        <v>312.10699999999997</v>
      </c>
      <c r="K32" s="10">
        <f t="shared" si="3"/>
        <v>10.421999999999969</v>
      </c>
      <c r="L32" s="16">
        <f t="shared" si="0"/>
        <v>3.4545966819695906</v>
      </c>
      <c r="M32" s="112" t="s">
        <v>285</v>
      </c>
      <c r="N32" s="113"/>
      <c r="P32">
        <f t="shared" si="1"/>
        <v>301.685</v>
      </c>
      <c r="Q32" s="44">
        <f>E32+апр!I32</f>
        <v>0</v>
      </c>
      <c r="R32" s="30">
        <f>F32+апр!J32</f>
        <v>312.10699999999997</v>
      </c>
    </row>
    <row r="33" spans="1:18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8">
        <v>70.069000000000003</v>
      </c>
      <c r="G33" s="10">
        <f t="shared" si="2"/>
        <v>70.069000000000003</v>
      </c>
      <c r="H33" s="10">
        <f>D33+апр!H33</f>
        <v>98.684999999999988</v>
      </c>
      <c r="I33" s="8"/>
      <c r="J33" s="10">
        <f>F33+апр!J33</f>
        <v>119.595</v>
      </c>
      <c r="K33" s="10">
        <f t="shared" si="3"/>
        <v>20.910000000000011</v>
      </c>
      <c r="L33" s="16">
        <f t="shared" si="0"/>
        <v>21.188630490956101</v>
      </c>
      <c r="M33" s="110"/>
      <c r="N33" s="111"/>
      <c r="P33">
        <f t="shared" si="1"/>
        <v>98.684999999999988</v>
      </c>
      <c r="Q33" s="44">
        <f>E33+апр!I33</f>
        <v>0</v>
      </c>
      <c r="R33" s="30">
        <f>F33+апр!J33</f>
        <v>119.595</v>
      </c>
    </row>
    <row r="34" spans="1:18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8">
        <v>2.677</v>
      </c>
      <c r="G34" s="10">
        <f t="shared" si="2"/>
        <v>2.677</v>
      </c>
      <c r="H34" s="10">
        <f>D34+апр!H34</f>
        <v>187.44</v>
      </c>
      <c r="I34" s="8"/>
      <c r="J34" s="10">
        <f>F34+апр!J34</f>
        <v>84.435000000000016</v>
      </c>
      <c r="K34" s="10">
        <f t="shared" si="3"/>
        <v>-103.00499999999998</v>
      </c>
      <c r="L34" s="16">
        <f t="shared" si="0"/>
        <v>-54.953585147247111</v>
      </c>
      <c r="M34" s="110"/>
      <c r="N34" s="111"/>
      <c r="P34">
        <f t="shared" si="1"/>
        <v>187.44</v>
      </c>
      <c r="Q34" s="44">
        <f>E34+апр!I34</f>
        <v>0</v>
      </c>
      <c r="R34" s="30">
        <f>F34+апр!J34</f>
        <v>84.435000000000016</v>
      </c>
    </row>
    <row r="35" spans="1:18" ht="17.25" customHeight="1">
      <c r="A35" s="18" t="s">
        <v>36</v>
      </c>
      <c r="B35" s="9" t="s">
        <v>37</v>
      </c>
      <c r="C35" s="8" t="s">
        <v>4</v>
      </c>
      <c r="D35" s="10">
        <f t="shared" ref="D35:J35" si="14">D36</f>
        <v>162.715</v>
      </c>
      <c r="E35" s="10">
        <f t="shared" si="14"/>
        <v>162.75</v>
      </c>
      <c r="F35" s="10">
        <f t="shared" si="14"/>
        <v>30.957999999999998</v>
      </c>
      <c r="G35" s="10">
        <f t="shared" si="2"/>
        <v>-131.792</v>
      </c>
      <c r="H35" s="10">
        <f t="shared" si="14"/>
        <v>813.57500000000005</v>
      </c>
      <c r="I35" s="10">
        <f t="shared" si="14"/>
        <v>813.75</v>
      </c>
      <c r="J35" s="10">
        <f t="shared" si="14"/>
        <v>1814.5060000000001</v>
      </c>
      <c r="K35" s="10">
        <f t="shared" si="3"/>
        <v>1000.931</v>
      </c>
      <c r="L35" s="16">
        <f t="shared" si="0"/>
        <v>123.02873121715882</v>
      </c>
      <c r="M35" s="110"/>
      <c r="N35" s="111"/>
      <c r="P35">
        <f t="shared" si="1"/>
        <v>813.57500000000005</v>
      </c>
      <c r="Q35" s="44">
        <f>E35+апр!I35</f>
        <v>813.75</v>
      </c>
      <c r="R35" s="30">
        <f>F35+апр!J35</f>
        <v>1814.5060000000001</v>
      </c>
    </row>
    <row r="36" spans="1:18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10">
        <v>30.957999999999998</v>
      </c>
      <c r="G36" s="10">
        <f t="shared" si="2"/>
        <v>-131.792</v>
      </c>
      <c r="H36" s="10">
        <f>D36+апр!H36</f>
        <v>813.57500000000005</v>
      </c>
      <c r="I36" s="8">
        <f>E36+апр!I36</f>
        <v>813.75</v>
      </c>
      <c r="J36" s="10">
        <f>F36+апр!J36</f>
        <v>1814.5060000000001</v>
      </c>
      <c r="K36" s="10">
        <f t="shared" si="3"/>
        <v>1000.931</v>
      </c>
      <c r="L36" s="16">
        <f t="shared" si="0"/>
        <v>123.02873121715882</v>
      </c>
      <c r="M36" s="110"/>
      <c r="N36" s="111"/>
      <c r="P36">
        <f t="shared" si="1"/>
        <v>813.57500000000005</v>
      </c>
      <c r="Q36" s="44">
        <f>E36+апр!I36</f>
        <v>813.75</v>
      </c>
      <c r="R36" s="30">
        <f>F36+апр!J36</f>
        <v>1814.5060000000001</v>
      </c>
    </row>
    <row r="37" spans="1:18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1114.384</v>
      </c>
      <c r="G37" s="10">
        <f t="shared" si="2"/>
        <v>-818.69900000000007</v>
      </c>
      <c r="H37" s="10">
        <f>H38+H41+H48+H51</f>
        <v>8066.9549999999999</v>
      </c>
      <c r="I37" s="8">
        <f>E37+апр!I37</f>
        <v>9665.4150000000009</v>
      </c>
      <c r="J37" s="10">
        <f>J38+J41+J48+J51</f>
        <v>11166.116</v>
      </c>
      <c r="K37" s="10">
        <f t="shared" si="3"/>
        <v>3099.1610000000001</v>
      </c>
      <c r="L37" s="16">
        <f t="shared" si="0"/>
        <v>38.417978035082626</v>
      </c>
      <c r="M37" s="110"/>
      <c r="N37" s="111"/>
      <c r="P37">
        <f t="shared" si="1"/>
        <v>8066.954999999999</v>
      </c>
      <c r="Q37" s="44">
        <f>E37+апр!I37</f>
        <v>9665.4150000000009</v>
      </c>
      <c r="R37" s="30">
        <f>F37+апр!J37</f>
        <v>11166.116</v>
      </c>
    </row>
    <row r="38" spans="1:18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>
        <v>105.842</v>
      </c>
      <c r="G38" s="10">
        <f t="shared" si="2"/>
        <v>-601.49099999999999</v>
      </c>
      <c r="H38" s="10">
        <f>D38+апр!H38</f>
        <v>3536.625</v>
      </c>
      <c r="I38" s="8">
        <f>E38+апр!I38</f>
        <v>3536.665</v>
      </c>
      <c r="J38" s="10">
        <f>F38+апр!J38</f>
        <v>5653.2079999999996</v>
      </c>
      <c r="K38" s="10">
        <f t="shared" si="3"/>
        <v>2116.5829999999996</v>
      </c>
      <c r="L38" s="16">
        <f t="shared" si="0"/>
        <v>59.847538260347079</v>
      </c>
      <c r="M38" s="110"/>
      <c r="N38" s="111"/>
      <c r="P38">
        <f t="shared" si="1"/>
        <v>3536.625</v>
      </c>
      <c r="Q38" s="44">
        <f>E38+апр!I38</f>
        <v>3536.665</v>
      </c>
      <c r="R38" s="30">
        <f>F38+апр!J38</f>
        <v>5653.2079999999996</v>
      </c>
    </row>
    <row r="39" spans="1:18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17</v>
      </c>
      <c r="G39" s="10">
        <f t="shared" si="2"/>
        <v>17</v>
      </c>
      <c r="H39" s="14">
        <f>D39+апр!H39</f>
        <v>435</v>
      </c>
      <c r="I39" s="8"/>
      <c r="J39" s="14">
        <f>F39+апр!J39</f>
        <v>908</v>
      </c>
      <c r="K39" s="10">
        <f t="shared" si="3"/>
        <v>473</v>
      </c>
      <c r="L39" s="16">
        <f t="shared" si="0"/>
        <v>108.73563218390805</v>
      </c>
      <c r="M39" s="110"/>
      <c r="N39" s="111"/>
      <c r="P39">
        <f t="shared" si="1"/>
        <v>435</v>
      </c>
      <c r="Q39" s="44">
        <f>E39+апр!I39</f>
        <v>0</v>
      </c>
      <c r="R39" s="30">
        <f>F39+апр!J39</f>
        <v>908</v>
      </c>
    </row>
    <row r="40" spans="1:18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5">F38/F39*1000</f>
        <v>6226</v>
      </c>
      <c r="G40" s="10">
        <f t="shared" si="2"/>
        <v>6226</v>
      </c>
      <c r="H40" s="16">
        <f>H38/H39*1000</f>
        <v>8130.1724137931033</v>
      </c>
      <c r="I40" s="16"/>
      <c r="J40" s="16">
        <f t="shared" ref="J40" si="16">J38/J39*1000</f>
        <v>6226</v>
      </c>
      <c r="K40" s="10">
        <f t="shared" si="3"/>
        <v>-1904.1724137931033</v>
      </c>
      <c r="L40" s="16">
        <f t="shared" si="0"/>
        <v>-23.421058212278652</v>
      </c>
      <c r="M40" s="110"/>
      <c r="N40" s="111"/>
      <c r="P40">
        <f t="shared" si="1"/>
        <v>40650.862068965522</v>
      </c>
      <c r="Q40" s="44">
        <f>E40+апр!I40</f>
        <v>0</v>
      </c>
      <c r="R40" s="30">
        <f>F40+апр!J40</f>
        <v>12452</v>
      </c>
    </row>
    <row r="41" spans="1:18" ht="17.25" customHeight="1">
      <c r="A41" s="18" t="s">
        <v>45</v>
      </c>
      <c r="B41" s="9" t="s">
        <v>46</v>
      </c>
      <c r="C41" s="8" t="s">
        <v>4</v>
      </c>
      <c r="D41" s="10">
        <f t="shared" ref="D41:F41" si="17">D42+D45</f>
        <v>315.00200000000001</v>
      </c>
      <c r="E41" s="10">
        <f t="shared" si="17"/>
        <v>0</v>
      </c>
      <c r="F41" s="10">
        <f t="shared" si="17"/>
        <v>293.08800000000002</v>
      </c>
      <c r="G41" s="10">
        <f t="shared" si="2"/>
        <v>293.08800000000002</v>
      </c>
      <c r="H41" s="10">
        <f t="shared" ref="H41:J41" si="18">H42+H45</f>
        <v>1575.01</v>
      </c>
      <c r="I41" s="10">
        <f t="shared" si="18"/>
        <v>0</v>
      </c>
      <c r="J41" s="10">
        <f t="shared" si="18"/>
        <v>1730.146</v>
      </c>
      <c r="K41" s="10">
        <f t="shared" si="3"/>
        <v>155.13599999999997</v>
      </c>
      <c r="L41" s="16">
        <f t="shared" si="0"/>
        <v>9.8498422232239875</v>
      </c>
      <c r="M41" s="110"/>
      <c r="N41" s="111"/>
      <c r="P41">
        <f t="shared" si="1"/>
        <v>1575.01</v>
      </c>
      <c r="Q41" s="44">
        <f>E41+апр!I41</f>
        <v>0</v>
      </c>
      <c r="R41" s="30">
        <f>F41+апр!J41</f>
        <v>1730.146</v>
      </c>
    </row>
    <row r="42" spans="1:18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2"/>
        <v>0</v>
      </c>
      <c r="H42" s="10">
        <f>D42+апр!H42</f>
        <v>761.49</v>
      </c>
      <c r="I42" s="8"/>
      <c r="J42" s="10">
        <f>F42+апр!J42</f>
        <v>0</v>
      </c>
      <c r="K42" s="10">
        <f t="shared" si="3"/>
        <v>-761.49</v>
      </c>
      <c r="L42" s="16">
        <f t="shared" si="0"/>
        <v>-100</v>
      </c>
      <c r="M42" s="123" t="s">
        <v>286</v>
      </c>
      <c r="N42" s="124"/>
      <c r="P42">
        <f t="shared" si="1"/>
        <v>761.49</v>
      </c>
      <c r="Q42" s="44">
        <f>E42+апр!I42</f>
        <v>0</v>
      </c>
      <c r="R42" s="30">
        <f>F42+апр!J42</f>
        <v>0</v>
      </c>
    </row>
    <row r="43" spans="1:18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2"/>
        <v>0</v>
      </c>
      <c r="H43" s="14">
        <f>D43+апр!H43</f>
        <v>9585</v>
      </c>
      <c r="I43" s="8"/>
      <c r="J43" s="14">
        <f>F43+апр!J43</f>
        <v>0</v>
      </c>
      <c r="K43" s="10">
        <f t="shared" si="3"/>
        <v>-9585</v>
      </c>
      <c r="L43" s="16">
        <f t="shared" si="0"/>
        <v>-100</v>
      </c>
      <c r="M43" s="125"/>
      <c r="N43" s="126"/>
      <c r="P43">
        <f t="shared" si="1"/>
        <v>9585</v>
      </c>
      <c r="Q43" s="44">
        <f>E43+апр!I43</f>
        <v>0</v>
      </c>
      <c r="R43" s="30">
        <f>F43+апр!J43</f>
        <v>0</v>
      </c>
    </row>
    <row r="44" spans="1:18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2"/>
        <v>0</v>
      </c>
      <c r="H44" s="16">
        <f>H42/H43*1000</f>
        <v>79.44600938967136</v>
      </c>
      <c r="I44" s="16"/>
      <c r="J44" s="16" t="e">
        <f t="shared" ref="J44" si="19">J42/J43*1000</f>
        <v>#DIV/0!</v>
      </c>
      <c r="K44" s="10" t="e">
        <f t="shared" si="3"/>
        <v>#DIV/0!</v>
      </c>
      <c r="L44" s="16" t="e">
        <f t="shared" si="0"/>
        <v>#DIV/0!</v>
      </c>
      <c r="M44" s="110"/>
      <c r="N44" s="111"/>
      <c r="P44">
        <f t="shared" si="1"/>
        <v>397.2300469483568</v>
      </c>
      <c r="Q44" s="44">
        <f>E44+апр!I44</f>
        <v>0</v>
      </c>
      <c r="R44" s="30" t="e">
        <f>F44+апр!J44</f>
        <v>#DIV/0!</v>
      </c>
    </row>
    <row r="45" spans="1:18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10">
        <v>293.08800000000002</v>
      </c>
      <c r="G45" s="10">
        <f t="shared" si="2"/>
        <v>293.08800000000002</v>
      </c>
      <c r="H45" s="10">
        <f>D45+апр!H45</f>
        <v>813.52</v>
      </c>
      <c r="I45" s="8">
        <f>E45+апр!I45</f>
        <v>0</v>
      </c>
      <c r="J45" s="10">
        <f>F45+апр!J45</f>
        <v>1730.146</v>
      </c>
      <c r="K45" s="10">
        <f t="shared" si="3"/>
        <v>916.62599999999998</v>
      </c>
      <c r="L45" s="16">
        <f t="shared" si="0"/>
        <v>112.67405841282329</v>
      </c>
      <c r="M45" s="110"/>
      <c r="N45" s="111"/>
      <c r="P45">
        <f t="shared" si="1"/>
        <v>813.52</v>
      </c>
      <c r="Q45" s="44">
        <f>E45+апр!I45</f>
        <v>0</v>
      </c>
      <c r="R45" s="30">
        <f>F45+апр!J45</f>
        <v>1730.146</v>
      </c>
    </row>
    <row r="46" spans="1:18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2066</v>
      </c>
      <c r="G46" s="10">
        <f t="shared" si="2"/>
        <v>2066</v>
      </c>
      <c r="H46" s="14">
        <f>D46+апр!H46</f>
        <v>7085</v>
      </c>
      <c r="I46" s="8"/>
      <c r="J46" s="14">
        <f>F46+апр!J46</f>
        <v>12188</v>
      </c>
      <c r="K46" s="10">
        <f t="shared" si="3"/>
        <v>5103</v>
      </c>
      <c r="L46" s="16">
        <f t="shared" si="0"/>
        <v>72.025405786873677</v>
      </c>
      <c r="M46" s="110"/>
      <c r="N46" s="111"/>
      <c r="P46">
        <f t="shared" si="1"/>
        <v>7085</v>
      </c>
      <c r="Q46" s="44">
        <f>E46+апр!I46</f>
        <v>0</v>
      </c>
      <c r="R46" s="30">
        <f>F46+апр!J46</f>
        <v>12188</v>
      </c>
    </row>
    <row r="47" spans="1:18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141.86253630203294</v>
      </c>
      <c r="G47" s="10">
        <f t="shared" si="2"/>
        <v>141.86253630203294</v>
      </c>
      <c r="H47" s="16">
        <f>H45/H46*1000</f>
        <v>114.82286520818631</v>
      </c>
      <c r="I47" s="16"/>
      <c r="J47" s="16">
        <f t="shared" ref="J47" si="21">J45/J46*1000</f>
        <v>141.95487364620936</v>
      </c>
      <c r="K47" s="10">
        <f t="shared" si="3"/>
        <v>27.13200843802305</v>
      </c>
      <c r="L47" s="16">
        <f t="shared" si="0"/>
        <v>23.629447313328896</v>
      </c>
      <c r="M47" s="110"/>
      <c r="N47" s="111"/>
      <c r="P47">
        <f t="shared" si="1"/>
        <v>574.11432604093159</v>
      </c>
      <c r="Q47" s="44">
        <f>E47+апр!I47</f>
        <v>0</v>
      </c>
      <c r="R47" s="30">
        <f>F47+апр!J47</f>
        <v>283.83625691060831</v>
      </c>
    </row>
    <row r="48" spans="1:18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8">
        <f>8.053+695.682</f>
        <v>703.73500000000001</v>
      </c>
      <c r="G48" s="10">
        <f t="shared" si="2"/>
        <v>703.73500000000001</v>
      </c>
      <c r="H48" s="10">
        <f>D48+апр!H48</f>
        <v>2578.04</v>
      </c>
      <c r="I48" s="8"/>
      <c r="J48" s="10">
        <f>F48+апр!J48</f>
        <v>3649.8940000000007</v>
      </c>
      <c r="K48" s="10">
        <f t="shared" si="3"/>
        <v>1071.8540000000007</v>
      </c>
      <c r="L48" s="16">
        <f t="shared" si="0"/>
        <v>41.576313788769767</v>
      </c>
      <c r="M48" s="110"/>
      <c r="N48" s="111"/>
      <c r="P48">
        <f t="shared" si="1"/>
        <v>2578.04</v>
      </c>
      <c r="Q48" s="44">
        <f>E48+апр!I48</f>
        <v>0</v>
      </c>
      <c r="R48" s="30">
        <f>F48+апр!J48</f>
        <v>3649.8940000000007</v>
      </c>
    </row>
    <row r="49" spans="1:18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4866</v>
      </c>
      <c r="G49" s="10">
        <f t="shared" si="2"/>
        <v>4866</v>
      </c>
      <c r="H49" s="14">
        <f>D49+апр!H49</f>
        <v>29165</v>
      </c>
      <c r="I49" s="8"/>
      <c r="J49" s="14">
        <f>F49+апр!J49</f>
        <v>23189</v>
      </c>
      <c r="K49" s="10">
        <f t="shared" si="3"/>
        <v>-5976</v>
      </c>
      <c r="L49" s="16">
        <f t="shared" si="0"/>
        <v>-20.490313732213266</v>
      </c>
      <c r="M49" s="110"/>
      <c r="N49" s="111"/>
      <c r="P49">
        <f t="shared" si="1"/>
        <v>29165</v>
      </c>
      <c r="Q49" s="44">
        <f>E49+апр!I49</f>
        <v>0</v>
      </c>
      <c r="R49" s="30">
        <f>F49+апр!J49</f>
        <v>23189</v>
      </c>
    </row>
    <row r="50" spans="1:18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144.62289354706124</v>
      </c>
      <c r="G50" s="10">
        <f t="shared" si="2"/>
        <v>144.62289354706124</v>
      </c>
      <c r="H50" s="16">
        <f>H48/H49*1000</f>
        <v>88.394993999657132</v>
      </c>
      <c r="I50" s="16"/>
      <c r="J50" s="16">
        <f t="shared" ref="J50" si="23">J48/J49*1000</f>
        <v>157.39764543533573</v>
      </c>
      <c r="K50" s="10">
        <f t="shared" si="3"/>
        <v>69.002651435678601</v>
      </c>
      <c r="L50" s="16">
        <f t="shared" si="0"/>
        <v>78.061718558345348</v>
      </c>
      <c r="M50" s="110"/>
      <c r="N50" s="111"/>
      <c r="P50">
        <f t="shared" si="1"/>
        <v>441.97496999828559</v>
      </c>
      <c r="Q50" s="44">
        <f>E50+апр!I50</f>
        <v>0</v>
      </c>
      <c r="R50" s="30">
        <f>F50+апр!J50</f>
        <v>305.41310257396731</v>
      </c>
    </row>
    <row r="51" spans="1:18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11.719000000000001</v>
      </c>
      <c r="G51" s="10">
        <f t="shared" si="2"/>
        <v>11.719000000000001</v>
      </c>
      <c r="H51" s="10">
        <f t="shared" ref="H51:H52" si="25">H54+H57+H60+H63+H66+H69</f>
        <v>377.28</v>
      </c>
      <c r="I51" s="10"/>
      <c r="J51" s="10">
        <f t="shared" ref="J51:J52" si="26">J54+J57+J60+J63+J66+J69</f>
        <v>132.86799999999999</v>
      </c>
      <c r="K51" s="10">
        <f t="shared" si="3"/>
        <v>-244.41199999999998</v>
      </c>
      <c r="L51" s="16">
        <f t="shared" si="0"/>
        <v>-64.78265479219678</v>
      </c>
      <c r="M51" s="110"/>
      <c r="N51" s="111"/>
      <c r="P51">
        <f t="shared" si="1"/>
        <v>377.28000000000003</v>
      </c>
      <c r="Q51" s="44">
        <f>E51+апр!I51</f>
        <v>0</v>
      </c>
      <c r="R51" s="30">
        <f>F51+апр!J51</f>
        <v>132.86799999999999</v>
      </c>
    </row>
    <row r="52" spans="1:18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14">
        <f t="shared" si="24"/>
        <v>23</v>
      </c>
      <c r="G52" s="10">
        <f t="shared" si="2"/>
        <v>23</v>
      </c>
      <c r="H52" s="14">
        <f t="shared" si="25"/>
        <v>885</v>
      </c>
      <c r="I52" s="8"/>
      <c r="J52" s="14">
        <f t="shared" si="26"/>
        <v>242.07499999999999</v>
      </c>
      <c r="K52" s="10">
        <f t="shared" si="3"/>
        <v>-642.92499999999995</v>
      </c>
      <c r="L52" s="16">
        <f t="shared" si="0"/>
        <v>-72.646892655367239</v>
      </c>
      <c r="M52" s="110"/>
      <c r="N52" s="111"/>
      <c r="P52">
        <f t="shared" si="1"/>
        <v>885</v>
      </c>
      <c r="Q52" s="44">
        <f>E52+апр!I52</f>
        <v>0</v>
      </c>
      <c r="R52" s="30">
        <f>F52+апр!J52</f>
        <v>242.07499999999999</v>
      </c>
    </row>
    <row r="53" spans="1:18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27">F51/F52*1000</f>
        <v>509.52173913043487</v>
      </c>
      <c r="G53" s="10">
        <f t="shared" si="2"/>
        <v>509.52173913043487</v>
      </c>
      <c r="H53" s="16">
        <f>H51/H52*1000</f>
        <v>426.30508474576266</v>
      </c>
      <c r="I53" s="16"/>
      <c r="J53" s="16">
        <f t="shared" ref="J53" si="28">J51/J52*1000</f>
        <v>548.87121759785191</v>
      </c>
      <c r="K53" s="10">
        <f t="shared" si="3"/>
        <v>122.56613285208925</v>
      </c>
      <c r="L53" s="16">
        <f t="shared" si="0"/>
        <v>28.750802474050829</v>
      </c>
      <c r="M53" s="110"/>
      <c r="N53" s="111"/>
      <c r="P53">
        <f t="shared" si="1"/>
        <v>2131.5254237288136</v>
      </c>
      <c r="Q53" s="44">
        <f>E53+апр!I53</f>
        <v>0</v>
      </c>
      <c r="R53" s="30">
        <f>F53+апр!J53</f>
        <v>1062.5241355700105</v>
      </c>
    </row>
    <row r="54" spans="1:18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>
        <v>3.75</v>
      </c>
      <c r="G54" s="10">
        <f t="shared" si="2"/>
        <v>3.75</v>
      </c>
      <c r="H54" s="10">
        <f>D54+апр!H54</f>
        <v>39.04</v>
      </c>
      <c r="I54" s="8"/>
      <c r="J54" s="10">
        <f>F54+апр!J54</f>
        <v>17.353999999999999</v>
      </c>
      <c r="K54" s="10">
        <f t="shared" si="3"/>
        <v>-21.686</v>
      </c>
      <c r="L54" s="16">
        <f t="shared" si="0"/>
        <v>-55.548155737704917</v>
      </c>
      <c r="M54" s="110"/>
      <c r="N54" s="111"/>
      <c r="P54">
        <f t="shared" si="1"/>
        <v>39.04</v>
      </c>
      <c r="Q54" s="44">
        <f>E54+апр!I54</f>
        <v>0</v>
      </c>
      <c r="R54" s="30">
        <f>F54+апр!J54</f>
        <v>17.353999999999999</v>
      </c>
    </row>
    <row r="55" spans="1:18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8</v>
      </c>
      <c r="G55" s="10">
        <f t="shared" si="2"/>
        <v>8</v>
      </c>
      <c r="H55" s="14">
        <f>D55+апр!H55</f>
        <v>155</v>
      </c>
      <c r="I55" s="8"/>
      <c r="J55" s="14">
        <f>F55+апр!J55</f>
        <v>33</v>
      </c>
      <c r="K55" s="10">
        <f t="shared" si="3"/>
        <v>-122</v>
      </c>
      <c r="L55" s="16">
        <f t="shared" si="0"/>
        <v>-78.709677419354847</v>
      </c>
      <c r="M55" s="110"/>
      <c r="N55" s="111"/>
      <c r="P55">
        <f t="shared" si="1"/>
        <v>155</v>
      </c>
      <c r="Q55" s="44">
        <f>E55+апр!I55</f>
        <v>0</v>
      </c>
      <c r="R55" s="30">
        <f>F55+апр!J55</f>
        <v>33</v>
      </c>
    </row>
    <row r="56" spans="1:18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9">F54/F55*1000</f>
        <v>468.75</v>
      </c>
      <c r="G56" s="10">
        <f t="shared" si="2"/>
        <v>468.75</v>
      </c>
      <c r="H56" s="16">
        <f>H54/H55*1000</f>
        <v>251.87096774193546</v>
      </c>
      <c r="I56" s="16"/>
      <c r="J56" s="16">
        <f t="shared" ref="J56" si="30">J54/J55*1000</f>
        <v>525.87878787878788</v>
      </c>
      <c r="K56" s="10">
        <f t="shared" si="3"/>
        <v>274.00782013685239</v>
      </c>
      <c r="L56" s="16">
        <f t="shared" si="0"/>
        <v>108.7889654744163</v>
      </c>
      <c r="M56" s="110"/>
      <c r="N56" s="111"/>
      <c r="P56">
        <f t="shared" si="1"/>
        <v>1259.3548387096773</v>
      </c>
      <c r="Q56" s="44">
        <f>E56+апр!I56</f>
        <v>0</v>
      </c>
      <c r="R56" s="30">
        <f>F56+апр!J56</f>
        <v>1012.91</v>
      </c>
    </row>
    <row r="57" spans="1:18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2"/>
        <v>0</v>
      </c>
      <c r="H57" s="10">
        <f>D57+апр!H57</f>
        <v>69.800000000000011</v>
      </c>
      <c r="I57" s="8"/>
      <c r="J57" s="10">
        <f>F57+апр!J57</f>
        <v>0</v>
      </c>
      <c r="K57" s="10">
        <f t="shared" si="3"/>
        <v>-69.800000000000011</v>
      </c>
      <c r="L57" s="16">
        <f t="shared" si="0"/>
        <v>-100</v>
      </c>
      <c r="M57" s="123" t="s">
        <v>291</v>
      </c>
      <c r="N57" s="124"/>
      <c r="P57">
        <f t="shared" si="1"/>
        <v>69.800000000000011</v>
      </c>
      <c r="Q57" s="44">
        <f>E57+апр!I57</f>
        <v>0</v>
      </c>
      <c r="R57" s="30">
        <f>F57+апр!J57</f>
        <v>0</v>
      </c>
    </row>
    <row r="58" spans="1:18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2"/>
        <v>0</v>
      </c>
      <c r="H58" s="14">
        <f>D58+апр!H58</f>
        <v>165</v>
      </c>
      <c r="I58" s="8"/>
      <c r="J58" s="14">
        <f>F58+апр!J58</f>
        <v>0</v>
      </c>
      <c r="K58" s="10">
        <f t="shared" si="3"/>
        <v>-165</v>
      </c>
      <c r="L58" s="16">
        <f t="shared" si="0"/>
        <v>-100</v>
      </c>
      <c r="M58" s="125"/>
      <c r="N58" s="126"/>
      <c r="P58">
        <f t="shared" si="1"/>
        <v>165</v>
      </c>
      <c r="Q58" s="44">
        <f>E58+апр!I58</f>
        <v>0</v>
      </c>
      <c r="R58" s="30">
        <f>F58+апр!J58</f>
        <v>0</v>
      </c>
    </row>
    <row r="59" spans="1:18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2"/>
        <v>0</v>
      </c>
      <c r="H59" s="16">
        <f>H57/H58*1000</f>
        <v>423.03030303030312</v>
      </c>
      <c r="I59" s="8"/>
      <c r="J59" s="13"/>
      <c r="K59" s="10">
        <f t="shared" si="3"/>
        <v>-423.03030303030312</v>
      </c>
      <c r="L59" s="16">
        <f t="shared" si="0"/>
        <v>-100</v>
      </c>
      <c r="M59" s="110"/>
      <c r="N59" s="111"/>
      <c r="P59">
        <f t="shared" si="1"/>
        <v>2115.1515151515155</v>
      </c>
      <c r="Q59" s="44">
        <f>E59+апр!I59</f>
        <v>0</v>
      </c>
      <c r="R59" s="30">
        <f>F59+апр!J59</f>
        <v>0</v>
      </c>
    </row>
    <row r="60" spans="1:18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>
        <v>7.9690000000000003</v>
      </c>
      <c r="G60" s="10">
        <f t="shared" si="2"/>
        <v>7.9690000000000003</v>
      </c>
      <c r="H60" s="10">
        <f>D60+апр!H60</f>
        <v>142.92500000000001</v>
      </c>
      <c r="I60" s="8"/>
      <c r="J60" s="10">
        <f>F60+апр!J60</f>
        <v>65.343999999999994</v>
      </c>
      <c r="K60" s="10">
        <f t="shared" si="3"/>
        <v>-77.581000000000017</v>
      </c>
      <c r="L60" s="16">
        <f t="shared" si="0"/>
        <v>-54.280916564631809</v>
      </c>
      <c r="M60" s="123" t="s">
        <v>291</v>
      </c>
      <c r="N60" s="124"/>
      <c r="P60">
        <f t="shared" si="1"/>
        <v>142.92500000000001</v>
      </c>
      <c r="Q60" s="44">
        <f>E60+апр!I60</f>
        <v>0</v>
      </c>
      <c r="R60" s="30">
        <f>F60+апр!J60</f>
        <v>65.343999999999994</v>
      </c>
    </row>
    <row r="61" spans="1:18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15</v>
      </c>
      <c r="G61" s="10">
        <f t="shared" si="2"/>
        <v>15</v>
      </c>
      <c r="H61" s="14">
        <f>D61+апр!H61</f>
        <v>350</v>
      </c>
      <c r="I61" s="8"/>
      <c r="J61" s="14">
        <f>F61+апр!J61</f>
        <v>123</v>
      </c>
      <c r="K61" s="10">
        <f t="shared" si="3"/>
        <v>-227</v>
      </c>
      <c r="L61" s="16">
        <f t="shared" si="0"/>
        <v>-64.857142857142861</v>
      </c>
      <c r="M61" s="125"/>
      <c r="N61" s="126"/>
      <c r="P61">
        <f t="shared" si="1"/>
        <v>350</v>
      </c>
      <c r="Q61" s="44">
        <f>E61+апр!I61</f>
        <v>0</v>
      </c>
      <c r="R61" s="30">
        <f>F61+апр!J61</f>
        <v>123</v>
      </c>
    </row>
    <row r="62" spans="1:18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1">F60/F61*1000</f>
        <v>531.26666666666665</v>
      </c>
      <c r="G62" s="10">
        <f t="shared" si="2"/>
        <v>531.26666666666665</v>
      </c>
      <c r="H62" s="16">
        <f>H60/H61*1000</f>
        <v>408.35714285714289</v>
      </c>
      <c r="I62" s="16"/>
      <c r="J62" s="16">
        <f t="shared" ref="J62" si="32">J60/J61*1000</f>
        <v>531.2520325203252</v>
      </c>
      <c r="K62" s="10">
        <f t="shared" si="3"/>
        <v>122.89488966318231</v>
      </c>
      <c r="L62" s="16">
        <f t="shared" si="0"/>
        <v>30.094952864868844</v>
      </c>
      <c r="M62" s="110"/>
      <c r="N62" s="111"/>
      <c r="P62">
        <f t="shared" si="1"/>
        <v>2041.7857142857144</v>
      </c>
      <c r="Q62" s="44">
        <f>E62+апр!I62</f>
        <v>0</v>
      </c>
      <c r="R62" s="30">
        <f>F62+апр!J62</f>
        <v>1062.5166666666667</v>
      </c>
    </row>
    <row r="63" spans="1:18" ht="17.25" customHeight="1">
      <c r="A63" s="8"/>
      <c r="B63" s="20" t="s">
        <v>220</v>
      </c>
      <c r="C63" s="8" t="s">
        <v>4</v>
      </c>
      <c r="D63" s="10">
        <v>12.234</v>
      </c>
      <c r="E63" s="8"/>
      <c r="F63" s="10"/>
      <c r="G63" s="10">
        <f t="shared" si="2"/>
        <v>0</v>
      </c>
      <c r="H63" s="10">
        <f>D63+апр!H63</f>
        <v>61.17</v>
      </c>
      <c r="I63" s="8"/>
      <c r="J63" s="10">
        <f>F63+апр!J63</f>
        <v>8.66</v>
      </c>
      <c r="K63" s="10">
        <f t="shared" si="3"/>
        <v>-52.510000000000005</v>
      </c>
      <c r="L63" s="16">
        <f t="shared" si="0"/>
        <v>-85.842733366029108</v>
      </c>
      <c r="M63" s="110"/>
      <c r="N63" s="111"/>
      <c r="P63">
        <f t="shared" si="1"/>
        <v>61.17</v>
      </c>
      <c r="Q63" s="44">
        <f>E63+апр!I63</f>
        <v>0</v>
      </c>
      <c r="R63" s="30">
        <f>F63+апр!J63</f>
        <v>8.66</v>
      </c>
    </row>
    <row r="64" spans="1:18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2"/>
        <v>0</v>
      </c>
      <c r="H64" s="14">
        <f>D64+апр!H64</f>
        <v>115</v>
      </c>
      <c r="I64" s="8"/>
      <c r="J64" s="14">
        <f>F64+апр!J64</f>
        <v>20</v>
      </c>
      <c r="K64" s="10">
        <f t="shared" si="3"/>
        <v>-95</v>
      </c>
      <c r="L64" s="16">
        <f t="shared" si="0"/>
        <v>-82.608695652173907</v>
      </c>
      <c r="M64" s="110"/>
      <c r="N64" s="111"/>
      <c r="P64">
        <f t="shared" si="1"/>
        <v>115</v>
      </c>
      <c r="Q64" s="44">
        <f>E64+апр!I64</f>
        <v>0</v>
      </c>
      <c r="R64" s="30">
        <f>F64+апр!J64</f>
        <v>20</v>
      </c>
    </row>
    <row r="65" spans="1:18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33">F63/F64*1000</f>
        <v>#DIV/0!</v>
      </c>
      <c r="G65" s="10" t="e">
        <f t="shared" si="2"/>
        <v>#DIV/0!</v>
      </c>
      <c r="H65" s="16">
        <f>H63/H64*1000</f>
        <v>531.91304347826087</v>
      </c>
      <c r="I65" s="16"/>
      <c r="J65" s="16">
        <f t="shared" ref="J65" si="34">J63/J64*1000</f>
        <v>433</v>
      </c>
      <c r="K65" s="10">
        <f t="shared" si="3"/>
        <v>-98.913043478260875</v>
      </c>
      <c r="L65" s="16">
        <f t="shared" si="0"/>
        <v>-18.595716854667316</v>
      </c>
      <c r="M65" s="110"/>
      <c r="N65" s="111"/>
      <c r="P65">
        <f t="shared" si="1"/>
        <v>2659.5652173913045</v>
      </c>
      <c r="Q65" s="44">
        <f>E65+апр!I65</f>
        <v>0</v>
      </c>
      <c r="R65" s="30" t="e">
        <f>F65+апр!J65</f>
        <v>#DIV/0!</v>
      </c>
    </row>
    <row r="66" spans="1:18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2"/>
        <v>0</v>
      </c>
      <c r="H66" s="10">
        <f>D66+апр!H66</f>
        <v>14.305000000000001</v>
      </c>
      <c r="I66" s="8"/>
      <c r="J66" s="10">
        <f>F66+апр!J66</f>
        <v>0</v>
      </c>
      <c r="K66" s="10">
        <f t="shared" si="3"/>
        <v>-14.305000000000001</v>
      </c>
      <c r="L66" s="16">
        <f t="shared" si="0"/>
        <v>-100</v>
      </c>
      <c r="M66" s="110"/>
      <c r="N66" s="111"/>
      <c r="P66">
        <f t="shared" si="1"/>
        <v>14.305000000000001</v>
      </c>
      <c r="Q66" s="44">
        <f>E66+апр!I66</f>
        <v>0</v>
      </c>
      <c r="R66" s="30">
        <f>F66+апр!J66</f>
        <v>0</v>
      </c>
    </row>
    <row r="67" spans="1:18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2"/>
        <v>0</v>
      </c>
      <c r="H67" s="14">
        <f>D67+апр!H67</f>
        <v>10</v>
      </c>
      <c r="I67" s="8"/>
      <c r="J67" s="14">
        <f>F67+апр!J67</f>
        <v>0</v>
      </c>
      <c r="K67" s="10">
        <f t="shared" si="3"/>
        <v>-10</v>
      </c>
      <c r="L67" s="16">
        <f t="shared" si="0"/>
        <v>-100</v>
      </c>
      <c r="M67" s="110"/>
      <c r="N67" s="111"/>
      <c r="P67">
        <f t="shared" si="1"/>
        <v>10</v>
      </c>
      <c r="Q67" s="44">
        <f>E67+апр!I67</f>
        <v>0</v>
      </c>
      <c r="R67" s="30">
        <f>F67+апр!J67</f>
        <v>0</v>
      </c>
    </row>
    <row r="68" spans="1:18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2"/>
        <v>0</v>
      </c>
      <c r="H68" s="16">
        <f>H66/H67*1000</f>
        <v>1430.5</v>
      </c>
      <c r="I68" s="16"/>
      <c r="J68" s="16" t="e">
        <f t="shared" ref="J68" si="35">J66/J67*1000</f>
        <v>#DIV/0!</v>
      </c>
      <c r="K68" s="10" t="e">
        <f t="shared" si="3"/>
        <v>#DIV/0!</v>
      </c>
      <c r="L68" s="16" t="e">
        <f t="shared" si="0"/>
        <v>#DIV/0!</v>
      </c>
      <c r="M68" s="110"/>
      <c r="N68" s="111"/>
      <c r="P68">
        <f t="shared" si="1"/>
        <v>7152.5</v>
      </c>
      <c r="Q68" s="44">
        <f>E68+апр!I68</f>
        <v>0</v>
      </c>
      <c r="R68" s="30" t="e">
        <f>F68+апр!J68</f>
        <v>#DIV/0!</v>
      </c>
    </row>
    <row r="69" spans="1:18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10"/>
      <c r="G69" s="10">
        <f t="shared" si="2"/>
        <v>0</v>
      </c>
      <c r="H69" s="10">
        <f>D69+апр!H69</f>
        <v>50.039999999999992</v>
      </c>
      <c r="I69" s="8"/>
      <c r="J69" s="10">
        <f>F69+апр!J69</f>
        <v>41.510000000000005</v>
      </c>
      <c r="K69" s="10">
        <f t="shared" si="3"/>
        <v>-8.5299999999999869</v>
      </c>
      <c r="L69" s="16">
        <f t="shared" si="0"/>
        <v>-17.04636290967224</v>
      </c>
      <c r="M69" s="123" t="s">
        <v>292</v>
      </c>
      <c r="N69" s="124"/>
      <c r="P69">
        <f t="shared" si="1"/>
        <v>50.039999999999992</v>
      </c>
      <c r="Q69" s="44">
        <f>E69+апр!I69</f>
        <v>0</v>
      </c>
      <c r="R69" s="30">
        <f>F69+апр!J69</f>
        <v>41.510000000000005</v>
      </c>
    </row>
    <row r="70" spans="1:18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2"/>
        <v>0</v>
      </c>
      <c r="H70" s="14">
        <f>D70+апр!H70</f>
        <v>90</v>
      </c>
      <c r="I70" s="8"/>
      <c r="J70" s="14">
        <f>F70+апр!J70</f>
        <v>66.075000000000003</v>
      </c>
      <c r="K70" s="10">
        <f t="shared" si="3"/>
        <v>-23.924999999999997</v>
      </c>
      <c r="L70" s="16">
        <f t="shared" si="0"/>
        <v>-26.583333333333329</v>
      </c>
      <c r="M70" s="125"/>
      <c r="N70" s="126"/>
      <c r="P70">
        <f t="shared" si="1"/>
        <v>90</v>
      </c>
      <c r="Q70" s="44">
        <f>E70+апр!I70</f>
        <v>0</v>
      </c>
      <c r="R70" s="30">
        <f>F70+апр!J70</f>
        <v>66.075000000000003</v>
      </c>
    </row>
    <row r="71" spans="1:18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 t="shared" ref="F71" si="36">F69/F70*1000</f>
        <v>#DIV/0!</v>
      </c>
      <c r="G71" s="10" t="e">
        <f t="shared" si="2"/>
        <v>#DIV/0!</v>
      </c>
      <c r="H71" s="16">
        <f>H69/H70*1000</f>
        <v>555.99999999999989</v>
      </c>
      <c r="I71" s="16"/>
      <c r="J71" s="16">
        <f t="shared" ref="J71" si="37">J69/J70*1000</f>
        <v>628.22550132425283</v>
      </c>
      <c r="K71" s="10">
        <f t="shared" si="3"/>
        <v>72.225501324252946</v>
      </c>
      <c r="L71" s="16">
        <f t="shared" si="0"/>
        <v>12.990198079901603</v>
      </c>
      <c r="M71" s="110"/>
      <c r="N71" s="111"/>
      <c r="P71">
        <f t="shared" si="1"/>
        <v>2779.9999999999995</v>
      </c>
      <c r="Q71" s="44">
        <f>E71+апр!I71</f>
        <v>0</v>
      </c>
      <c r="R71" s="30" t="e">
        <f>F71+апр!J71</f>
        <v>#DIV/0!</v>
      </c>
    </row>
    <row r="72" spans="1:18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33599.112999999998</v>
      </c>
      <c r="G72" s="10">
        <f t="shared" si="2"/>
        <v>9292.4459999999963</v>
      </c>
      <c r="H72" s="10">
        <f>H73</f>
        <v>132588.35500000001</v>
      </c>
      <c r="I72" s="8">
        <f>E72+апр!I72</f>
        <v>121533.33500000001</v>
      </c>
      <c r="J72" s="10">
        <f>F72+апр!J72</f>
        <v>139811.69099999999</v>
      </c>
      <c r="K72" s="10">
        <f t="shared" si="3"/>
        <v>7223.3359999999811</v>
      </c>
      <c r="L72" s="16">
        <f t="shared" si="0"/>
        <v>5.4479414877724111</v>
      </c>
      <c r="M72" s="110"/>
      <c r="N72" s="111"/>
      <c r="P72">
        <f t="shared" si="1"/>
        <v>132588.35500000001</v>
      </c>
      <c r="Q72" s="44">
        <f>E72+апр!I72</f>
        <v>121533.33500000001</v>
      </c>
      <c r="R72" s="30">
        <f>F72+апр!J72</f>
        <v>139811.69099999999</v>
      </c>
    </row>
    <row r="73" spans="1:18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38">E75+E78+E81+E84</f>
        <v>0</v>
      </c>
      <c r="F73" s="54">
        <f t="shared" si="38"/>
        <v>33599.112999999998</v>
      </c>
      <c r="G73" s="10">
        <f t="shared" si="2"/>
        <v>33599.112999999998</v>
      </c>
      <c r="H73" s="10">
        <f>H75+H78+H81+H84</f>
        <v>132588.35500000001</v>
      </c>
      <c r="I73" s="10">
        <f t="shared" ref="I73:J74" si="39">I75+I78+I81+I84</f>
        <v>0</v>
      </c>
      <c r="J73" s="10">
        <f t="shared" si="39"/>
        <v>112579.598</v>
      </c>
      <c r="K73" s="10">
        <f t="shared" si="3"/>
        <v>-20008.757000000012</v>
      </c>
      <c r="L73" s="16">
        <f t="shared" ref="L73:L136" si="40">J73/H73*100-100</f>
        <v>-15.090885621139208</v>
      </c>
      <c r="M73" s="110"/>
      <c r="N73" s="111"/>
      <c r="P73">
        <f t="shared" ref="P73:P136" si="41">D73*5</f>
        <v>132588.35500000001</v>
      </c>
      <c r="Q73" s="44">
        <f>E73+апр!I73</f>
        <v>0</v>
      </c>
      <c r="R73" s="30">
        <f>F73+апр!J73</f>
        <v>112579.598</v>
      </c>
    </row>
    <row r="74" spans="1:18" ht="17.25" customHeight="1">
      <c r="A74" s="8"/>
      <c r="B74" s="28" t="s">
        <v>65</v>
      </c>
      <c r="C74" s="22" t="s">
        <v>66</v>
      </c>
      <c r="D74" s="14">
        <f t="shared" ref="D74:F74" si="42">D76+D79+D82+D85</f>
        <v>1280770</v>
      </c>
      <c r="E74" s="14">
        <f t="shared" si="42"/>
        <v>0</v>
      </c>
      <c r="F74" s="14">
        <f t="shared" si="42"/>
        <v>1628483</v>
      </c>
      <c r="G74" s="14">
        <f t="shared" si="2"/>
        <v>1628483</v>
      </c>
      <c r="H74" s="14">
        <f t="shared" ref="H74" si="43">H76+H79+H82+H85</f>
        <v>6403850</v>
      </c>
      <c r="I74" s="59"/>
      <c r="J74" s="14">
        <f t="shared" si="39"/>
        <v>5481589.1899999995</v>
      </c>
      <c r="K74" s="10">
        <f t="shared" si="3"/>
        <v>-922260.81000000052</v>
      </c>
      <c r="L74" s="16">
        <f t="shared" si="40"/>
        <v>-14.40166165665967</v>
      </c>
      <c r="M74" s="110"/>
      <c r="N74" s="111"/>
      <c r="P74">
        <f t="shared" si="41"/>
        <v>6403850</v>
      </c>
      <c r="Q74" s="44">
        <f>E74+апр!I74</f>
        <v>0</v>
      </c>
      <c r="R74" s="30">
        <f>F74+апр!J74</f>
        <v>5481589.1899999995</v>
      </c>
    </row>
    <row r="75" spans="1:18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2317.4859999999999</v>
      </c>
      <c r="G75" s="10">
        <f t="shared" ref="G75:G138" si="44">F75-E75</f>
        <v>2317.4859999999999</v>
      </c>
      <c r="H75" s="10">
        <f>D75+апр!H75</f>
        <v>6692.415</v>
      </c>
      <c r="I75" s="8"/>
      <c r="J75" s="10">
        <f>F75+апр!J75</f>
        <v>8944.66</v>
      </c>
      <c r="K75" s="10">
        <f t="shared" ref="K75:K138" si="45">J75-H75</f>
        <v>2252.2449999999999</v>
      </c>
      <c r="L75" s="16">
        <f t="shared" si="40"/>
        <v>33.653696012575409</v>
      </c>
      <c r="M75" s="110"/>
      <c r="N75" s="111"/>
      <c r="P75">
        <f t="shared" si="41"/>
        <v>6692.415</v>
      </c>
      <c r="Q75" s="44">
        <f>E75+апр!I75</f>
        <v>0</v>
      </c>
      <c r="R75" s="30">
        <f>F75+апр!J75</f>
        <v>8944.66</v>
      </c>
    </row>
    <row r="76" spans="1:18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v>117341</v>
      </c>
      <c r="G76" s="14">
        <f t="shared" si="44"/>
        <v>117341</v>
      </c>
      <c r="H76" s="14">
        <f>D76+апр!H76</f>
        <v>342325</v>
      </c>
      <c r="I76" s="59"/>
      <c r="J76" s="14">
        <f>F76+апр!J76</f>
        <v>462776.19</v>
      </c>
      <c r="K76" s="10">
        <f t="shared" si="45"/>
        <v>120451.19</v>
      </c>
      <c r="L76" s="16">
        <f t="shared" si="40"/>
        <v>35.186209011903912</v>
      </c>
      <c r="M76" s="110"/>
      <c r="N76" s="111"/>
      <c r="P76">
        <f t="shared" si="41"/>
        <v>342325</v>
      </c>
      <c r="Q76" s="44">
        <f>E76+апр!I76</f>
        <v>0</v>
      </c>
      <c r="R76" s="30">
        <f>F76+апр!J76</f>
        <v>462776.19</v>
      </c>
    </row>
    <row r="77" spans="1:18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46">F75/F76*1000</f>
        <v>19.75001065271303</v>
      </c>
      <c r="G77" s="10">
        <f t="shared" si="44"/>
        <v>19.75001065271303</v>
      </c>
      <c r="H77" s="16">
        <f>H75/H76*1000</f>
        <v>19.54988680347623</v>
      </c>
      <c r="I77" s="8"/>
      <c r="J77" s="13"/>
      <c r="K77" s="10">
        <f t="shared" si="45"/>
        <v>-19.54988680347623</v>
      </c>
      <c r="L77" s="16">
        <f t="shared" si="40"/>
        <v>-100</v>
      </c>
      <c r="M77" s="110"/>
      <c r="N77" s="111"/>
      <c r="P77">
        <f t="shared" si="41"/>
        <v>97.749434017381148</v>
      </c>
      <c r="Q77" s="44">
        <f>E77+апр!I77</f>
        <v>0</v>
      </c>
      <c r="R77" s="30">
        <f>F77+апр!J77</f>
        <v>19.75001065271303</v>
      </c>
    </row>
    <row r="78" spans="1:18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4">
        <v>1208.2059999999999</v>
      </c>
      <c r="G78" s="10">
        <f t="shared" si="44"/>
        <v>1208.2059999999999</v>
      </c>
      <c r="H78" s="10">
        <f>D78+апр!H78</f>
        <v>6268.2349999999997</v>
      </c>
      <c r="I78" s="8"/>
      <c r="J78" s="10">
        <f>F78+апр!J78</f>
        <v>6262.3899999999994</v>
      </c>
      <c r="K78" s="10">
        <f t="shared" si="45"/>
        <v>-5.8450000000002547</v>
      </c>
      <c r="L78" s="16">
        <f t="shared" si="40"/>
        <v>-9.3247939810808589E-2</v>
      </c>
      <c r="M78" s="110"/>
      <c r="N78" s="111"/>
      <c r="P78">
        <f t="shared" si="41"/>
        <v>6268.2349999999997</v>
      </c>
      <c r="Q78" s="44">
        <f>E78+апр!I78</f>
        <v>0</v>
      </c>
      <c r="R78" s="30">
        <f>F78+апр!J78</f>
        <v>6262.3899999999994</v>
      </c>
    </row>
    <row r="79" spans="1:18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61175</v>
      </c>
      <c r="G79" s="14">
        <f t="shared" si="44"/>
        <v>61175</v>
      </c>
      <c r="H79" s="14">
        <f>D79+апр!H79</f>
        <v>318995</v>
      </c>
      <c r="I79" s="59"/>
      <c r="J79" s="14">
        <f>F79+апр!J79</f>
        <v>317171</v>
      </c>
      <c r="K79" s="10">
        <f t="shared" si="45"/>
        <v>-1824</v>
      </c>
      <c r="L79" s="16">
        <f t="shared" si="40"/>
        <v>-0.57179579617235277</v>
      </c>
      <c r="M79" s="110"/>
      <c r="N79" s="111"/>
      <c r="P79">
        <f t="shared" si="41"/>
        <v>318995</v>
      </c>
      <c r="Q79" s="44">
        <f>E79+апр!I79</f>
        <v>0</v>
      </c>
      <c r="R79" s="30">
        <f>F79+апр!J79</f>
        <v>317171</v>
      </c>
    </row>
    <row r="80" spans="1:18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47">F78/F79*1000</f>
        <v>19.7499959133633</v>
      </c>
      <c r="G80" s="10">
        <f t="shared" si="44"/>
        <v>19.7499959133633</v>
      </c>
      <c r="H80" s="16">
        <f>H78/H79*1000</f>
        <v>19.649947491339987</v>
      </c>
      <c r="I80" s="8"/>
      <c r="J80" s="13"/>
      <c r="K80" s="10">
        <f t="shared" si="45"/>
        <v>-19.649947491339987</v>
      </c>
      <c r="L80" s="16">
        <f t="shared" si="40"/>
        <v>-100</v>
      </c>
      <c r="M80" s="110"/>
      <c r="N80" s="111"/>
      <c r="P80">
        <f t="shared" si="41"/>
        <v>98.249737456699933</v>
      </c>
      <c r="Q80" s="44">
        <f>E80+апр!I80</f>
        <v>0</v>
      </c>
      <c r="R80" s="30">
        <f>F80+апр!J80</f>
        <v>19.7499959133633</v>
      </c>
    </row>
    <row r="81" spans="1:18" ht="36" customHeight="1">
      <c r="A81" s="8"/>
      <c r="B81" s="12" t="s">
        <v>70</v>
      </c>
      <c r="C81" s="8" t="s">
        <v>4</v>
      </c>
      <c r="D81" s="10">
        <v>3651.203</v>
      </c>
      <c r="E81" s="8"/>
      <c r="F81" s="105">
        <v>4592.527</v>
      </c>
      <c r="G81" s="10">
        <f t="shared" si="44"/>
        <v>4592.527</v>
      </c>
      <c r="H81" s="10">
        <f>D81+апр!H81</f>
        <v>18256.014999999999</v>
      </c>
      <c r="I81" s="8"/>
      <c r="J81" s="10">
        <f>F81+апр!J81</f>
        <v>17286.623</v>
      </c>
      <c r="K81" s="10">
        <f t="shared" si="45"/>
        <v>-969.39199999999983</v>
      </c>
      <c r="L81" s="16">
        <f t="shared" si="40"/>
        <v>-5.3099868728197208</v>
      </c>
      <c r="M81" s="110"/>
      <c r="N81" s="111"/>
      <c r="P81">
        <f t="shared" si="41"/>
        <v>18256.014999999999</v>
      </c>
      <c r="Q81" s="44">
        <f>E81+апр!I81</f>
        <v>0</v>
      </c>
      <c r="R81" s="30">
        <f>F81+апр!J81</f>
        <v>17286.623</v>
      </c>
    </row>
    <row r="82" spans="1:18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232533</v>
      </c>
      <c r="G82" s="14">
        <v>5230.0569999999998</v>
      </c>
      <c r="H82" s="14">
        <f>D82+апр!H82</f>
        <v>929060</v>
      </c>
      <c r="I82" s="59"/>
      <c r="J82" s="14">
        <f>F82+апр!J82</f>
        <v>875272</v>
      </c>
      <c r="K82" s="10">
        <f t="shared" si="45"/>
        <v>-53788</v>
      </c>
      <c r="L82" s="16">
        <f t="shared" si="40"/>
        <v>-5.7895076744236178</v>
      </c>
      <c r="M82" s="110"/>
      <c r="N82" s="111"/>
      <c r="P82">
        <f t="shared" si="41"/>
        <v>929060</v>
      </c>
      <c r="Q82" s="44">
        <f>E82+апр!I82</f>
        <v>0</v>
      </c>
      <c r="R82" s="30">
        <f>F82+апр!J82</f>
        <v>875272</v>
      </c>
    </row>
    <row r="83" spans="1:18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48">F81/F82*1000</f>
        <v>19.750001075116224</v>
      </c>
      <c r="G83" s="10">
        <f t="shared" si="44"/>
        <v>19.750001075116224</v>
      </c>
      <c r="H83" s="16">
        <f>H81/H82*1000</f>
        <v>19.64998493100553</v>
      </c>
      <c r="I83" s="8"/>
      <c r="J83" s="13"/>
      <c r="K83" s="10">
        <f t="shared" si="45"/>
        <v>-19.64998493100553</v>
      </c>
      <c r="L83" s="16">
        <f t="shared" si="40"/>
        <v>-100</v>
      </c>
      <c r="M83" s="110"/>
      <c r="N83" s="111"/>
      <c r="P83">
        <f t="shared" si="41"/>
        <v>98.249924655027655</v>
      </c>
      <c r="Q83" s="44">
        <f>E83+апр!I83</f>
        <v>0</v>
      </c>
      <c r="R83" s="30">
        <f>F83+апр!J83</f>
        <v>19.750001075116224</v>
      </c>
    </row>
    <row r="84" spans="1:18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25480.894</v>
      </c>
      <c r="G84" s="10">
        <f t="shared" si="44"/>
        <v>25480.894</v>
      </c>
      <c r="H84" s="10">
        <f>D84+апр!H84</f>
        <v>101371.69</v>
      </c>
      <c r="I84" s="8"/>
      <c r="J84" s="10">
        <f>F84+апр!J84</f>
        <v>80085.925000000003</v>
      </c>
      <c r="K84" s="10">
        <f t="shared" si="45"/>
        <v>-21285.764999999999</v>
      </c>
      <c r="L84" s="16">
        <f t="shared" si="40"/>
        <v>-20.997741085306956</v>
      </c>
      <c r="M84" s="123" t="s">
        <v>297</v>
      </c>
      <c r="N84" s="124"/>
      <c r="P84">
        <f t="shared" si="41"/>
        <v>101371.69</v>
      </c>
      <c r="Q84" s="44">
        <f>E84+апр!I84</f>
        <v>0</v>
      </c>
      <c r="R84" s="30">
        <f>F84+апр!J84</f>
        <v>80085.925000000003</v>
      </c>
    </row>
    <row r="85" spans="1:18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1217434</v>
      </c>
      <c r="G85" s="14">
        <f t="shared" si="44"/>
        <v>1217434</v>
      </c>
      <c r="H85" s="14">
        <f>D85+апр!H85</f>
        <v>4813470</v>
      </c>
      <c r="I85" s="59"/>
      <c r="J85" s="14">
        <f>F85+апр!J85</f>
        <v>3826370</v>
      </c>
      <c r="K85" s="10">
        <f t="shared" si="45"/>
        <v>-987100</v>
      </c>
      <c r="L85" s="16">
        <f t="shared" si="40"/>
        <v>-20.507035465059502</v>
      </c>
      <c r="M85" s="125"/>
      <c r="N85" s="126"/>
      <c r="P85">
        <f t="shared" si="41"/>
        <v>4813470</v>
      </c>
      <c r="Q85" s="44">
        <f>E85+апр!I85</f>
        <v>0</v>
      </c>
      <c r="R85" s="30">
        <f>F85+апр!J85</f>
        <v>3826370</v>
      </c>
    </row>
    <row r="86" spans="1:18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49">F84/F85*1000</f>
        <v>20.930000312131913</v>
      </c>
      <c r="G86" s="10">
        <f t="shared" si="44"/>
        <v>20.930000312131913</v>
      </c>
      <c r="H86" s="16">
        <f>H84/H85*1000</f>
        <v>21.06000245145394</v>
      </c>
      <c r="I86" s="8"/>
      <c r="J86" s="13"/>
      <c r="K86" s="10">
        <f t="shared" si="45"/>
        <v>-21.06000245145394</v>
      </c>
      <c r="L86" s="16">
        <f t="shared" si="40"/>
        <v>-100</v>
      </c>
      <c r="M86" s="110"/>
      <c r="N86" s="111"/>
      <c r="P86">
        <f t="shared" si="41"/>
        <v>105.3000122572697</v>
      </c>
      <c r="Q86" s="44">
        <f>E86+апр!I86</f>
        <v>0</v>
      </c>
      <c r="R86" s="30">
        <f>F86+апр!J86</f>
        <v>20.930000312131913</v>
      </c>
    </row>
    <row r="87" spans="1:18" ht="17.25" customHeight="1">
      <c r="A87" s="92" t="s">
        <v>72</v>
      </c>
      <c r="B87" s="6" t="s">
        <v>73</v>
      </c>
      <c r="C87" s="92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20411.120000000003</v>
      </c>
      <c r="G87" s="16">
        <f t="shared" si="44"/>
        <v>-477.62899999999354</v>
      </c>
      <c r="H87" s="7">
        <f>H88+H89+H90</f>
        <v>110078.72500000001</v>
      </c>
      <c r="I87" s="7">
        <f>I88+I89+I90+I91</f>
        <v>104443.74499999998</v>
      </c>
      <c r="J87" s="7">
        <f>J88+J89+J90+J91+J92</f>
        <v>100988.80099999999</v>
      </c>
      <c r="K87" s="10">
        <f t="shared" si="45"/>
        <v>-9089.9240000000136</v>
      </c>
      <c r="L87" s="16">
        <f t="shared" si="40"/>
        <v>-8.2576574174528332</v>
      </c>
      <c r="M87" s="110"/>
      <c r="N87" s="111"/>
      <c r="O87" s="30">
        <f>F88+март!J88+F92+F98+март!J92+март!J98</f>
        <v>76189.686000000002</v>
      </c>
      <c r="P87">
        <f t="shared" si="41"/>
        <v>110078.72500000001</v>
      </c>
      <c r="Q87" s="44">
        <f>E87+апр!I87</f>
        <v>104443.74499999998</v>
      </c>
      <c r="R87" s="30">
        <f>F87+апр!J87</f>
        <v>100988.80100000001</v>
      </c>
    </row>
    <row r="88" spans="1:18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v>18595.713</v>
      </c>
      <c r="G88" s="16">
        <f t="shared" si="44"/>
        <v>-155.36999999999898</v>
      </c>
      <c r="H88" s="10">
        <f>D88+апр!H88</f>
        <v>100162.625</v>
      </c>
      <c r="I88" s="8">
        <f>E88+апр!I88</f>
        <v>93755.414999999994</v>
      </c>
      <c r="J88" s="10">
        <f>F88+апр!J88</f>
        <v>91170.585999999996</v>
      </c>
      <c r="K88" s="10">
        <f t="shared" si="45"/>
        <v>-8992.0390000000043</v>
      </c>
      <c r="L88" s="16">
        <f t="shared" si="40"/>
        <v>-8.9774394391121461</v>
      </c>
      <c r="M88" s="117"/>
      <c r="N88" s="118"/>
      <c r="O88" s="30">
        <f>J88+J92+J98</f>
        <v>94091.9</v>
      </c>
      <c r="P88">
        <f t="shared" si="41"/>
        <v>100162.625</v>
      </c>
      <c r="Q88" s="44">
        <f>E88+апр!I88</f>
        <v>93755.414999999994</v>
      </c>
      <c r="R88" s="30">
        <f>F88+апр!J88</f>
        <v>91170.585999999996</v>
      </c>
    </row>
    <row r="89" spans="1:18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10">
        <v>1010.97</v>
      </c>
      <c r="G89" s="10">
        <f t="shared" si="44"/>
        <v>-1.6129999999999427</v>
      </c>
      <c r="H89" s="10">
        <f>D89+апр!H89</f>
        <v>5508.9400000000005</v>
      </c>
      <c r="I89" s="8">
        <f>E89+апр!I89</f>
        <v>5062.915</v>
      </c>
      <c r="J89" s="10">
        <f>F89+апр!J89</f>
        <v>5092.1679999999997</v>
      </c>
      <c r="K89" s="10">
        <f t="shared" si="45"/>
        <v>-416.77200000000084</v>
      </c>
      <c r="L89" s="16">
        <f t="shared" si="40"/>
        <v>-7.5653755531917284</v>
      </c>
      <c r="M89" s="117"/>
      <c r="N89" s="118"/>
      <c r="P89">
        <f t="shared" si="41"/>
        <v>5508.9400000000005</v>
      </c>
      <c r="Q89" s="44">
        <f>E89+апр!I89</f>
        <v>5062.915</v>
      </c>
      <c r="R89" s="30">
        <f>F89+апр!J89</f>
        <v>5092.1679999999997</v>
      </c>
    </row>
    <row r="90" spans="1:18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">
        <v>546.16499999999996</v>
      </c>
      <c r="G90" s="10">
        <f t="shared" si="44"/>
        <v>-297.66800000000001</v>
      </c>
      <c r="H90" s="10">
        <f>D90+апр!H90</f>
        <v>4407.16</v>
      </c>
      <c r="I90" s="8">
        <f>E90+апр!I90</f>
        <v>4219.165</v>
      </c>
      <c r="J90" s="10">
        <f>F90+апр!J90</f>
        <v>2778.1170000000002</v>
      </c>
      <c r="K90" s="10">
        <f t="shared" si="45"/>
        <v>-1629.0429999999997</v>
      </c>
      <c r="L90" s="16">
        <f t="shared" si="40"/>
        <v>-36.963554760889096</v>
      </c>
      <c r="M90" s="94"/>
      <c r="N90" s="95"/>
      <c r="P90">
        <f t="shared" si="41"/>
        <v>4407.16</v>
      </c>
      <c r="Q90" s="44">
        <f>E90+апр!I90</f>
        <v>4219.165</v>
      </c>
      <c r="R90" s="30">
        <f>F90+апр!J90</f>
        <v>2778.1170000000002</v>
      </c>
    </row>
    <row r="91" spans="1:18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">
        <v>258.27199999999999</v>
      </c>
      <c r="G91" s="10">
        <f t="shared" si="44"/>
        <v>-22.978000000000009</v>
      </c>
      <c r="H91" s="10">
        <f>D91+апр!H91</f>
        <v>0</v>
      </c>
      <c r="I91" s="8">
        <f>E91+апр!I91</f>
        <v>1406.25</v>
      </c>
      <c r="J91" s="10">
        <f>F91+апр!J91</f>
        <v>1317.018</v>
      </c>
      <c r="K91" s="10">
        <f t="shared" si="45"/>
        <v>1317.018</v>
      </c>
      <c r="L91" s="16" t="e">
        <f t="shared" si="40"/>
        <v>#DIV/0!</v>
      </c>
      <c r="M91" s="94"/>
      <c r="N91" s="95"/>
      <c r="P91">
        <f t="shared" si="41"/>
        <v>0</v>
      </c>
      <c r="Q91" s="44">
        <f>E91+апр!I91</f>
        <v>1406.25</v>
      </c>
      <c r="R91" s="30">
        <f>F91+апр!J91</f>
        <v>1317.018</v>
      </c>
    </row>
    <row r="92" spans="1:18" ht="17.25" customHeight="1">
      <c r="A92" s="8"/>
      <c r="B92" s="9" t="s">
        <v>316</v>
      </c>
      <c r="C92" s="8" t="s">
        <v>4</v>
      </c>
      <c r="D92" s="10"/>
      <c r="E92" s="8"/>
      <c r="F92" s="54"/>
      <c r="G92" s="10"/>
      <c r="H92" s="10">
        <f>D92+апр!H92</f>
        <v>0</v>
      </c>
      <c r="I92" s="8">
        <f>E92+апр!I92</f>
        <v>0</v>
      </c>
      <c r="J92" s="10">
        <f>F92+апр!J92</f>
        <v>630.91199999999992</v>
      </c>
      <c r="K92" s="10">
        <f t="shared" si="45"/>
        <v>630.91199999999992</v>
      </c>
      <c r="L92" s="16" t="e">
        <f t="shared" si="40"/>
        <v>#DIV/0!</v>
      </c>
      <c r="M92" s="94"/>
      <c r="N92" s="95"/>
      <c r="P92">
        <f t="shared" si="41"/>
        <v>0</v>
      </c>
      <c r="Q92" s="44">
        <f>E92+апр!I92</f>
        <v>0</v>
      </c>
      <c r="R92" s="30">
        <f>F92+апр!J92</f>
        <v>630.91199999999992</v>
      </c>
    </row>
    <row r="93" spans="1:18" ht="17.25" customHeight="1">
      <c r="A93" s="92" t="s">
        <v>78</v>
      </c>
      <c r="B93" s="6" t="s">
        <v>79</v>
      </c>
      <c r="C93" s="92" t="s">
        <v>4</v>
      </c>
      <c r="D93" s="7">
        <f>D94</f>
        <v>12258.85</v>
      </c>
      <c r="E93" s="21">
        <f>E94</f>
        <v>12219.75</v>
      </c>
      <c r="F93" s="7">
        <f>F94</f>
        <v>13648.323</v>
      </c>
      <c r="G93" s="10">
        <f t="shared" si="44"/>
        <v>1428.5730000000003</v>
      </c>
      <c r="H93" s="7">
        <f>H94</f>
        <v>61294.25</v>
      </c>
      <c r="I93" s="21">
        <f>I94</f>
        <v>61098.75</v>
      </c>
      <c r="J93" s="7">
        <f>J94</f>
        <v>58022.010999999999</v>
      </c>
      <c r="K93" s="10">
        <f t="shared" si="45"/>
        <v>-3272.2390000000014</v>
      </c>
      <c r="L93" s="16">
        <f t="shared" si="40"/>
        <v>-5.3385741729444476</v>
      </c>
      <c r="M93" s="110"/>
      <c r="N93" s="111"/>
      <c r="P93">
        <f t="shared" si="41"/>
        <v>61294.25</v>
      </c>
      <c r="Q93" s="44">
        <f>E93+апр!I93</f>
        <v>61098.75</v>
      </c>
      <c r="R93" s="30">
        <f>F93+апр!J93</f>
        <v>58022.010999999999</v>
      </c>
    </row>
    <row r="94" spans="1:18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">
        <v>13648.323</v>
      </c>
      <c r="G94" s="10">
        <f t="shared" si="44"/>
        <v>1428.5730000000003</v>
      </c>
      <c r="H94" s="10">
        <f>D94+апр!H94</f>
        <v>61294.25</v>
      </c>
      <c r="I94" s="8">
        <f>E94+апр!I94</f>
        <v>61098.75</v>
      </c>
      <c r="J94" s="10">
        <f>F94+апр!J94</f>
        <v>58022.010999999999</v>
      </c>
      <c r="K94" s="10">
        <f t="shared" si="45"/>
        <v>-3272.2390000000014</v>
      </c>
      <c r="L94" s="16">
        <f t="shared" si="40"/>
        <v>-5.3385741729444476</v>
      </c>
      <c r="M94" s="110"/>
      <c r="N94" s="111"/>
      <c r="P94">
        <f t="shared" si="41"/>
        <v>61294.25</v>
      </c>
      <c r="Q94" s="44">
        <f>E94+апр!I94</f>
        <v>61098.75</v>
      </c>
      <c r="R94" s="30">
        <f>F94+апр!J94</f>
        <v>58022.010999999999</v>
      </c>
    </row>
    <row r="95" spans="1:18" ht="17.25" customHeight="1">
      <c r="A95" s="92" t="s">
        <v>82</v>
      </c>
      <c r="B95" s="6" t="s">
        <v>83</v>
      </c>
      <c r="C95" s="92" t="s">
        <v>4</v>
      </c>
      <c r="D95" s="7">
        <f t="shared" ref="D95:J95" si="50">D96</f>
        <v>588.22500000000002</v>
      </c>
      <c r="E95" s="7">
        <f t="shared" si="50"/>
        <v>291.66699999999997</v>
      </c>
      <c r="F95" s="7">
        <f t="shared" si="50"/>
        <v>14.4</v>
      </c>
      <c r="G95" s="10">
        <f t="shared" si="44"/>
        <v>-277.267</v>
      </c>
      <c r="H95" s="7">
        <f t="shared" si="50"/>
        <v>2941.125</v>
      </c>
      <c r="I95" s="7">
        <f t="shared" si="50"/>
        <v>1458.3349999999998</v>
      </c>
      <c r="J95" s="7">
        <f t="shared" si="50"/>
        <v>15.169</v>
      </c>
      <c r="K95" s="10">
        <f t="shared" si="45"/>
        <v>-2925.9560000000001</v>
      </c>
      <c r="L95" s="16">
        <f t="shared" si="40"/>
        <v>-99.484244974287051</v>
      </c>
      <c r="M95" s="110"/>
      <c r="N95" s="111"/>
      <c r="P95">
        <f t="shared" si="41"/>
        <v>2941.125</v>
      </c>
      <c r="Q95" s="44">
        <f>E95+апр!I95</f>
        <v>1458.3349999999998</v>
      </c>
      <c r="R95" s="30">
        <f>F95+апр!J95</f>
        <v>15.169</v>
      </c>
    </row>
    <row r="96" spans="1:18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>
        <v>14.4</v>
      </c>
      <c r="G96" s="10">
        <f t="shared" si="44"/>
        <v>-277.267</v>
      </c>
      <c r="H96" s="10">
        <f>D96+апр!H96</f>
        <v>2941.125</v>
      </c>
      <c r="I96" s="8">
        <f>E96+апр!I96</f>
        <v>1458.3349999999998</v>
      </c>
      <c r="J96" s="10">
        <f>F96+апр!J96</f>
        <v>15.169</v>
      </c>
      <c r="K96" s="10">
        <f t="shared" si="45"/>
        <v>-2925.9560000000001</v>
      </c>
      <c r="L96" s="16">
        <f t="shared" si="40"/>
        <v>-99.484244974287051</v>
      </c>
      <c r="M96" s="117" t="s">
        <v>299</v>
      </c>
      <c r="N96" s="118"/>
      <c r="P96">
        <f t="shared" si="41"/>
        <v>2941.125</v>
      </c>
      <c r="Q96" s="44">
        <f>E96+апр!I96</f>
        <v>1458.3349999999998</v>
      </c>
      <c r="R96" s="30">
        <f>F96+апр!J96</f>
        <v>15.169</v>
      </c>
    </row>
    <row r="97" spans="1:18" ht="17.25" customHeight="1">
      <c r="A97" s="92" t="s">
        <v>86</v>
      </c>
      <c r="B97" s="6" t="s">
        <v>87</v>
      </c>
      <c r="C97" s="92" t="s">
        <v>4</v>
      </c>
      <c r="D97" s="7">
        <f t="shared" ref="D97" si="51">D98+D99+D103+D104+D109+D110</f>
        <v>2575.1889999999999</v>
      </c>
      <c r="E97" s="7">
        <f>E98+E99+E103+E104+E109+E110</f>
        <v>2562.3330000000001</v>
      </c>
      <c r="F97" s="7">
        <f>F98+F99+F103+F104+F109+F110</f>
        <v>2362.4094999999998</v>
      </c>
      <c r="G97" s="10">
        <f t="shared" si="44"/>
        <v>-199.92350000000033</v>
      </c>
      <c r="H97" s="7">
        <f t="shared" ref="H97" si="52">H98+H99+H103+H104+H109+H110</f>
        <v>12875.945</v>
      </c>
      <c r="I97" s="7">
        <f>I98+I99+I103+I104+I109+I110</f>
        <v>12810.332</v>
      </c>
      <c r="J97" s="7">
        <f>J98+J99+J103+J104+J109+J110</f>
        <v>12254.702000000001</v>
      </c>
      <c r="K97" s="10">
        <f t="shared" si="45"/>
        <v>-621.24299999999857</v>
      </c>
      <c r="L97" s="16">
        <f t="shared" si="40"/>
        <v>-4.8248342160516984</v>
      </c>
      <c r="M97" s="110"/>
      <c r="N97" s="111"/>
      <c r="P97">
        <f t="shared" si="41"/>
        <v>12875.945</v>
      </c>
      <c r="Q97" s="44">
        <f>E97+апр!I97</f>
        <v>12811.665000000001</v>
      </c>
      <c r="R97" s="30">
        <f>F97+апр!J97</f>
        <v>12254.701999999999</v>
      </c>
    </row>
    <row r="98" spans="1:18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/>
      <c r="G98" s="10">
        <f t="shared" si="44"/>
        <v>-543.08299999999997</v>
      </c>
      <c r="H98" s="10">
        <f>D98+апр!H98</f>
        <v>3132.085</v>
      </c>
      <c r="I98" s="8">
        <f>E98+апр!I98</f>
        <v>2715.415</v>
      </c>
      <c r="J98" s="10">
        <f>F98+апр!J98</f>
        <v>2290.402</v>
      </c>
      <c r="K98" s="10">
        <f t="shared" si="45"/>
        <v>-841.68299999999999</v>
      </c>
      <c r="L98" s="16">
        <f t="shared" si="40"/>
        <v>-26.872929693798227</v>
      </c>
      <c r="M98" s="117" t="s">
        <v>298</v>
      </c>
      <c r="N98" s="118"/>
      <c r="P98">
        <f t="shared" si="41"/>
        <v>3132.085</v>
      </c>
      <c r="Q98" s="44">
        <f>E98+апр!I98</f>
        <v>2715.415</v>
      </c>
      <c r="R98" s="30">
        <f>F98+апр!J98</f>
        <v>2290.402</v>
      </c>
    </row>
    <row r="99" spans="1:18" ht="53.25" customHeight="1">
      <c r="A99" s="8" t="s">
        <v>90</v>
      </c>
      <c r="B99" s="20" t="s">
        <v>242</v>
      </c>
      <c r="C99" s="8" t="s">
        <v>4</v>
      </c>
      <c r="D99" s="10">
        <f t="shared" ref="D99:F99" si="53">D100+D101+D102</f>
        <v>107.703</v>
      </c>
      <c r="E99" s="8">
        <v>107.667</v>
      </c>
      <c r="F99" s="10">
        <f t="shared" si="53"/>
        <v>0</v>
      </c>
      <c r="G99" s="10">
        <f t="shared" si="44"/>
        <v>-107.667</v>
      </c>
      <c r="H99" s="10">
        <f t="shared" ref="H99" si="54">H100+H101+H102</f>
        <v>538.51499999999999</v>
      </c>
      <c r="I99" s="8">
        <f>E99+апр!I99</f>
        <v>538.33500000000004</v>
      </c>
      <c r="J99" s="10">
        <f t="shared" ref="J99" si="55">J100+J101+J102</f>
        <v>0</v>
      </c>
      <c r="K99" s="10">
        <f t="shared" si="45"/>
        <v>-538.51499999999999</v>
      </c>
      <c r="L99" s="16">
        <f t="shared" si="40"/>
        <v>-100</v>
      </c>
      <c r="M99" s="110"/>
      <c r="N99" s="111"/>
      <c r="P99">
        <f t="shared" si="41"/>
        <v>538.51499999999999</v>
      </c>
      <c r="Q99" s="44">
        <f>E99+апр!I99</f>
        <v>538.33500000000004</v>
      </c>
      <c r="R99" s="30">
        <f>F99+апр!J99</f>
        <v>0</v>
      </c>
    </row>
    <row r="100" spans="1:18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44"/>
        <v>0</v>
      </c>
      <c r="H100" s="10">
        <f>D100+апр!H100</f>
        <v>227.245</v>
      </c>
      <c r="I100" s="8"/>
      <c r="J100" s="10">
        <f>F100+апр!J100</f>
        <v>0</v>
      </c>
      <c r="K100" s="10">
        <f t="shared" si="45"/>
        <v>-227.245</v>
      </c>
      <c r="L100" s="16">
        <f t="shared" si="40"/>
        <v>-100</v>
      </c>
      <c r="M100" s="110"/>
      <c r="N100" s="111"/>
      <c r="P100">
        <f t="shared" si="41"/>
        <v>227.245</v>
      </c>
      <c r="Q100" s="44">
        <f>E100+апр!I100</f>
        <v>0</v>
      </c>
      <c r="R100" s="30">
        <f>F100+апр!J100</f>
        <v>0</v>
      </c>
    </row>
    <row r="101" spans="1:18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44"/>
        <v>0</v>
      </c>
      <c r="H101" s="10">
        <f>D101+апр!H101</f>
        <v>311.27</v>
      </c>
      <c r="I101" s="8"/>
      <c r="J101" s="10">
        <f>F101+апр!J101</f>
        <v>0</v>
      </c>
      <c r="K101" s="10">
        <f t="shared" si="45"/>
        <v>-311.27</v>
      </c>
      <c r="L101" s="16">
        <f t="shared" si="40"/>
        <v>-100</v>
      </c>
      <c r="M101" s="110"/>
      <c r="N101" s="111"/>
      <c r="P101">
        <f t="shared" si="41"/>
        <v>311.27</v>
      </c>
      <c r="Q101" s="44">
        <f>E101+апр!I101</f>
        <v>0</v>
      </c>
      <c r="R101" s="30">
        <f>F101+апр!J101</f>
        <v>0</v>
      </c>
    </row>
    <row r="102" spans="1:18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44"/>
        <v>0</v>
      </c>
      <c r="H102" s="10">
        <f>D102+апр!H102</f>
        <v>0</v>
      </c>
      <c r="I102" s="8"/>
      <c r="J102" s="10">
        <f>F102+апр!J102</f>
        <v>0</v>
      </c>
      <c r="K102" s="10">
        <f t="shared" si="45"/>
        <v>0</v>
      </c>
      <c r="L102" s="16" t="e">
        <f t="shared" si="40"/>
        <v>#DIV/0!</v>
      </c>
      <c r="M102" s="110"/>
      <c r="N102" s="111"/>
      <c r="P102">
        <f t="shared" si="41"/>
        <v>0</v>
      </c>
      <c r="Q102" s="44">
        <f>E102+апр!I102</f>
        <v>0</v>
      </c>
      <c r="R102" s="30">
        <f>F102+апр!J102</f>
        <v>0</v>
      </c>
    </row>
    <row r="103" spans="1:18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44"/>
        <v>-1.333</v>
      </c>
      <c r="H103" s="10">
        <f>D103+апр!H103</f>
        <v>6.5449999999999999</v>
      </c>
      <c r="I103" s="8">
        <f>E103+март!I103</f>
        <v>5.3319999999999999</v>
      </c>
      <c r="J103" s="10">
        <f>F103+апр!J103</f>
        <v>0</v>
      </c>
      <c r="K103" s="10">
        <f t="shared" si="45"/>
        <v>-6.5449999999999999</v>
      </c>
      <c r="L103" s="16">
        <f t="shared" si="40"/>
        <v>-100</v>
      </c>
      <c r="M103" s="110"/>
      <c r="N103" s="111"/>
      <c r="P103">
        <f t="shared" si="41"/>
        <v>6.5449999999999999</v>
      </c>
      <c r="Q103" s="44">
        <f>E103+апр!I103</f>
        <v>6.665</v>
      </c>
      <c r="R103" s="30">
        <f>F103+апр!J103</f>
        <v>0</v>
      </c>
    </row>
    <row r="104" spans="1:18" ht="36" customHeight="1">
      <c r="A104" s="18" t="s">
        <v>105</v>
      </c>
      <c r="B104" s="20" t="s">
        <v>99</v>
      </c>
      <c r="C104" s="8" t="s">
        <v>4</v>
      </c>
      <c r="D104" s="10">
        <f t="shared" ref="D104:F104" si="56">D105+D106+D107+D108</f>
        <v>186.095</v>
      </c>
      <c r="E104" s="10">
        <f t="shared" si="56"/>
        <v>152.833</v>
      </c>
      <c r="F104" s="10">
        <f t="shared" si="56"/>
        <v>1012.229</v>
      </c>
      <c r="G104" s="10">
        <f t="shared" si="44"/>
        <v>859.39600000000007</v>
      </c>
      <c r="H104" s="10">
        <f t="shared" ref="H104:J104" si="57">H105+H106+H107+H108</f>
        <v>930.47500000000014</v>
      </c>
      <c r="I104" s="8">
        <f>E104+апр!I104</f>
        <v>764.16499999999996</v>
      </c>
      <c r="J104" s="10">
        <f t="shared" si="57"/>
        <v>1811.213</v>
      </c>
      <c r="K104" s="10">
        <f t="shared" si="45"/>
        <v>880.73799999999983</v>
      </c>
      <c r="L104" s="16">
        <f t="shared" si="40"/>
        <v>94.654665627770726</v>
      </c>
      <c r="M104" s="110"/>
      <c r="N104" s="111"/>
      <c r="P104">
        <f t="shared" si="41"/>
        <v>930.47500000000002</v>
      </c>
      <c r="Q104" s="44">
        <f>E104+апр!I104</f>
        <v>764.16499999999996</v>
      </c>
      <c r="R104" s="30">
        <f>F104+апр!J104</f>
        <v>1811.2130000000002</v>
      </c>
    </row>
    <row r="105" spans="1:18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>
        <f>246.225+237.46</f>
        <v>483.685</v>
      </c>
      <c r="G105" s="10">
        <f t="shared" si="44"/>
        <v>440.10199999999998</v>
      </c>
      <c r="H105" s="10">
        <f>D105+апр!H105</f>
        <v>217.85499999999999</v>
      </c>
      <c r="I105" s="8">
        <f>E105+апр!I105</f>
        <v>217.91499999999999</v>
      </c>
      <c r="J105" s="10">
        <f>F105+апр!J105</f>
        <v>705.31600000000003</v>
      </c>
      <c r="K105" s="10">
        <f t="shared" si="45"/>
        <v>487.46100000000001</v>
      </c>
      <c r="L105" s="16">
        <f t="shared" si="40"/>
        <v>223.75479103073144</v>
      </c>
      <c r="M105" s="110"/>
      <c r="N105" s="111"/>
      <c r="P105">
        <f t="shared" si="41"/>
        <v>217.85499999999999</v>
      </c>
      <c r="Q105" s="44">
        <f>E105+апр!I105</f>
        <v>217.91499999999999</v>
      </c>
      <c r="R105" s="30">
        <f>F105+апр!J105</f>
        <v>705.31600000000003</v>
      </c>
    </row>
    <row r="106" spans="1:18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8">
        <v>130.54599999999999</v>
      </c>
      <c r="G106" s="10">
        <f t="shared" si="44"/>
        <v>47.628999999999991</v>
      </c>
      <c r="H106" s="10">
        <f>D106+апр!H106</f>
        <v>581.04500000000007</v>
      </c>
      <c r="I106" s="8">
        <f>E106+апр!I106</f>
        <v>414.58500000000004</v>
      </c>
      <c r="J106" s="10">
        <f>F106+апр!J106</f>
        <v>584.14599999999996</v>
      </c>
      <c r="K106" s="10">
        <f t="shared" si="45"/>
        <v>3.1009999999998854</v>
      </c>
      <c r="L106" s="16">
        <f t="shared" si="40"/>
        <v>0.53369360376561303</v>
      </c>
      <c r="M106" s="112" t="s">
        <v>287</v>
      </c>
      <c r="N106" s="113"/>
      <c r="P106">
        <f t="shared" si="41"/>
        <v>581.04500000000007</v>
      </c>
      <c r="Q106" s="44">
        <f>E106+апр!I106</f>
        <v>414.58500000000004</v>
      </c>
      <c r="R106" s="30">
        <f>F106+апр!J106</f>
        <v>584.14599999999996</v>
      </c>
    </row>
    <row r="107" spans="1:18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10">
        <f>368+29.998</f>
        <v>397.99799999999999</v>
      </c>
      <c r="G107" s="10">
        <f t="shared" si="44"/>
        <v>371.66499999999996</v>
      </c>
      <c r="H107" s="10">
        <f>D107+апр!H107</f>
        <v>131.57500000000002</v>
      </c>
      <c r="I107" s="8">
        <f>E107+апр!I107</f>
        <v>131.66499999999999</v>
      </c>
      <c r="J107" s="10">
        <f>F107+апр!J107</f>
        <v>521.75099999999998</v>
      </c>
      <c r="K107" s="10">
        <f t="shared" si="45"/>
        <v>390.17599999999993</v>
      </c>
      <c r="L107" s="16">
        <f t="shared" si="40"/>
        <v>296.54265627968834</v>
      </c>
      <c r="M107" s="110"/>
      <c r="N107" s="111"/>
      <c r="P107">
        <f t="shared" si="41"/>
        <v>131.57500000000002</v>
      </c>
      <c r="Q107" s="44">
        <f>E107+апр!I107</f>
        <v>131.66499999999999</v>
      </c>
      <c r="R107" s="30">
        <f>F107+апр!J107</f>
        <v>521.75099999999998</v>
      </c>
    </row>
    <row r="108" spans="1:18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4"/>
        <v>0</v>
      </c>
      <c r="H108" s="10">
        <f>D108+апр!H108</f>
        <v>0</v>
      </c>
      <c r="I108" s="8">
        <f>E108+март!I108</f>
        <v>0</v>
      </c>
      <c r="J108" s="10">
        <f>F108+апр!J108</f>
        <v>0</v>
      </c>
      <c r="K108" s="10">
        <f t="shared" si="45"/>
        <v>0</v>
      </c>
      <c r="L108" s="16" t="e">
        <f t="shared" si="40"/>
        <v>#DIV/0!</v>
      </c>
      <c r="M108" s="110"/>
      <c r="N108" s="111"/>
      <c r="P108">
        <f t="shared" si="41"/>
        <v>0</v>
      </c>
      <c r="Q108" s="44">
        <f>E108+апр!I108</f>
        <v>0</v>
      </c>
      <c r="R108" s="30">
        <f>F108+апр!J108</f>
        <v>0</v>
      </c>
    </row>
    <row r="109" spans="1:18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">
        <f>15.207+22.409+4.525+1.393+0.256</f>
        <v>43.79</v>
      </c>
      <c r="G109" s="10">
        <f t="shared" si="44"/>
        <v>-14.377000000000002</v>
      </c>
      <c r="H109" s="10">
        <f>D109+апр!H109</f>
        <v>457.41999999999996</v>
      </c>
      <c r="I109" s="8">
        <f>E109+апр!I109</f>
        <v>290.83500000000004</v>
      </c>
      <c r="J109" s="10">
        <f>F109+апр!J109</f>
        <v>190.62699999999998</v>
      </c>
      <c r="K109" s="10">
        <f t="shared" si="45"/>
        <v>-266.79300000000001</v>
      </c>
      <c r="L109" s="16">
        <f t="shared" si="40"/>
        <v>-58.325608849634911</v>
      </c>
      <c r="M109" s="110"/>
      <c r="N109" s="111"/>
      <c r="P109">
        <f t="shared" si="41"/>
        <v>457.41999999999996</v>
      </c>
      <c r="Q109" s="44">
        <f>E109+апр!I109</f>
        <v>290.83500000000004</v>
      </c>
      <c r="R109" s="30">
        <f>F109+апр!J109</f>
        <v>190.62699999999998</v>
      </c>
    </row>
    <row r="110" spans="1:18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1306.3905</v>
      </c>
      <c r="G110" s="10">
        <f t="shared" si="44"/>
        <v>-392.85950000000003</v>
      </c>
      <c r="H110" s="10">
        <f>H111+H115+H119+H123+H124+H125+H126+H127+H128+H129+H130+H131+H132+H133+H134+H135</f>
        <v>7810.9050000000007</v>
      </c>
      <c r="I110" s="10">
        <f>I111+I115+I119+I123+I124+I125+I126+I127+I128+I129+I130+I131+I132+I133+I134+I135+I136+I137</f>
        <v>8496.25</v>
      </c>
      <c r="J110" s="10">
        <f>J111+J115+J119+J123+J124+J125+J126+J127+J128+J129+J130+J131+J132+J133+J134+J135+J136+J137</f>
        <v>7962.4600000000009</v>
      </c>
      <c r="K110" s="10">
        <f t="shared" si="45"/>
        <v>151.55500000000029</v>
      </c>
      <c r="L110" s="16">
        <f t="shared" si="40"/>
        <v>1.9403001316748743</v>
      </c>
      <c r="M110" s="116"/>
      <c r="N110" s="111"/>
      <c r="P110">
        <f t="shared" si="41"/>
        <v>7810.9049999999988</v>
      </c>
      <c r="Q110" s="44">
        <f>E110+апр!I110</f>
        <v>8496.25</v>
      </c>
      <c r="R110" s="30">
        <f>F110+апр!J110</f>
        <v>7962.4600000000009</v>
      </c>
    </row>
    <row r="111" spans="1:18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230.88</v>
      </c>
      <c r="G111" s="10">
        <f t="shared" si="44"/>
        <v>-200.53699999999998</v>
      </c>
      <c r="H111" s="10">
        <f>D111+апр!H111</f>
        <v>2156.9049999999997</v>
      </c>
      <c r="I111" s="8">
        <f>E111+апр!I111</f>
        <v>2157.085</v>
      </c>
      <c r="J111" s="10">
        <f>J112+J113+J114</f>
        <v>1419.511</v>
      </c>
      <c r="K111" s="10">
        <f t="shared" si="45"/>
        <v>-737.39399999999978</v>
      </c>
      <c r="L111" s="16">
        <f t="shared" si="40"/>
        <v>-34.187597506612477</v>
      </c>
      <c r="M111" s="121"/>
      <c r="N111" s="122"/>
      <c r="P111">
        <f t="shared" si="41"/>
        <v>2156.9049999999997</v>
      </c>
      <c r="Q111" s="44">
        <f>E111+апр!I111</f>
        <v>2157.085</v>
      </c>
      <c r="R111" s="30">
        <f>F111+апр!J111</f>
        <v>1419.511</v>
      </c>
    </row>
    <row r="112" spans="1:18" ht="17.25" customHeight="1">
      <c r="A112" s="18"/>
      <c r="B112" s="9" t="s">
        <v>221</v>
      </c>
      <c r="C112" s="8" t="s">
        <v>4</v>
      </c>
      <c r="D112" s="10"/>
      <c r="E112" s="8"/>
      <c r="F112" s="10">
        <v>230.88</v>
      </c>
      <c r="G112" s="10">
        <f t="shared" si="44"/>
        <v>230.88</v>
      </c>
      <c r="H112" s="10"/>
      <c r="I112" s="8"/>
      <c r="J112" s="10">
        <f>F112+апр!J112</f>
        <v>1197.69</v>
      </c>
      <c r="K112" s="10">
        <f t="shared" si="45"/>
        <v>1197.69</v>
      </c>
      <c r="L112" s="16" t="e">
        <f t="shared" si="40"/>
        <v>#DIV/0!</v>
      </c>
      <c r="M112" s="110"/>
      <c r="N112" s="111"/>
      <c r="P112">
        <f t="shared" si="41"/>
        <v>0</v>
      </c>
      <c r="Q112" s="44">
        <f>E112+апр!I112</f>
        <v>0</v>
      </c>
      <c r="R112" s="30">
        <f>F112+апр!J112</f>
        <v>1197.69</v>
      </c>
    </row>
    <row r="113" spans="1:18" ht="36" customHeight="1">
      <c r="A113" s="18"/>
      <c r="B113" s="9" t="s">
        <v>222</v>
      </c>
      <c r="C113" s="8" t="s">
        <v>4</v>
      </c>
      <c r="D113" s="10"/>
      <c r="E113" s="8"/>
      <c r="F113" s="10"/>
      <c r="G113" s="10">
        <f t="shared" si="44"/>
        <v>0</v>
      </c>
      <c r="H113" s="10"/>
      <c r="I113" s="8"/>
      <c r="J113" s="10">
        <f>F113+апр!J113</f>
        <v>221.821</v>
      </c>
      <c r="K113" s="10">
        <f t="shared" si="45"/>
        <v>221.821</v>
      </c>
      <c r="L113" s="16" t="e">
        <f t="shared" si="40"/>
        <v>#DIV/0!</v>
      </c>
      <c r="M113" s="110"/>
      <c r="N113" s="111"/>
      <c r="P113">
        <f t="shared" si="41"/>
        <v>0</v>
      </c>
      <c r="Q113" s="44">
        <f>E113+апр!I113</f>
        <v>0</v>
      </c>
      <c r="R113" s="30">
        <f>F113+апр!J113</f>
        <v>221.821</v>
      </c>
    </row>
    <row r="114" spans="1:18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4"/>
        <v>0</v>
      </c>
      <c r="H114" s="10"/>
      <c r="I114" s="8"/>
      <c r="J114" s="10">
        <f>F114+апр!J114</f>
        <v>0</v>
      </c>
      <c r="K114" s="10">
        <f t="shared" si="45"/>
        <v>0</v>
      </c>
      <c r="L114" s="16" t="e">
        <f t="shared" si="40"/>
        <v>#DIV/0!</v>
      </c>
      <c r="M114" s="110"/>
      <c r="N114" s="111"/>
      <c r="P114">
        <f t="shared" si="41"/>
        <v>0</v>
      </c>
      <c r="Q114" s="44">
        <f>E114+апр!I114</f>
        <v>0</v>
      </c>
      <c r="R114" s="30">
        <f>F114+апр!J114</f>
        <v>0</v>
      </c>
    </row>
    <row r="115" spans="1:18" ht="17.25" customHeight="1">
      <c r="A115" s="18" t="s">
        <v>249</v>
      </c>
      <c r="B115" s="9" t="s">
        <v>109</v>
      </c>
      <c r="C115" s="8" t="s">
        <v>4</v>
      </c>
      <c r="D115" s="10">
        <f t="shared" ref="D115" si="58">D116+D117+D118</f>
        <v>121.34400000000001</v>
      </c>
      <c r="E115" s="10">
        <v>121.333</v>
      </c>
      <c r="F115" s="10"/>
      <c r="G115" s="10">
        <f t="shared" si="44"/>
        <v>-121.333</v>
      </c>
      <c r="H115" s="10">
        <f t="shared" ref="H115" si="59">H116+H117+H118</f>
        <v>606.72</v>
      </c>
      <c r="I115" s="8">
        <f>E115+апр!I115</f>
        <v>606.66499999999996</v>
      </c>
      <c r="J115" s="10">
        <f t="shared" ref="J115" si="60">J116+J117+J118</f>
        <v>0</v>
      </c>
      <c r="K115" s="10">
        <f t="shared" si="45"/>
        <v>-606.72</v>
      </c>
      <c r="L115" s="16">
        <f t="shared" si="40"/>
        <v>-100</v>
      </c>
      <c r="M115" s="110"/>
      <c r="N115" s="111"/>
      <c r="P115">
        <f t="shared" si="41"/>
        <v>606.72</v>
      </c>
      <c r="Q115" s="44">
        <f>E115+апр!I115</f>
        <v>606.66499999999996</v>
      </c>
      <c r="R115" s="30">
        <f>F115+апр!J115</f>
        <v>0</v>
      </c>
    </row>
    <row r="116" spans="1:18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4"/>
        <v>0</v>
      </c>
      <c r="H116" s="10">
        <f>D116+апр!H116</f>
        <v>431.61</v>
      </c>
      <c r="I116" s="8"/>
      <c r="J116" s="10">
        <f>F116+апр!J116</f>
        <v>0</v>
      </c>
      <c r="K116" s="10">
        <f t="shared" si="45"/>
        <v>-431.61</v>
      </c>
      <c r="L116" s="16">
        <f t="shared" si="40"/>
        <v>-100</v>
      </c>
      <c r="M116" s="110"/>
      <c r="N116" s="111"/>
      <c r="P116">
        <f t="shared" si="41"/>
        <v>431.61</v>
      </c>
      <c r="Q116" s="44">
        <f>E116+апр!I116</f>
        <v>0</v>
      </c>
      <c r="R116" s="30">
        <f>F116+апр!J116</f>
        <v>0</v>
      </c>
    </row>
    <row r="117" spans="1:18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4"/>
        <v>0</v>
      </c>
      <c r="H117" s="10">
        <f>D117+апр!H117</f>
        <v>158.80000000000001</v>
      </c>
      <c r="I117" s="8"/>
      <c r="J117" s="10">
        <f>F117+апр!J117</f>
        <v>0</v>
      </c>
      <c r="K117" s="10">
        <f t="shared" si="45"/>
        <v>-158.80000000000001</v>
      </c>
      <c r="L117" s="16">
        <f t="shared" si="40"/>
        <v>-100</v>
      </c>
      <c r="M117" s="110"/>
      <c r="N117" s="111"/>
      <c r="P117">
        <f t="shared" si="41"/>
        <v>158.80000000000001</v>
      </c>
      <c r="Q117" s="44">
        <f>E117+апр!I117</f>
        <v>0</v>
      </c>
      <c r="R117" s="30">
        <f>F117+апр!J117</f>
        <v>0</v>
      </c>
    </row>
    <row r="118" spans="1:18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4"/>
        <v>0</v>
      </c>
      <c r="H118" s="10">
        <f>D118+апр!H118</f>
        <v>16.309999999999999</v>
      </c>
      <c r="I118" s="8"/>
      <c r="J118" s="10">
        <f>F118+апр!J118</f>
        <v>0</v>
      </c>
      <c r="K118" s="10">
        <f t="shared" si="45"/>
        <v>-16.309999999999999</v>
      </c>
      <c r="L118" s="16">
        <f t="shared" si="40"/>
        <v>-100</v>
      </c>
      <c r="M118" s="110"/>
      <c r="N118" s="111"/>
      <c r="P118">
        <f t="shared" si="41"/>
        <v>16.309999999999999</v>
      </c>
      <c r="Q118" s="44">
        <f>E118+апр!I118</f>
        <v>0</v>
      </c>
      <c r="R118" s="30">
        <f>F118+апр!J118</f>
        <v>0</v>
      </c>
    </row>
    <row r="119" spans="1:18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428.21550000000002</v>
      </c>
      <c r="G119" s="10">
        <f t="shared" si="44"/>
        <v>71.71550000000002</v>
      </c>
      <c r="H119" s="10">
        <f>H120</f>
        <v>1904.2449999999999</v>
      </c>
      <c r="I119" s="8">
        <f>E119+апр!I119</f>
        <v>1782.5</v>
      </c>
      <c r="J119" s="10">
        <f>J120</f>
        <v>1755.057</v>
      </c>
      <c r="K119" s="10">
        <f t="shared" si="45"/>
        <v>-149.18799999999987</v>
      </c>
      <c r="L119" s="16">
        <f t="shared" si="40"/>
        <v>-7.8344960863754238</v>
      </c>
      <c r="M119" s="110"/>
      <c r="N119" s="111"/>
      <c r="P119">
        <f t="shared" si="41"/>
        <v>1904.2449999999999</v>
      </c>
      <c r="Q119" s="44">
        <f>E119+апр!I119</f>
        <v>1782.5</v>
      </c>
      <c r="R119" s="30">
        <f>F119+апр!J119</f>
        <v>1755.057</v>
      </c>
    </row>
    <row r="120" spans="1:18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428.21550000000002</v>
      </c>
      <c r="G120" s="10">
        <f t="shared" si="44"/>
        <v>71.71550000000002</v>
      </c>
      <c r="H120" s="10">
        <f>D120+апр!H120</f>
        <v>1904.2449999999999</v>
      </c>
      <c r="I120" s="8">
        <f>E120+апр!I120</f>
        <v>1782.5</v>
      </c>
      <c r="J120" s="10">
        <f>F120+апр!J120</f>
        <v>1755.057</v>
      </c>
      <c r="K120" s="10">
        <f t="shared" si="45"/>
        <v>-149.18799999999987</v>
      </c>
      <c r="L120" s="16">
        <f t="shared" si="40"/>
        <v>-7.8344960863754238</v>
      </c>
      <c r="M120" s="110"/>
      <c r="N120" s="111"/>
      <c r="P120">
        <f t="shared" si="41"/>
        <v>1904.2449999999999</v>
      </c>
      <c r="Q120" s="44">
        <f>E120+апр!I120</f>
        <v>1782.5</v>
      </c>
      <c r="R120" s="30">
        <f>F120+апр!J120</f>
        <v>1755.057</v>
      </c>
    </row>
    <row r="121" spans="1:18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856.43100000000004</v>
      </c>
      <c r="G121" s="10">
        <f t="shared" si="44"/>
        <v>143.43100000000004</v>
      </c>
      <c r="H121" s="10">
        <f>D121+апр!H121</f>
        <v>3808.4949999999999</v>
      </c>
      <c r="I121" s="8">
        <f>E121+апр!I121</f>
        <v>3565</v>
      </c>
      <c r="J121" s="10">
        <f>F121+апр!J121</f>
        <v>3510.1130000000003</v>
      </c>
      <c r="K121" s="10">
        <f t="shared" si="45"/>
        <v>-298.38199999999961</v>
      </c>
      <c r="L121" s="16">
        <f t="shared" si="40"/>
        <v>-7.8346433433679152</v>
      </c>
      <c r="M121" s="110"/>
      <c r="N121" s="111"/>
      <c r="P121">
        <f t="shared" si="41"/>
        <v>3808.4949999999999</v>
      </c>
      <c r="Q121" s="44">
        <f>E121+апр!I121</f>
        <v>3565</v>
      </c>
      <c r="R121" s="30">
        <f>F121+апр!J121</f>
        <v>3510.1130000000003</v>
      </c>
    </row>
    <row r="122" spans="1:18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4"/>
        <v>0</v>
      </c>
      <c r="H122" s="11">
        <v>0.5</v>
      </c>
      <c r="I122" s="11">
        <v>0.5</v>
      </c>
      <c r="J122" s="11">
        <v>0.5</v>
      </c>
      <c r="K122" s="10">
        <f t="shared" si="45"/>
        <v>0</v>
      </c>
      <c r="L122" s="16">
        <f t="shared" si="40"/>
        <v>0</v>
      </c>
      <c r="M122" s="110"/>
      <c r="N122" s="111"/>
      <c r="P122">
        <f t="shared" si="41"/>
        <v>2.5</v>
      </c>
      <c r="Q122" s="44">
        <f>E122+апр!I122</f>
        <v>1</v>
      </c>
      <c r="R122" s="30">
        <f>F122+апр!J122</f>
        <v>1</v>
      </c>
    </row>
    <row r="123" spans="1:18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4"/>
        <v>-1.083</v>
      </c>
      <c r="H123" s="10">
        <f>D123+апр!H123</f>
        <v>5.5600000000000005</v>
      </c>
      <c r="I123" s="8">
        <f>E123+апр!I123</f>
        <v>5.415</v>
      </c>
      <c r="J123" s="10">
        <f>F123+апр!J123</f>
        <v>0</v>
      </c>
      <c r="K123" s="10">
        <f t="shared" si="45"/>
        <v>-5.5600000000000005</v>
      </c>
      <c r="L123" s="16">
        <f t="shared" si="40"/>
        <v>-100</v>
      </c>
      <c r="M123" s="110"/>
      <c r="N123" s="111"/>
      <c r="P123">
        <f t="shared" si="41"/>
        <v>5.5600000000000005</v>
      </c>
      <c r="Q123" s="44">
        <f>E123+апр!I123</f>
        <v>5.415</v>
      </c>
      <c r="R123" s="30">
        <f>F123+апр!J123</f>
        <v>0</v>
      </c>
    </row>
    <row r="124" spans="1:18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10">
        <v>45</v>
      </c>
      <c r="G124" s="10">
        <f t="shared" si="44"/>
        <v>-7.1670000000000016</v>
      </c>
      <c r="H124" s="10">
        <f>D124+апр!H124</f>
        <v>265.85000000000002</v>
      </c>
      <c r="I124" s="8">
        <f>E124+апр!I124</f>
        <v>260.83500000000004</v>
      </c>
      <c r="J124" s="10">
        <f>F124+апр!J124</f>
        <v>225</v>
      </c>
      <c r="K124" s="10">
        <f t="shared" si="45"/>
        <v>-40.850000000000023</v>
      </c>
      <c r="L124" s="16">
        <f t="shared" si="40"/>
        <v>-15.365807786345684</v>
      </c>
      <c r="M124" s="110"/>
      <c r="N124" s="111"/>
      <c r="P124">
        <f t="shared" si="41"/>
        <v>265.85000000000002</v>
      </c>
      <c r="Q124" s="44">
        <f>E124+апр!I124</f>
        <v>260.83500000000004</v>
      </c>
      <c r="R124" s="30">
        <f>F124+апр!J124</f>
        <v>225</v>
      </c>
    </row>
    <row r="125" spans="1:18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8">
        <f>178.332+251.693</f>
        <v>430.02499999999998</v>
      </c>
      <c r="G125" s="10">
        <f t="shared" si="44"/>
        <v>18.69199999999995</v>
      </c>
      <c r="H125" s="10">
        <f>D125+апр!H125</f>
        <v>2056.75</v>
      </c>
      <c r="I125" s="8">
        <f>E125+апр!I125</f>
        <v>2056.665</v>
      </c>
      <c r="J125" s="10">
        <f>F125+апр!J125</f>
        <v>2657.4010000000003</v>
      </c>
      <c r="K125" s="10">
        <f t="shared" si="45"/>
        <v>600.65100000000029</v>
      </c>
      <c r="L125" s="16">
        <f t="shared" si="40"/>
        <v>29.20388963170052</v>
      </c>
      <c r="M125" s="112" t="s">
        <v>294</v>
      </c>
      <c r="N125" s="113"/>
      <c r="P125">
        <f t="shared" si="41"/>
        <v>2056.75</v>
      </c>
      <c r="Q125" s="44">
        <f>E125+апр!I125</f>
        <v>2056.665</v>
      </c>
      <c r="R125" s="30">
        <f>F125+апр!J125</f>
        <v>2657.4010000000003</v>
      </c>
    </row>
    <row r="126" spans="1:18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10">
        <v>53.1</v>
      </c>
      <c r="G126" s="10">
        <f t="shared" si="44"/>
        <v>4.4329999999999998</v>
      </c>
      <c r="H126" s="10">
        <f>D126+апр!H126</f>
        <v>243.52</v>
      </c>
      <c r="I126" s="8">
        <f>E126+апр!I126</f>
        <v>243.33500000000001</v>
      </c>
      <c r="J126" s="10">
        <f>F126+апр!J126</f>
        <v>265.44</v>
      </c>
      <c r="K126" s="10">
        <f t="shared" si="45"/>
        <v>21.919999999999987</v>
      </c>
      <c r="L126" s="16">
        <f t="shared" si="40"/>
        <v>9.0013140604467736</v>
      </c>
      <c r="M126" s="110"/>
      <c r="N126" s="111"/>
      <c r="P126">
        <f t="shared" si="41"/>
        <v>243.52</v>
      </c>
      <c r="Q126" s="44">
        <f>E126+апр!I126</f>
        <v>243.33500000000001</v>
      </c>
      <c r="R126" s="30">
        <f>F126+апр!J126</f>
        <v>265.44</v>
      </c>
    </row>
    <row r="127" spans="1:18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10"/>
      <c r="G127" s="10">
        <f t="shared" si="44"/>
        <v>-38</v>
      </c>
      <c r="H127" s="10">
        <f>D127+апр!H127</f>
        <v>190.065</v>
      </c>
      <c r="I127" s="8">
        <f>E127+апр!I127</f>
        <v>190</v>
      </c>
      <c r="J127" s="10">
        <f>F127+апр!J127</f>
        <v>105</v>
      </c>
      <c r="K127" s="10">
        <f t="shared" si="45"/>
        <v>-85.064999999999998</v>
      </c>
      <c r="L127" s="16">
        <f t="shared" si="40"/>
        <v>-44.755741456870012</v>
      </c>
      <c r="M127" s="110"/>
      <c r="N127" s="111"/>
      <c r="P127">
        <f t="shared" si="41"/>
        <v>190.065</v>
      </c>
      <c r="Q127" s="44">
        <f>E127+апр!I127</f>
        <v>190</v>
      </c>
      <c r="R127" s="30">
        <f>F127+апр!J127</f>
        <v>105</v>
      </c>
    </row>
    <row r="128" spans="1:18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44"/>
        <v>0</v>
      </c>
      <c r="H128" s="10">
        <f>D128+апр!H128</f>
        <v>0</v>
      </c>
      <c r="I128" s="8">
        <f>E128+апр!I128</f>
        <v>0</v>
      </c>
      <c r="J128" s="10">
        <f>F128+апр!J128</f>
        <v>640.45500000000004</v>
      </c>
      <c r="K128" s="10">
        <f t="shared" si="45"/>
        <v>640.45500000000004</v>
      </c>
      <c r="L128" s="16" t="e">
        <f t="shared" si="40"/>
        <v>#DIV/0!</v>
      </c>
      <c r="M128" s="110"/>
      <c r="N128" s="111"/>
      <c r="P128">
        <f t="shared" si="41"/>
        <v>0</v>
      </c>
      <c r="Q128" s="44">
        <f>E128+апр!I128</f>
        <v>0</v>
      </c>
      <c r="R128" s="30">
        <f>F128+апр!J128</f>
        <v>640.45500000000004</v>
      </c>
    </row>
    <row r="129" spans="1:18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4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45"/>
        <v>0</v>
      </c>
      <c r="L129" s="16" t="e">
        <f t="shared" si="40"/>
        <v>#DIV/0!</v>
      </c>
      <c r="M129" s="110"/>
      <c r="N129" s="111"/>
      <c r="P129">
        <f t="shared" si="41"/>
        <v>0</v>
      </c>
      <c r="Q129" s="44">
        <f>E129+апр!I129</f>
        <v>0</v>
      </c>
      <c r="R129" s="30">
        <f>F129+апр!J129</f>
        <v>0</v>
      </c>
    </row>
    <row r="130" spans="1:18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>
        <v>40</v>
      </c>
      <c r="G130" s="10">
        <f t="shared" si="44"/>
        <v>40</v>
      </c>
      <c r="H130" s="10">
        <f>D130+апр!H130</f>
        <v>0</v>
      </c>
      <c r="I130" s="8">
        <f>E130+апр!I130</f>
        <v>0</v>
      </c>
      <c r="J130" s="10">
        <f>F130+апр!J130</f>
        <v>40</v>
      </c>
      <c r="K130" s="10">
        <f t="shared" si="45"/>
        <v>40</v>
      </c>
      <c r="L130" s="16" t="e">
        <f t="shared" si="40"/>
        <v>#DIV/0!</v>
      </c>
      <c r="M130" s="112" t="s">
        <v>288</v>
      </c>
      <c r="N130" s="113"/>
      <c r="P130">
        <f t="shared" si="41"/>
        <v>0</v>
      </c>
      <c r="Q130" s="44">
        <f>E130+апр!I130</f>
        <v>0</v>
      </c>
      <c r="R130" s="30">
        <f>F130+апр!J130</f>
        <v>40</v>
      </c>
    </row>
    <row r="131" spans="1:18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10"/>
      <c r="G131" s="10">
        <f t="shared" si="44"/>
        <v>-69.75</v>
      </c>
      <c r="H131" s="10">
        <f>D131+апр!H131</f>
        <v>348.91500000000002</v>
      </c>
      <c r="I131" s="8">
        <f>E131+апр!I131</f>
        <v>348.75</v>
      </c>
      <c r="J131" s="10">
        <f>F131+апр!J131</f>
        <v>208.75</v>
      </c>
      <c r="K131" s="10">
        <f t="shared" si="45"/>
        <v>-140.16500000000002</v>
      </c>
      <c r="L131" s="16">
        <f t="shared" si="40"/>
        <v>-40.17167504979723</v>
      </c>
      <c r="M131" s="110"/>
      <c r="N131" s="111"/>
      <c r="P131">
        <f t="shared" si="41"/>
        <v>348.91500000000002</v>
      </c>
      <c r="Q131" s="44">
        <f>E131+апр!I131</f>
        <v>348.75</v>
      </c>
      <c r="R131" s="30">
        <f>F131+апр!J131</f>
        <v>208.75</v>
      </c>
    </row>
    <row r="132" spans="1:18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4"/>
        <v>0</v>
      </c>
      <c r="H132" s="10">
        <f>D132+апр!H132</f>
        <v>0</v>
      </c>
      <c r="I132" s="8">
        <f>E132+апр!I132</f>
        <v>0</v>
      </c>
      <c r="J132" s="10">
        <f>F132+апр!J132</f>
        <v>0</v>
      </c>
      <c r="K132" s="10">
        <f t="shared" si="45"/>
        <v>0</v>
      </c>
      <c r="L132" s="16" t="e">
        <f t="shared" si="40"/>
        <v>#DIV/0!</v>
      </c>
      <c r="M132" s="110"/>
      <c r="N132" s="111"/>
      <c r="P132">
        <f t="shared" si="41"/>
        <v>0</v>
      </c>
      <c r="Q132" s="44">
        <f>E132+апр!I132</f>
        <v>0</v>
      </c>
      <c r="R132" s="30">
        <f>F132+апр!J132</f>
        <v>0</v>
      </c>
    </row>
    <row r="133" spans="1:18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4"/>
        <v>0</v>
      </c>
      <c r="H133" s="10">
        <f>D133+апр!H133</f>
        <v>0</v>
      </c>
      <c r="I133" s="8">
        <f>E133+апр!I133</f>
        <v>0</v>
      </c>
      <c r="J133" s="10">
        <f>F133+апр!J133</f>
        <v>0</v>
      </c>
      <c r="K133" s="10">
        <f t="shared" si="45"/>
        <v>0</v>
      </c>
      <c r="L133" s="16" t="e">
        <f t="shared" si="40"/>
        <v>#DIV/0!</v>
      </c>
      <c r="M133" s="110"/>
      <c r="N133" s="111"/>
      <c r="P133">
        <f t="shared" si="41"/>
        <v>0</v>
      </c>
      <c r="Q133" s="44">
        <f>E133+апр!I133</f>
        <v>0</v>
      </c>
      <c r="R133" s="30">
        <f>F133+апр!J133</f>
        <v>0</v>
      </c>
    </row>
    <row r="134" spans="1:18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44"/>
        <v>-6.5</v>
      </c>
      <c r="H134" s="10">
        <f>D134+апр!H134</f>
        <v>32.375</v>
      </c>
      <c r="I134" s="8">
        <f>E134+апр!I134</f>
        <v>32.5</v>
      </c>
      <c r="J134" s="10">
        <f>F134+апр!J134</f>
        <v>0</v>
      </c>
      <c r="K134" s="10">
        <f t="shared" si="45"/>
        <v>-32.375</v>
      </c>
      <c r="L134" s="16">
        <f t="shared" si="40"/>
        <v>-100</v>
      </c>
      <c r="M134" s="110"/>
      <c r="N134" s="111"/>
      <c r="P134">
        <f t="shared" si="41"/>
        <v>32.375</v>
      </c>
      <c r="Q134" s="44">
        <f>E134+апр!I134</f>
        <v>32.5</v>
      </c>
      <c r="R134" s="30">
        <f>F134+апр!J134</f>
        <v>0</v>
      </c>
    </row>
    <row r="135" spans="1:18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4"/>
        <v>0</v>
      </c>
      <c r="H135" s="10">
        <f>D135+апр!H135</f>
        <v>0</v>
      </c>
      <c r="I135" s="8">
        <f>E135+апр!I135</f>
        <v>0</v>
      </c>
      <c r="J135" s="10">
        <f>F135+апр!J135</f>
        <v>0</v>
      </c>
      <c r="K135" s="10">
        <f t="shared" si="45"/>
        <v>0</v>
      </c>
      <c r="L135" s="16" t="e">
        <f t="shared" si="40"/>
        <v>#DIV/0!</v>
      </c>
      <c r="M135" s="110"/>
      <c r="N135" s="111"/>
      <c r="P135">
        <f t="shared" si="41"/>
        <v>0</v>
      </c>
      <c r="Q135" s="44">
        <f>E135+апр!I135</f>
        <v>0</v>
      </c>
      <c r="R135" s="30">
        <f>F135+апр!J135</f>
        <v>0</v>
      </c>
    </row>
    <row r="136" spans="1:18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10">
        <v>79.17</v>
      </c>
      <c r="G136" s="10">
        <f t="shared" si="44"/>
        <v>3.0000000000001137E-3</v>
      </c>
      <c r="H136" s="10">
        <f>D136+апр!H136</f>
        <v>0</v>
      </c>
      <c r="I136" s="8">
        <f>E136+апр!I136</f>
        <v>395.83500000000004</v>
      </c>
      <c r="J136" s="10">
        <f>F136+апр!J136</f>
        <v>395.84600000000006</v>
      </c>
      <c r="K136" s="10">
        <f t="shared" si="45"/>
        <v>395.84600000000006</v>
      </c>
      <c r="L136" s="16" t="e">
        <f t="shared" si="40"/>
        <v>#DIV/0!</v>
      </c>
      <c r="M136" s="90"/>
      <c r="N136" s="91"/>
      <c r="P136">
        <f t="shared" si="41"/>
        <v>0</v>
      </c>
      <c r="Q136" s="44">
        <f>E136+апр!I136</f>
        <v>395.83500000000004</v>
      </c>
      <c r="R136" s="30">
        <f>F136+апр!J136</f>
        <v>395.84600000000006</v>
      </c>
    </row>
    <row r="137" spans="1:18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10"/>
      <c r="G137" s="10">
        <f t="shared" si="44"/>
        <v>-83.332999999999998</v>
      </c>
      <c r="H137" s="10">
        <f>D137+апр!H137</f>
        <v>0</v>
      </c>
      <c r="I137" s="8">
        <f>E137+апр!I137</f>
        <v>416.66499999999996</v>
      </c>
      <c r="J137" s="10">
        <f>F137+апр!J137</f>
        <v>250</v>
      </c>
      <c r="K137" s="10">
        <f t="shared" si="45"/>
        <v>250</v>
      </c>
      <c r="L137" s="16" t="e">
        <f t="shared" ref="L137:L200" si="61">J137/H137*100-100</f>
        <v>#DIV/0!</v>
      </c>
      <c r="M137" s="90"/>
      <c r="N137" s="91"/>
      <c r="O137" s="30">
        <f>F138-O138</f>
        <v>1636.98</v>
      </c>
      <c r="P137">
        <f t="shared" ref="P137:P200" si="62">D137*5</f>
        <v>0</v>
      </c>
      <c r="Q137" s="44">
        <f>E137+апр!I137</f>
        <v>416.66499999999996</v>
      </c>
      <c r="R137" s="30">
        <f>F137+апр!J137</f>
        <v>250</v>
      </c>
    </row>
    <row r="138" spans="1:18" ht="17.25" customHeight="1">
      <c r="A138" s="92" t="s">
        <v>126</v>
      </c>
      <c r="B138" s="6" t="s">
        <v>127</v>
      </c>
      <c r="C138" s="8" t="s">
        <v>4</v>
      </c>
      <c r="D138" s="7">
        <f t="shared" ref="D138:J138" si="63">D139</f>
        <v>3385.116</v>
      </c>
      <c r="E138" s="7">
        <f t="shared" si="63"/>
        <v>2989.2490000000003</v>
      </c>
      <c r="F138" s="7">
        <f t="shared" si="63"/>
        <v>4061.3629999999998</v>
      </c>
      <c r="G138" s="10">
        <f t="shared" si="44"/>
        <v>1072.1139999999996</v>
      </c>
      <c r="H138" s="7">
        <f t="shared" si="63"/>
        <v>16925.580000000002</v>
      </c>
      <c r="I138" s="7">
        <f t="shared" si="63"/>
        <v>14946.245000000001</v>
      </c>
      <c r="J138" s="7">
        <f t="shared" si="63"/>
        <v>13234.559000000001</v>
      </c>
      <c r="K138" s="10">
        <f t="shared" si="45"/>
        <v>-3691.0210000000006</v>
      </c>
      <c r="L138" s="16">
        <f t="shared" si="61"/>
        <v>-21.807353130586961</v>
      </c>
      <c r="M138" s="110"/>
      <c r="N138" s="111"/>
      <c r="O138">
        <v>2424.3829999999998</v>
      </c>
      <c r="P138">
        <f t="shared" si="62"/>
        <v>16925.580000000002</v>
      </c>
      <c r="Q138" s="44">
        <f>E138+апр!I138</f>
        <v>14946.245000000001</v>
      </c>
      <c r="R138" s="30">
        <f>F138+апр!J138</f>
        <v>13234.559000000001</v>
      </c>
    </row>
    <row r="139" spans="1:18" ht="17.25" customHeight="1">
      <c r="A139" s="92">
        <v>6</v>
      </c>
      <c r="B139" s="6" t="s">
        <v>128</v>
      </c>
      <c r="C139" s="92" t="s">
        <v>4</v>
      </c>
      <c r="D139" s="7">
        <f>D140+D145+D146+D147+D148+D149+D150+D151+D154+D156+D172+D176+D177+D179+D184+D183+D188</f>
        <v>3385.116</v>
      </c>
      <c r="E139" s="7">
        <f t="shared" ref="E139:F139" si="64">E140+E145+E146+E147+E148+E149+E150+E151+E154+E156+E172+E176+E177+E179+E184+E183+E188</f>
        <v>2989.2490000000003</v>
      </c>
      <c r="F139" s="7">
        <f t="shared" si="64"/>
        <v>4061.3629999999998</v>
      </c>
      <c r="G139" s="10">
        <f>F139-E139</f>
        <v>1072.1139999999996</v>
      </c>
      <c r="H139" s="7">
        <f>H140+H145+H146+H147+H148+H149+H150+H151+H154+H156+H172+H176+H177+H179+H184+H183+H188</f>
        <v>16925.580000000002</v>
      </c>
      <c r="I139" s="7">
        <f t="shared" ref="I139:J139" si="65">I140+I145+I146+I147+I148+I149+I150+I151+I154+I156+I172+I176+I177+I179+I184+I183+I188</f>
        <v>14946.245000000001</v>
      </c>
      <c r="J139" s="7">
        <f t="shared" si="65"/>
        <v>13234.559000000001</v>
      </c>
      <c r="K139" s="10">
        <f t="shared" ref="K139:K202" si="66">J139-H139</f>
        <v>-3691.0210000000006</v>
      </c>
      <c r="L139" s="16">
        <f t="shared" si="61"/>
        <v>-21.807353130586961</v>
      </c>
      <c r="M139" s="110"/>
      <c r="N139" s="111"/>
      <c r="P139">
        <f t="shared" si="62"/>
        <v>16925.580000000002</v>
      </c>
      <c r="Q139" s="44">
        <f>E139+апр!I139</f>
        <v>14946.245000000001</v>
      </c>
      <c r="R139" s="30">
        <f>F139+апр!J139</f>
        <v>13234.559000000001</v>
      </c>
    </row>
    <row r="140" spans="1:18" ht="17.25" customHeight="1">
      <c r="A140" s="92" t="s">
        <v>129</v>
      </c>
      <c r="B140" s="6" t="s">
        <v>130</v>
      </c>
      <c r="C140" s="92" t="s">
        <v>4</v>
      </c>
      <c r="D140" s="7">
        <f t="shared" ref="D140:F140" si="67">D141+D142</f>
        <v>97.608999999999995</v>
      </c>
      <c r="E140" s="7">
        <f t="shared" si="67"/>
        <v>97.582999999999998</v>
      </c>
      <c r="F140" s="7">
        <f t="shared" si="67"/>
        <v>40</v>
      </c>
      <c r="G140" s="10">
        <f t="shared" ref="G140:G204" si="68">F140-E140</f>
        <v>-57.582999999999998</v>
      </c>
      <c r="H140" s="7">
        <f t="shared" ref="H140:J140" si="69">H141+H142</f>
        <v>488.04499999999996</v>
      </c>
      <c r="I140" s="7">
        <f t="shared" si="69"/>
        <v>487.91499999999996</v>
      </c>
      <c r="J140" s="7">
        <f t="shared" si="69"/>
        <v>332.99800000000005</v>
      </c>
      <c r="K140" s="10">
        <f t="shared" si="66"/>
        <v>-155.04699999999991</v>
      </c>
      <c r="L140" s="16">
        <f t="shared" si="61"/>
        <v>-31.768996711368814</v>
      </c>
      <c r="M140" s="110"/>
      <c r="N140" s="111"/>
      <c r="P140">
        <f t="shared" si="62"/>
        <v>488.04499999999996</v>
      </c>
      <c r="Q140" s="44">
        <f>E140+апр!I140</f>
        <v>487.91499999999996</v>
      </c>
      <c r="R140" s="30">
        <f>F140+апр!J140</f>
        <v>332.99800000000005</v>
      </c>
    </row>
    <row r="141" spans="1:18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10">
        <v>40</v>
      </c>
      <c r="G141" s="10">
        <f t="shared" si="68"/>
        <v>-2.5</v>
      </c>
      <c r="H141" s="10">
        <f>D141+апр!H141</f>
        <v>212.76499999999999</v>
      </c>
      <c r="I141" s="8">
        <f>E141+апр!I141</f>
        <v>212.5</v>
      </c>
      <c r="J141" s="10">
        <f>F141+апр!J141</f>
        <v>197.04500000000002</v>
      </c>
      <c r="K141" s="10">
        <f t="shared" si="66"/>
        <v>-15.71999999999997</v>
      </c>
      <c r="L141" s="16">
        <f t="shared" si="61"/>
        <v>-7.3884332479495924</v>
      </c>
      <c r="M141" s="110"/>
      <c r="N141" s="111"/>
      <c r="P141">
        <f t="shared" si="62"/>
        <v>212.76499999999999</v>
      </c>
      <c r="Q141" s="44">
        <f>E141+апр!I141</f>
        <v>212.5</v>
      </c>
      <c r="R141" s="30">
        <f>F141+апр!J141</f>
        <v>197.04500000000002</v>
      </c>
    </row>
    <row r="142" spans="1:18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68"/>
        <v>-55.082999999999998</v>
      </c>
      <c r="H142" s="10">
        <f>D142+апр!H142</f>
        <v>275.27999999999997</v>
      </c>
      <c r="I142" s="8">
        <f>E142+апр!I142</f>
        <v>275.41499999999996</v>
      </c>
      <c r="J142" s="10">
        <f>F142+апр!J142</f>
        <v>135.953</v>
      </c>
      <c r="K142" s="10">
        <f t="shared" si="66"/>
        <v>-139.32699999999997</v>
      </c>
      <c r="L142" s="16">
        <f t="shared" si="61"/>
        <v>-50.612830572507988</v>
      </c>
      <c r="M142" s="110"/>
      <c r="N142" s="111"/>
      <c r="P142">
        <f t="shared" si="62"/>
        <v>275.27999999999997</v>
      </c>
      <c r="Q142" s="44">
        <f>E142+апр!I142</f>
        <v>275.41499999999996</v>
      </c>
      <c r="R142" s="30">
        <f>F142+апр!J142</f>
        <v>135.953</v>
      </c>
    </row>
    <row r="143" spans="1:18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68"/>
        <v>-2817</v>
      </c>
      <c r="H143" s="10">
        <f>D143+апр!H143</f>
        <v>14083.334999999999</v>
      </c>
      <c r="I143" s="8">
        <f>E143+апр!I143</f>
        <v>2817</v>
      </c>
      <c r="J143" s="10">
        <f>F143+апр!J143</f>
        <v>552</v>
      </c>
      <c r="K143" s="10">
        <f t="shared" si="66"/>
        <v>-13531.334999999999</v>
      </c>
      <c r="L143" s="16">
        <f t="shared" si="61"/>
        <v>-96.080473836630318</v>
      </c>
      <c r="M143" s="110"/>
      <c r="N143" s="111"/>
      <c r="P143">
        <f t="shared" si="62"/>
        <v>14083.334999999999</v>
      </c>
      <c r="Q143" s="44">
        <f>E143+апр!I143</f>
        <v>2817</v>
      </c>
      <c r="R143" s="30">
        <f>F143+апр!J143</f>
        <v>552</v>
      </c>
    </row>
    <row r="144" spans="1:18" ht="17.25" customHeight="1">
      <c r="A144" s="8"/>
      <c r="B144" s="12" t="s">
        <v>15</v>
      </c>
      <c r="C144" s="13" t="s">
        <v>16</v>
      </c>
      <c r="D144" s="16">
        <f t="shared" ref="D144:F144" si="70">D142/D143*1000</f>
        <v>19.546506562543602</v>
      </c>
      <c r="E144" s="16">
        <f t="shared" si="70"/>
        <v>19.553780617678381</v>
      </c>
      <c r="F144" s="16" t="e">
        <f t="shared" si="70"/>
        <v>#DIV/0!</v>
      </c>
      <c r="G144" s="10" t="e">
        <f t="shared" si="68"/>
        <v>#DIV/0!</v>
      </c>
      <c r="H144" s="16">
        <f t="shared" ref="H144:J144" si="71">H142/H143*1000</f>
        <v>19.546506562543602</v>
      </c>
      <c r="I144" s="8">
        <f>E144+апр!I144</f>
        <v>19.553780617678381</v>
      </c>
      <c r="J144" s="16">
        <f t="shared" si="71"/>
        <v>246.29166666666666</v>
      </c>
      <c r="K144" s="10">
        <f t="shared" si="66"/>
        <v>226.74516010412304</v>
      </c>
      <c r="L144" s="16">
        <f t="shared" si="61"/>
        <v>1160.0290792556668</v>
      </c>
      <c r="M144" s="110"/>
      <c r="N144" s="111"/>
      <c r="P144">
        <f t="shared" si="62"/>
        <v>97.732532812718006</v>
      </c>
      <c r="Q144" s="44">
        <f>E144+апр!I144</f>
        <v>19.553780617678381</v>
      </c>
      <c r="R144" s="30" t="e">
        <f>F144+апр!J144</f>
        <v>#DIV/0!</v>
      </c>
    </row>
    <row r="145" spans="1:18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10">
        <v>1657.9179999999999</v>
      </c>
      <c r="G145" s="10">
        <f t="shared" si="68"/>
        <v>241.50099999999998</v>
      </c>
      <c r="H145" s="10">
        <f>D145+апр!H145</f>
        <v>9571.7899999999991</v>
      </c>
      <c r="I145" s="8">
        <f>E145+апр!I145</f>
        <v>7082.0849999999991</v>
      </c>
      <c r="J145" s="10">
        <f>F145+апр!J145</f>
        <v>7075.9669999999996</v>
      </c>
      <c r="K145" s="10">
        <f t="shared" si="66"/>
        <v>-2495.8229999999994</v>
      </c>
      <c r="L145" s="16">
        <f t="shared" si="61"/>
        <v>-26.074778071813114</v>
      </c>
      <c r="M145" s="117"/>
      <c r="N145" s="118"/>
      <c r="P145">
        <f t="shared" si="62"/>
        <v>9571.7899999999991</v>
      </c>
      <c r="Q145" s="44">
        <f>E145+апр!I145</f>
        <v>7082.0849999999991</v>
      </c>
      <c r="R145" s="30">
        <f>F145+апр!J145</f>
        <v>7075.9669999999996</v>
      </c>
    </row>
    <row r="146" spans="1:18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">
        <v>95.980999999999995</v>
      </c>
      <c r="G146" s="10">
        <f t="shared" si="68"/>
        <v>19.480999999999995</v>
      </c>
      <c r="H146" s="10">
        <f>D146+апр!H146</f>
        <v>526.45000000000005</v>
      </c>
      <c r="I146" s="8">
        <f>E146+апр!I146</f>
        <v>382.5</v>
      </c>
      <c r="J146" s="10">
        <f>F146+апр!J146</f>
        <v>418.4</v>
      </c>
      <c r="K146" s="10">
        <f t="shared" si="66"/>
        <v>-108.05000000000007</v>
      </c>
      <c r="L146" s="16">
        <f t="shared" si="61"/>
        <v>-20.524266312090433</v>
      </c>
      <c r="M146" s="117"/>
      <c r="N146" s="118"/>
      <c r="P146">
        <f t="shared" si="62"/>
        <v>526.45000000000005</v>
      </c>
      <c r="Q146" s="44">
        <f>E146+апр!I146</f>
        <v>382.5</v>
      </c>
      <c r="R146" s="30">
        <f>F146+апр!J146</f>
        <v>418.4</v>
      </c>
    </row>
    <row r="147" spans="1:18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">
        <v>47.905999999999999</v>
      </c>
      <c r="G147" s="10">
        <f t="shared" si="68"/>
        <v>-15.844000000000001</v>
      </c>
      <c r="H147" s="10">
        <f>D147+апр!H147</f>
        <v>421.15999999999997</v>
      </c>
      <c r="I147" s="8">
        <f>E147+апр!I147</f>
        <v>318.75</v>
      </c>
      <c r="J147" s="10">
        <f>F147+апр!J147</f>
        <v>199.39999999999998</v>
      </c>
      <c r="K147" s="10">
        <f t="shared" si="66"/>
        <v>-221.76</v>
      </c>
      <c r="L147" s="16">
        <f t="shared" si="61"/>
        <v>-52.654573083863617</v>
      </c>
      <c r="M147" s="94"/>
      <c r="N147" s="95"/>
      <c r="P147">
        <f t="shared" si="62"/>
        <v>421.15999999999997</v>
      </c>
      <c r="Q147" s="44">
        <f>E147+апр!I147</f>
        <v>318.75</v>
      </c>
      <c r="R147" s="30">
        <f>F147+апр!J147</f>
        <v>199.39999999999998</v>
      </c>
    </row>
    <row r="148" spans="1:18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">
        <v>22.681000000000001</v>
      </c>
      <c r="G148" s="10">
        <f t="shared" si="68"/>
        <v>1.4310000000000009</v>
      </c>
      <c r="H148" s="10">
        <f>D148+апр!H148</f>
        <v>0</v>
      </c>
      <c r="I148" s="8">
        <f>E148+апр!I148</f>
        <v>106.25</v>
      </c>
      <c r="J148" s="10">
        <f>F148+апр!J148</f>
        <v>92.013999999999996</v>
      </c>
      <c r="K148" s="10">
        <f t="shared" si="66"/>
        <v>92.013999999999996</v>
      </c>
      <c r="L148" s="16" t="e">
        <f t="shared" si="61"/>
        <v>#DIV/0!</v>
      </c>
      <c r="M148" s="94"/>
      <c r="N148" s="95"/>
      <c r="P148">
        <f t="shared" si="62"/>
        <v>0</v>
      </c>
      <c r="Q148" s="44">
        <f>E148+апр!I148</f>
        <v>106.25</v>
      </c>
      <c r="R148" s="30">
        <f>F148+апр!J148</f>
        <v>92.013999999999996</v>
      </c>
    </row>
    <row r="149" spans="1:18" ht="17.25" customHeight="1">
      <c r="A149" s="8"/>
      <c r="B149" s="9" t="s">
        <v>315</v>
      </c>
      <c r="C149" s="8" t="s">
        <v>4</v>
      </c>
      <c r="D149" s="10"/>
      <c r="E149" s="10"/>
      <c r="F149" s="10"/>
      <c r="G149" s="10">
        <f t="shared" si="68"/>
        <v>0</v>
      </c>
      <c r="H149" s="10">
        <f>D149+апр!H149</f>
        <v>0</v>
      </c>
      <c r="I149" s="8">
        <f>E149+апр!I149</f>
        <v>0</v>
      </c>
      <c r="J149" s="10">
        <f>F149+апр!J149</f>
        <v>211.14000000000004</v>
      </c>
      <c r="K149" s="10">
        <f t="shared" si="66"/>
        <v>211.14000000000004</v>
      </c>
      <c r="L149" s="16" t="e">
        <f t="shared" si="61"/>
        <v>#DIV/0!</v>
      </c>
      <c r="M149" s="94"/>
      <c r="N149" s="95"/>
      <c r="P149">
        <f t="shared" si="62"/>
        <v>0</v>
      </c>
      <c r="Q149" s="44">
        <f>E149+апр!I149</f>
        <v>0</v>
      </c>
      <c r="R149" s="30">
        <f>F149+апр!J149</f>
        <v>211.14000000000004</v>
      </c>
    </row>
    <row r="150" spans="1:18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">
        <v>146.50200000000001</v>
      </c>
      <c r="G150" s="10">
        <f t="shared" si="68"/>
        <v>68.919000000000011</v>
      </c>
      <c r="H150" s="10">
        <f>D150+апр!H150</f>
        <v>387.9</v>
      </c>
      <c r="I150" s="8">
        <f>E150+апр!I150</f>
        <v>387.91499999999996</v>
      </c>
      <c r="J150" s="10">
        <f>F150+апр!J150</f>
        <v>708.60699999999997</v>
      </c>
      <c r="K150" s="10">
        <f t="shared" si="66"/>
        <v>320.70699999999999</v>
      </c>
      <c r="L150" s="16">
        <f t="shared" si="61"/>
        <v>82.677751997937605</v>
      </c>
      <c r="M150" s="117" t="s">
        <v>301</v>
      </c>
      <c r="N150" s="118"/>
      <c r="P150">
        <f t="shared" si="62"/>
        <v>387.9</v>
      </c>
      <c r="Q150" s="44">
        <f>E150+апр!I150</f>
        <v>387.91499999999996</v>
      </c>
      <c r="R150" s="30">
        <f>F150+апр!J150</f>
        <v>708.60699999999997</v>
      </c>
    </row>
    <row r="151" spans="1:18" ht="17.25" customHeight="1">
      <c r="A151" s="92" t="s">
        <v>139</v>
      </c>
      <c r="B151" s="6" t="s">
        <v>140</v>
      </c>
      <c r="C151" s="92" t="s">
        <v>4</v>
      </c>
      <c r="D151" s="7">
        <f t="shared" ref="D151:F151" si="72">D152+D153</f>
        <v>239.149</v>
      </c>
      <c r="E151" s="92">
        <v>47.832999999999998</v>
      </c>
      <c r="F151" s="7">
        <f t="shared" si="72"/>
        <v>63.035000000000004</v>
      </c>
      <c r="G151" s="10">
        <f t="shared" si="68"/>
        <v>15.202000000000005</v>
      </c>
      <c r="H151" s="7">
        <f t="shared" ref="H151" si="73">H152+H153</f>
        <v>1195.7449999999999</v>
      </c>
      <c r="I151" s="8">
        <f>E151+апр!I151</f>
        <v>239.16499999999999</v>
      </c>
      <c r="J151" s="7">
        <f t="shared" ref="J151" si="74">J152+J153</f>
        <v>240.96600000000001</v>
      </c>
      <c r="K151" s="10">
        <f t="shared" si="66"/>
        <v>-954.77899999999988</v>
      </c>
      <c r="L151" s="16">
        <f t="shared" si="61"/>
        <v>-79.848044524543269</v>
      </c>
      <c r="M151" s="110"/>
      <c r="N151" s="111"/>
      <c r="P151">
        <f t="shared" si="62"/>
        <v>1195.7449999999999</v>
      </c>
      <c r="Q151" s="44">
        <f>E151+апр!I151</f>
        <v>239.16499999999999</v>
      </c>
      <c r="R151" s="30">
        <f>F151+апр!J151</f>
        <v>240.96600000000001</v>
      </c>
    </row>
    <row r="152" spans="1:18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">
        <v>51.06</v>
      </c>
      <c r="G152" s="10">
        <f t="shared" si="68"/>
        <v>51.06</v>
      </c>
      <c r="H152" s="10">
        <f>D152+апр!H152</f>
        <v>43.789999999999992</v>
      </c>
      <c r="I152" s="8"/>
      <c r="J152" s="10">
        <f>F152+апр!J152</f>
        <v>181.09</v>
      </c>
      <c r="K152" s="10">
        <f t="shared" si="66"/>
        <v>137.30000000000001</v>
      </c>
      <c r="L152" s="16">
        <f t="shared" si="61"/>
        <v>313.54190454441664</v>
      </c>
      <c r="M152" s="110"/>
      <c r="N152" s="111"/>
      <c r="P152">
        <f t="shared" si="62"/>
        <v>43.789999999999992</v>
      </c>
      <c r="Q152" s="44">
        <f>E152+апр!I152</f>
        <v>0</v>
      </c>
      <c r="R152" s="30">
        <f>F152+апр!J152</f>
        <v>181.09</v>
      </c>
    </row>
    <row r="153" spans="1:18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">
        <v>11.975</v>
      </c>
      <c r="G153" s="10">
        <f t="shared" si="68"/>
        <v>11.975</v>
      </c>
      <c r="H153" s="10">
        <f>D153+апр!H153</f>
        <v>1151.9549999999999</v>
      </c>
      <c r="I153" s="8"/>
      <c r="J153" s="10">
        <f>F153+апр!J153</f>
        <v>59.876000000000005</v>
      </c>
      <c r="K153" s="10">
        <f t="shared" si="66"/>
        <v>-1092.079</v>
      </c>
      <c r="L153" s="16">
        <f t="shared" si="61"/>
        <v>-94.802227517567957</v>
      </c>
      <c r="M153" s="110"/>
      <c r="N153" s="111"/>
      <c r="P153">
        <f t="shared" si="62"/>
        <v>1151.9549999999999</v>
      </c>
      <c r="Q153" s="44">
        <f>E153+апр!I153</f>
        <v>0</v>
      </c>
      <c r="R153" s="30">
        <f>F153+апр!J153</f>
        <v>59.876000000000005</v>
      </c>
    </row>
    <row r="154" spans="1:18" ht="75.75" customHeight="1">
      <c r="A154" s="92" t="s">
        <v>144</v>
      </c>
      <c r="B154" s="6" t="s">
        <v>145</v>
      </c>
      <c r="C154" s="92" t="s">
        <v>4</v>
      </c>
      <c r="D154" s="7">
        <f t="shared" ref="D154:J154" si="75">D155</f>
        <v>13.856</v>
      </c>
      <c r="E154" s="7">
        <f t="shared" si="75"/>
        <v>13.833</v>
      </c>
      <c r="F154" s="7">
        <f t="shared" si="75"/>
        <v>5.17</v>
      </c>
      <c r="G154" s="10">
        <f t="shared" si="68"/>
        <v>-8.6630000000000003</v>
      </c>
      <c r="H154" s="7">
        <f t="shared" si="75"/>
        <v>69.28</v>
      </c>
      <c r="I154" s="7">
        <f t="shared" si="75"/>
        <v>69.165000000000006</v>
      </c>
      <c r="J154" s="7">
        <f t="shared" si="75"/>
        <v>140.922</v>
      </c>
      <c r="K154" s="10">
        <f t="shared" si="66"/>
        <v>71.641999999999996</v>
      </c>
      <c r="L154" s="16">
        <f t="shared" si="61"/>
        <v>103.40935334872978</v>
      </c>
      <c r="M154" s="110"/>
      <c r="N154" s="111"/>
      <c r="P154">
        <f t="shared" si="62"/>
        <v>69.28</v>
      </c>
      <c r="Q154" s="44">
        <f>E154+апр!I154</f>
        <v>69.165000000000006</v>
      </c>
      <c r="R154" s="30">
        <f>F154+апр!J154</f>
        <v>140.922</v>
      </c>
    </row>
    <row r="155" spans="1:18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">
        <v>5.17</v>
      </c>
      <c r="G155" s="10">
        <f t="shared" si="68"/>
        <v>-8.6630000000000003</v>
      </c>
      <c r="H155" s="10">
        <f>D155+апр!H155</f>
        <v>69.28</v>
      </c>
      <c r="I155" s="8">
        <f>E155+апр!I155</f>
        <v>69.165000000000006</v>
      </c>
      <c r="J155" s="10">
        <f>F155+апр!J155</f>
        <v>140.922</v>
      </c>
      <c r="K155" s="10">
        <f t="shared" si="66"/>
        <v>71.641999999999996</v>
      </c>
      <c r="L155" s="16">
        <f t="shared" si="61"/>
        <v>103.40935334872978</v>
      </c>
      <c r="M155" s="110"/>
      <c r="N155" s="111"/>
      <c r="P155">
        <f t="shared" si="62"/>
        <v>69.28</v>
      </c>
      <c r="Q155" s="44">
        <f>E155+апр!I155</f>
        <v>69.165000000000006</v>
      </c>
      <c r="R155" s="30">
        <f>F155+апр!J155</f>
        <v>140.922</v>
      </c>
    </row>
    <row r="156" spans="1:18" ht="18" customHeight="1">
      <c r="A156" s="92" t="s">
        <v>148</v>
      </c>
      <c r="B156" s="6" t="s">
        <v>149</v>
      </c>
      <c r="C156" s="92" t="s">
        <v>4</v>
      </c>
      <c r="D156" s="27">
        <f t="shared" ref="D156" si="76">D157+D160+D163+D166+D169</f>
        <v>71.188999999999993</v>
      </c>
      <c r="E156" s="92">
        <v>72.417000000000002</v>
      </c>
      <c r="F156" s="27">
        <f>F157+F160+F163+F166+F169</f>
        <v>20.700999999999997</v>
      </c>
      <c r="G156" s="10">
        <f t="shared" si="68"/>
        <v>-51.716000000000008</v>
      </c>
      <c r="H156" s="27">
        <f t="shared" ref="H156" si="77">H157+H160+H163+H166+H169</f>
        <v>355.94499999999994</v>
      </c>
      <c r="I156" s="8">
        <f>E156+апр!I156</f>
        <v>362.08500000000004</v>
      </c>
      <c r="J156" s="27">
        <f>J157+J160+J163+J166+J169</f>
        <v>546.61900000000003</v>
      </c>
      <c r="K156" s="10">
        <f t="shared" si="66"/>
        <v>190.67400000000009</v>
      </c>
      <c r="L156" s="16">
        <f t="shared" si="61"/>
        <v>53.568388374608475</v>
      </c>
      <c r="M156" s="110"/>
      <c r="N156" s="111"/>
      <c r="P156">
        <f t="shared" si="62"/>
        <v>355.94499999999994</v>
      </c>
      <c r="Q156" s="44">
        <f>E156+апр!I156</f>
        <v>362.08500000000004</v>
      </c>
      <c r="R156" s="30">
        <f>F156+апр!J156</f>
        <v>546.61900000000003</v>
      </c>
    </row>
    <row r="157" spans="1:18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"/>
      <c r="G157" s="10">
        <f t="shared" si="68"/>
        <v>0</v>
      </c>
      <c r="H157" s="10">
        <f>D157+апр!H157</f>
        <v>245.14</v>
      </c>
      <c r="I157" s="8"/>
      <c r="J157" s="10">
        <f>F157+апр!J157</f>
        <v>483.976</v>
      </c>
      <c r="K157" s="10">
        <f t="shared" si="66"/>
        <v>238.83600000000001</v>
      </c>
      <c r="L157" s="16">
        <f t="shared" si="61"/>
        <v>97.428408256506486</v>
      </c>
      <c r="M157" s="110"/>
      <c r="N157" s="111"/>
      <c r="P157">
        <f t="shared" si="62"/>
        <v>245.14</v>
      </c>
      <c r="Q157" s="44">
        <f>E157+апр!I157</f>
        <v>0</v>
      </c>
      <c r="R157" s="30">
        <f>F157+апр!J157</f>
        <v>483.976</v>
      </c>
    </row>
    <row r="158" spans="1:18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/>
      <c r="G158" s="10">
        <f t="shared" si="68"/>
        <v>0</v>
      </c>
      <c r="H158" s="10">
        <f>D158+апр!H158</f>
        <v>65.72</v>
      </c>
      <c r="I158" s="8"/>
      <c r="J158" s="10">
        <f>F158+апр!J158</f>
        <v>81.87</v>
      </c>
      <c r="K158" s="10">
        <f t="shared" si="66"/>
        <v>16.150000000000006</v>
      </c>
      <c r="L158" s="16">
        <f t="shared" si="61"/>
        <v>24.57395009129641</v>
      </c>
      <c r="M158" s="117" t="s">
        <v>302</v>
      </c>
      <c r="N158" s="118"/>
      <c r="P158">
        <f t="shared" si="62"/>
        <v>65.72</v>
      </c>
      <c r="Q158" s="44">
        <f>E158+апр!I158</f>
        <v>0</v>
      </c>
      <c r="R158" s="30">
        <f>F158+апр!J158</f>
        <v>81.87</v>
      </c>
    </row>
    <row r="159" spans="1:18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 t="e">
        <f>F157/F158*1000</f>
        <v>#DIV/0!</v>
      </c>
      <c r="G159" s="10" t="e">
        <f t="shared" si="68"/>
        <v>#DIV/0!</v>
      </c>
      <c r="H159" s="16">
        <f>H157/H158*1000</f>
        <v>3730.0669506999393</v>
      </c>
      <c r="I159" s="8"/>
      <c r="J159" s="16">
        <f>J157/J158*1000</f>
        <v>5911.5182606571389</v>
      </c>
      <c r="K159" s="10">
        <f t="shared" si="66"/>
        <v>2181.4513099571996</v>
      </c>
      <c r="L159" s="16">
        <f t="shared" si="61"/>
        <v>58.482899604465672</v>
      </c>
      <c r="M159" s="110"/>
      <c r="N159" s="111"/>
      <c r="P159">
        <f t="shared" si="62"/>
        <v>18650.334753499697</v>
      </c>
      <c r="Q159" s="44">
        <f>E159+апр!I159</f>
        <v>0</v>
      </c>
      <c r="R159" s="30" t="e">
        <f>F159+апр!J159</f>
        <v>#DIV/0!</v>
      </c>
    </row>
    <row r="160" spans="1:18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68"/>
        <v>0</v>
      </c>
      <c r="H160" s="10">
        <f>D160+апр!H160</f>
        <v>4.6150000000000002</v>
      </c>
      <c r="I160" s="8"/>
      <c r="J160" s="10">
        <f>F160+апр!J160</f>
        <v>0</v>
      </c>
      <c r="K160" s="10">
        <f t="shared" si="66"/>
        <v>-4.6150000000000002</v>
      </c>
      <c r="L160" s="16">
        <f t="shared" si="61"/>
        <v>-100</v>
      </c>
      <c r="M160" s="110"/>
      <c r="N160" s="111"/>
      <c r="P160">
        <f t="shared" si="62"/>
        <v>4.6150000000000002</v>
      </c>
      <c r="Q160" s="44">
        <f>E160+апр!I160</f>
        <v>0</v>
      </c>
      <c r="R160" s="30">
        <f>F160+апр!J160</f>
        <v>0</v>
      </c>
    </row>
    <row r="161" spans="1:18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68"/>
        <v>0</v>
      </c>
      <c r="H161" s="10">
        <f>D161+апр!H161</f>
        <v>3.75</v>
      </c>
      <c r="I161" s="8"/>
      <c r="J161" s="10">
        <f>F161+апр!J161</f>
        <v>0</v>
      </c>
      <c r="K161" s="10">
        <f t="shared" si="66"/>
        <v>-3.75</v>
      </c>
      <c r="L161" s="16">
        <f t="shared" si="61"/>
        <v>-100</v>
      </c>
      <c r="M161" s="110"/>
      <c r="N161" s="111"/>
      <c r="P161">
        <f t="shared" si="62"/>
        <v>3.75</v>
      </c>
      <c r="Q161" s="44">
        <f>E161+апр!I161</f>
        <v>0</v>
      </c>
      <c r="R161" s="30">
        <f>F161+апр!J161</f>
        <v>0</v>
      </c>
    </row>
    <row r="162" spans="1:18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68"/>
        <v>0</v>
      </c>
      <c r="H162" s="16">
        <f>H160/H161*1000</f>
        <v>1230.6666666666667</v>
      </c>
      <c r="I162" s="8"/>
      <c r="J162" s="8"/>
      <c r="K162" s="10">
        <f t="shared" si="66"/>
        <v>-1230.6666666666667</v>
      </c>
      <c r="L162" s="16">
        <f t="shared" si="61"/>
        <v>-100</v>
      </c>
      <c r="M162" s="110"/>
      <c r="N162" s="111"/>
      <c r="P162">
        <f t="shared" si="62"/>
        <v>6153.3333333333339</v>
      </c>
      <c r="Q162" s="44">
        <f>E162+апр!I162</f>
        <v>0</v>
      </c>
      <c r="R162" s="30">
        <f>F162+апр!J162</f>
        <v>0</v>
      </c>
    </row>
    <row r="163" spans="1:18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">
        <v>2.625</v>
      </c>
      <c r="G163" s="10">
        <f t="shared" si="68"/>
        <v>2.625</v>
      </c>
      <c r="H163" s="10">
        <f>D163+апр!H163</f>
        <v>10.9</v>
      </c>
      <c r="I163" s="8"/>
      <c r="J163" s="10">
        <f>F163+апр!J163</f>
        <v>15.427999999999999</v>
      </c>
      <c r="K163" s="10">
        <f t="shared" si="66"/>
        <v>4.5279999999999987</v>
      </c>
      <c r="L163" s="16">
        <f t="shared" si="61"/>
        <v>41.541284403669721</v>
      </c>
      <c r="M163" s="110"/>
      <c r="N163" s="111"/>
      <c r="P163">
        <f t="shared" si="62"/>
        <v>10.9</v>
      </c>
      <c r="Q163" s="44">
        <f>E163+апр!I163</f>
        <v>0</v>
      </c>
      <c r="R163" s="30">
        <f>F163+апр!J163</f>
        <v>15.427999999999999</v>
      </c>
    </row>
    <row r="164" spans="1:18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/>
      <c r="G164" s="10">
        <f t="shared" si="68"/>
        <v>0</v>
      </c>
      <c r="H164" s="10">
        <f>D164+апр!H164</f>
        <v>100</v>
      </c>
      <c r="I164" s="8"/>
      <c r="J164" s="10">
        <f>F164+апр!J164</f>
        <v>99</v>
      </c>
      <c r="K164" s="10">
        <f t="shared" si="66"/>
        <v>-1</v>
      </c>
      <c r="L164" s="16">
        <f t="shared" si="61"/>
        <v>-1</v>
      </c>
      <c r="M164" s="110"/>
      <c r="N164" s="111"/>
      <c r="P164">
        <f t="shared" si="62"/>
        <v>100</v>
      </c>
      <c r="Q164" s="44">
        <f>E164+апр!I164</f>
        <v>0</v>
      </c>
      <c r="R164" s="30">
        <f>F164+апр!J164</f>
        <v>99</v>
      </c>
    </row>
    <row r="165" spans="1:18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 t="e">
        <f t="shared" ref="F165" si="78">F163/F164*1000</f>
        <v>#DIV/0!</v>
      </c>
      <c r="G165" s="10" t="e">
        <f t="shared" si="68"/>
        <v>#DIV/0!</v>
      </c>
      <c r="H165" s="16">
        <f>H163/H164*1000</f>
        <v>109</v>
      </c>
      <c r="I165" s="8"/>
      <c r="J165" s="16">
        <f t="shared" ref="J165" si="79">J163/J164*1000</f>
        <v>155.83838383838383</v>
      </c>
      <c r="K165" s="10">
        <f t="shared" si="66"/>
        <v>46.838383838383834</v>
      </c>
      <c r="L165" s="16">
        <f t="shared" si="61"/>
        <v>42.970994347141129</v>
      </c>
      <c r="M165" s="110"/>
      <c r="N165" s="111"/>
      <c r="P165">
        <f t="shared" si="62"/>
        <v>545.00000000000011</v>
      </c>
      <c r="Q165" s="44">
        <f>E165+апр!I165</f>
        <v>0</v>
      </c>
      <c r="R165" s="30" t="e">
        <f>F165+апр!J165</f>
        <v>#DIV/0!</v>
      </c>
    </row>
    <row r="166" spans="1:18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10">
        <v>16.649999999999999</v>
      </c>
      <c r="G166" s="10">
        <f t="shared" si="68"/>
        <v>16.649999999999999</v>
      </c>
      <c r="H166" s="10">
        <f>D166+апр!H166</f>
        <v>95.289999999999992</v>
      </c>
      <c r="I166" s="8"/>
      <c r="J166" s="10">
        <f>F166+апр!J166</f>
        <v>38.849999999999994</v>
      </c>
      <c r="K166" s="10">
        <f t="shared" si="66"/>
        <v>-56.44</v>
      </c>
      <c r="L166" s="16">
        <f t="shared" si="61"/>
        <v>-59.229719802707528</v>
      </c>
      <c r="M166" s="110"/>
      <c r="N166" s="111"/>
      <c r="P166">
        <f t="shared" si="62"/>
        <v>95.289999999999992</v>
      </c>
      <c r="Q166" s="44">
        <f>E166+апр!I166</f>
        <v>0</v>
      </c>
      <c r="R166" s="30">
        <f>F166+апр!J166</f>
        <v>38.849999999999994</v>
      </c>
    </row>
    <row r="167" spans="1:18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68"/>
        <v>0</v>
      </c>
      <c r="H167" s="10">
        <f>D167+апр!H167</f>
        <v>80</v>
      </c>
      <c r="I167" s="8"/>
      <c r="J167" s="10">
        <f>F167+апр!J167</f>
        <v>6</v>
      </c>
      <c r="K167" s="10">
        <f t="shared" si="66"/>
        <v>-74</v>
      </c>
      <c r="L167" s="16">
        <f t="shared" si="61"/>
        <v>-92.5</v>
      </c>
      <c r="M167" s="110"/>
      <c r="N167" s="111"/>
      <c r="P167">
        <f t="shared" si="62"/>
        <v>80</v>
      </c>
      <c r="Q167" s="44">
        <f>E167+апр!I167</f>
        <v>0</v>
      </c>
      <c r="R167" s="30">
        <f>F167+апр!J167</f>
        <v>6</v>
      </c>
    </row>
    <row r="168" spans="1:18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 t="e">
        <f>F166/F167*1000</f>
        <v>#DIV/0!</v>
      </c>
      <c r="G168" s="10" t="e">
        <f t="shared" si="68"/>
        <v>#DIV/0!</v>
      </c>
      <c r="H168" s="16">
        <f>H166/H167*1000</f>
        <v>1191.125</v>
      </c>
      <c r="I168" s="8"/>
      <c r="J168" s="16">
        <f>J166/J167*1000</f>
        <v>6474.9999999999991</v>
      </c>
      <c r="K168" s="10">
        <f t="shared" si="66"/>
        <v>5283.8749999999991</v>
      </c>
      <c r="L168" s="16">
        <f t="shared" si="61"/>
        <v>443.60373596389957</v>
      </c>
      <c r="M168" s="110"/>
      <c r="N168" s="111"/>
      <c r="P168">
        <f t="shared" si="62"/>
        <v>5955.625</v>
      </c>
      <c r="Q168" s="44">
        <f>E168+апр!I168</f>
        <v>0</v>
      </c>
      <c r="R168" s="30" t="e">
        <f>F168+апр!J168</f>
        <v>#DIV/0!</v>
      </c>
    </row>
    <row r="169" spans="1:18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">
        <v>1.4259999999999999</v>
      </c>
      <c r="G169" s="10">
        <f t="shared" si="68"/>
        <v>1.4259999999999999</v>
      </c>
      <c r="H169" s="10">
        <f>D169+апр!H169</f>
        <v>0</v>
      </c>
      <c r="I169" s="8"/>
      <c r="J169" s="10">
        <f>F169+апр!J169</f>
        <v>8.3650000000000002</v>
      </c>
      <c r="K169" s="10">
        <f t="shared" si="66"/>
        <v>8.3650000000000002</v>
      </c>
      <c r="L169" s="16" t="e">
        <f t="shared" si="61"/>
        <v>#DIV/0!</v>
      </c>
      <c r="M169" s="110"/>
      <c r="N169" s="111"/>
      <c r="P169">
        <f t="shared" si="62"/>
        <v>0</v>
      </c>
      <c r="Q169" s="44">
        <f>E169+апр!I169</f>
        <v>0</v>
      </c>
      <c r="R169" s="30">
        <f>F169+апр!J169</f>
        <v>8.3650000000000002</v>
      </c>
    </row>
    <row r="170" spans="1:18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/>
      <c r="G170" s="10">
        <f t="shared" si="68"/>
        <v>0</v>
      </c>
      <c r="H170" s="10">
        <f>D170+апр!H170</f>
        <v>0</v>
      </c>
      <c r="I170" s="8"/>
      <c r="J170" s="10">
        <f>F170+апр!J170</f>
        <v>99</v>
      </c>
      <c r="K170" s="10">
        <f t="shared" si="66"/>
        <v>99</v>
      </c>
      <c r="L170" s="16" t="e">
        <f t="shared" si="61"/>
        <v>#DIV/0!</v>
      </c>
      <c r="M170" s="110"/>
      <c r="N170" s="111"/>
      <c r="P170">
        <f t="shared" si="62"/>
        <v>0</v>
      </c>
      <c r="Q170" s="44">
        <f>E170+апр!I170</f>
        <v>0</v>
      </c>
      <c r="R170" s="30">
        <f>F170+апр!J170</f>
        <v>99</v>
      </c>
    </row>
    <row r="171" spans="1:18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 t="e">
        <f>F169/F170*1000</f>
        <v>#DIV/0!</v>
      </c>
      <c r="G171" s="10" t="e">
        <f t="shared" si="68"/>
        <v>#DIV/0!</v>
      </c>
      <c r="H171" s="16" t="e">
        <f>H169/H170*1000</f>
        <v>#DIV/0!</v>
      </c>
      <c r="I171" s="8"/>
      <c r="J171" s="16">
        <f>J169/J170*1000</f>
        <v>84.494949494949495</v>
      </c>
      <c r="K171" s="10" t="e">
        <f t="shared" si="66"/>
        <v>#DIV/0!</v>
      </c>
      <c r="L171" s="16" t="e">
        <f t="shared" si="61"/>
        <v>#DIV/0!</v>
      </c>
      <c r="M171" s="110"/>
      <c r="N171" s="111"/>
      <c r="P171" t="e">
        <f t="shared" si="62"/>
        <v>#DIV/0!</v>
      </c>
      <c r="Q171" s="44">
        <f>E171+апр!I171</f>
        <v>0</v>
      </c>
      <c r="R171" s="30" t="e">
        <f>F171+апр!J171</f>
        <v>#DIV/0!</v>
      </c>
    </row>
    <row r="172" spans="1:18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10">
        <f>F173+F174+F175</f>
        <v>33.67</v>
      </c>
      <c r="G172" s="10">
        <f t="shared" si="68"/>
        <v>-28.997</v>
      </c>
      <c r="H172" s="10">
        <f>D172+апр!H172</f>
        <v>313.52499999999998</v>
      </c>
      <c r="I172" s="8">
        <f>E172+апр!I172</f>
        <v>313.33500000000004</v>
      </c>
      <c r="J172" s="8">
        <f>J173+J174+J175</f>
        <v>294.221</v>
      </c>
      <c r="K172" s="10">
        <f t="shared" si="66"/>
        <v>-19.303999999999974</v>
      </c>
      <c r="L172" s="16">
        <f t="shared" si="61"/>
        <v>-6.1570847619806841</v>
      </c>
      <c r="M172" s="110"/>
      <c r="N172" s="111"/>
      <c r="P172">
        <f t="shared" si="62"/>
        <v>313.52499999999998</v>
      </c>
      <c r="Q172" s="44">
        <f>E172+апр!I172</f>
        <v>313.33500000000004</v>
      </c>
      <c r="R172" s="30">
        <f>F172+апр!J172</f>
        <v>294.22100000000006</v>
      </c>
    </row>
    <row r="173" spans="1:18" ht="17.25" customHeight="1">
      <c r="A173" s="16"/>
      <c r="B173" s="9" t="s">
        <v>221</v>
      </c>
      <c r="C173" s="8" t="s">
        <v>4</v>
      </c>
      <c r="D173" s="10"/>
      <c r="E173" s="8"/>
      <c r="F173" s="10">
        <v>33.67</v>
      </c>
      <c r="G173" s="10">
        <f t="shared" si="68"/>
        <v>33.67</v>
      </c>
      <c r="H173" s="10"/>
      <c r="I173" s="8"/>
      <c r="J173" s="10">
        <f>F173+апр!J173</f>
        <v>192.40000000000003</v>
      </c>
      <c r="K173" s="10">
        <f t="shared" si="66"/>
        <v>192.40000000000003</v>
      </c>
      <c r="L173" s="16" t="e">
        <f t="shared" si="61"/>
        <v>#DIV/0!</v>
      </c>
      <c r="M173" s="110"/>
      <c r="N173" s="111"/>
      <c r="P173">
        <f t="shared" si="62"/>
        <v>0</v>
      </c>
      <c r="Q173" s="44">
        <f>E173+апр!I173</f>
        <v>0</v>
      </c>
      <c r="R173" s="30">
        <f>F173+апр!J173</f>
        <v>192.40000000000003</v>
      </c>
    </row>
    <row r="174" spans="1:18" ht="37.5" customHeight="1">
      <c r="A174" s="16"/>
      <c r="B174" s="9" t="s">
        <v>222</v>
      </c>
      <c r="C174" s="8" t="s">
        <v>4</v>
      </c>
      <c r="D174" s="10"/>
      <c r="E174" s="8"/>
      <c r="F174" s="10"/>
      <c r="G174" s="10">
        <f t="shared" si="68"/>
        <v>0</v>
      </c>
      <c r="H174" s="10"/>
      <c r="I174" s="8"/>
      <c r="J174" s="10">
        <f>F174+апр!J174</f>
        <v>101.821</v>
      </c>
      <c r="K174" s="10">
        <f t="shared" si="66"/>
        <v>101.821</v>
      </c>
      <c r="L174" s="16" t="e">
        <f t="shared" si="61"/>
        <v>#DIV/0!</v>
      </c>
      <c r="M174" s="110"/>
      <c r="N174" s="111"/>
      <c r="P174">
        <f t="shared" si="62"/>
        <v>0</v>
      </c>
      <c r="Q174" s="44">
        <f>E174+апр!I174</f>
        <v>0</v>
      </c>
      <c r="R174" s="30">
        <f>F174+апр!J174</f>
        <v>101.821</v>
      </c>
    </row>
    <row r="175" spans="1:18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68"/>
        <v>0</v>
      </c>
      <c r="H175" s="10"/>
      <c r="I175" s="8"/>
      <c r="J175" s="10">
        <f>F175+апр!J175</f>
        <v>0</v>
      </c>
      <c r="K175" s="10">
        <f t="shared" si="66"/>
        <v>0</v>
      </c>
      <c r="L175" s="16" t="e">
        <f t="shared" si="61"/>
        <v>#DIV/0!</v>
      </c>
      <c r="M175" s="110"/>
      <c r="N175" s="111"/>
      <c r="P175">
        <f t="shared" si="62"/>
        <v>0</v>
      </c>
      <c r="Q175" s="44">
        <f>E175+апр!I175</f>
        <v>0</v>
      </c>
      <c r="R175" s="30">
        <f>F175+апр!J175</f>
        <v>0</v>
      </c>
    </row>
    <row r="176" spans="1:18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">
        <f>8.554+24.973+23.526+13.125+7.798</f>
        <v>77.975999999999999</v>
      </c>
      <c r="G176" s="10">
        <f t="shared" si="68"/>
        <v>13.058999999999997</v>
      </c>
      <c r="H176" s="10">
        <f>D176+апр!H176</f>
        <v>324.53000000000003</v>
      </c>
      <c r="I176" s="8">
        <f>E176+апр!I176</f>
        <v>324.58500000000004</v>
      </c>
      <c r="J176" s="10">
        <f>F176+апр!J176</f>
        <v>383.49299999999999</v>
      </c>
      <c r="K176" s="10">
        <f t="shared" si="66"/>
        <v>58.962999999999965</v>
      </c>
      <c r="L176" s="16">
        <f t="shared" si="61"/>
        <v>18.168736326379673</v>
      </c>
      <c r="M176" s="110"/>
      <c r="N176" s="111"/>
      <c r="P176">
        <f t="shared" si="62"/>
        <v>324.53000000000003</v>
      </c>
      <c r="Q176" s="44">
        <f>E176+апр!I176</f>
        <v>324.58500000000004</v>
      </c>
      <c r="R176" s="30">
        <f>F176+апр!J176</f>
        <v>383.49299999999999</v>
      </c>
    </row>
    <row r="177" spans="1:18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68"/>
        <v>0</v>
      </c>
      <c r="H177" s="10">
        <f>H178</f>
        <v>11.165000000000001</v>
      </c>
      <c r="I177" s="8"/>
      <c r="J177" s="8"/>
      <c r="K177" s="10">
        <f t="shared" si="66"/>
        <v>-11.165000000000001</v>
      </c>
      <c r="L177" s="16">
        <f t="shared" si="61"/>
        <v>-100</v>
      </c>
      <c r="M177" s="110"/>
      <c r="N177" s="111"/>
      <c r="P177">
        <f t="shared" si="62"/>
        <v>11.165000000000001</v>
      </c>
      <c r="Q177" s="44">
        <f>E177+апр!I177</f>
        <v>0</v>
      </c>
      <c r="R177" s="30">
        <f>F177+апр!J177</f>
        <v>0</v>
      </c>
    </row>
    <row r="178" spans="1:18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68"/>
        <v>0</v>
      </c>
      <c r="H178" s="10">
        <f>D178+апр!H178</f>
        <v>11.165000000000001</v>
      </c>
      <c r="I178" s="8"/>
      <c r="J178" s="10">
        <f>F178+апр!J178</f>
        <v>0</v>
      </c>
      <c r="K178" s="10">
        <f t="shared" si="66"/>
        <v>-11.165000000000001</v>
      </c>
      <c r="L178" s="16">
        <f t="shared" si="61"/>
        <v>-100</v>
      </c>
      <c r="M178" s="90"/>
      <c r="N178" s="91"/>
      <c r="P178">
        <f t="shared" si="62"/>
        <v>11.165000000000001</v>
      </c>
      <c r="Q178" s="44">
        <f>E178+апр!I178</f>
        <v>0</v>
      </c>
      <c r="R178" s="30">
        <f>F178+апр!J178</f>
        <v>0</v>
      </c>
    </row>
    <row r="179" spans="1:18" ht="17.25" customHeight="1">
      <c r="A179" s="16" t="s">
        <v>164</v>
      </c>
      <c r="B179" s="6" t="s">
        <v>169</v>
      </c>
      <c r="C179" s="92" t="s">
        <v>4</v>
      </c>
      <c r="D179" s="7">
        <f t="shared" ref="D179:F179" si="80">D180+D181+D182</f>
        <v>318.99799999999999</v>
      </c>
      <c r="E179" s="7">
        <f t="shared" si="80"/>
        <v>637.41600000000005</v>
      </c>
      <c r="F179" s="7">
        <f t="shared" si="80"/>
        <v>1726.258</v>
      </c>
      <c r="G179" s="10">
        <f t="shared" si="68"/>
        <v>1088.8420000000001</v>
      </c>
      <c r="H179" s="7">
        <f t="shared" ref="H179:J179" si="81">H180+H181+H182</f>
        <v>1594.9899999999998</v>
      </c>
      <c r="I179" s="7">
        <f t="shared" si="81"/>
        <v>3187.08</v>
      </c>
      <c r="J179" s="7">
        <f t="shared" si="81"/>
        <v>1726.258</v>
      </c>
      <c r="K179" s="10">
        <f t="shared" si="66"/>
        <v>131.26800000000026</v>
      </c>
      <c r="L179" s="16">
        <f t="shared" si="61"/>
        <v>8.2300202509106839</v>
      </c>
      <c r="M179" s="110"/>
      <c r="N179" s="111"/>
      <c r="P179">
        <f t="shared" si="62"/>
        <v>1594.99</v>
      </c>
      <c r="Q179" s="44">
        <f>E179+апр!I179</f>
        <v>3187.0800000000004</v>
      </c>
      <c r="R179" s="30">
        <f>F179+апр!J179</f>
        <v>1726.258</v>
      </c>
    </row>
    <row r="180" spans="1:18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68"/>
        <v>-61.332999999999998</v>
      </c>
      <c r="H180" s="10">
        <f>D180+апр!H180</f>
        <v>306.46499999999997</v>
      </c>
      <c r="I180" s="8">
        <f>E180+апр!I180</f>
        <v>306.66499999999996</v>
      </c>
      <c r="J180" s="10">
        <f>F180+апр!J180</f>
        <v>0</v>
      </c>
      <c r="K180" s="10">
        <f t="shared" si="66"/>
        <v>-306.46499999999997</v>
      </c>
      <c r="L180" s="16">
        <f t="shared" si="61"/>
        <v>-100</v>
      </c>
      <c r="M180" s="110"/>
      <c r="N180" s="111"/>
      <c r="P180">
        <f t="shared" si="62"/>
        <v>306.46499999999997</v>
      </c>
      <c r="Q180" s="44">
        <f>E180+апр!I180</f>
        <v>306.66499999999996</v>
      </c>
      <c r="R180" s="30">
        <f>F180+апр!J180</f>
        <v>0</v>
      </c>
    </row>
    <row r="181" spans="1:18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>
        <v>1454.7470000000001</v>
      </c>
      <c r="G181" s="10">
        <f t="shared" si="68"/>
        <v>967.91399999999999</v>
      </c>
      <c r="H181" s="10">
        <f>D181+апр!H181</f>
        <v>842.38499999999999</v>
      </c>
      <c r="I181" s="8">
        <f>E181+апр!I181</f>
        <v>2434.165</v>
      </c>
      <c r="J181" s="10">
        <f>F181+апр!J181</f>
        <v>1454.7470000000001</v>
      </c>
      <c r="K181" s="10">
        <f t="shared" si="66"/>
        <v>612.36200000000008</v>
      </c>
      <c r="L181" s="16">
        <f t="shared" si="61"/>
        <v>72.693839515186056</v>
      </c>
      <c r="M181" s="117" t="s">
        <v>300</v>
      </c>
      <c r="N181" s="118"/>
      <c r="P181">
        <f t="shared" si="62"/>
        <v>842.38499999999999</v>
      </c>
      <c r="Q181" s="44">
        <f>E181+апр!I181</f>
        <v>2434.165</v>
      </c>
      <c r="R181" s="30">
        <f>F181+апр!J181</f>
        <v>1454.7470000000001</v>
      </c>
    </row>
    <row r="182" spans="1:18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>
        <v>271.51100000000002</v>
      </c>
      <c r="G182" s="10">
        <f t="shared" si="68"/>
        <v>182.26100000000002</v>
      </c>
      <c r="H182" s="10">
        <f>D182+апр!H182</f>
        <v>446.14</v>
      </c>
      <c r="I182" s="8">
        <f>E182+апр!I182</f>
        <v>446.25</v>
      </c>
      <c r="J182" s="10">
        <f>F182+апр!J182</f>
        <v>271.51100000000002</v>
      </c>
      <c r="K182" s="10">
        <f t="shared" si="66"/>
        <v>-174.62899999999996</v>
      </c>
      <c r="L182" s="16">
        <f t="shared" si="61"/>
        <v>-39.142197516474639</v>
      </c>
      <c r="M182" s="117" t="s">
        <v>300</v>
      </c>
      <c r="N182" s="118"/>
      <c r="P182">
        <f t="shared" si="62"/>
        <v>446.14</v>
      </c>
      <c r="Q182" s="44">
        <f>E182+апр!I182</f>
        <v>446.25</v>
      </c>
      <c r="R182" s="30">
        <f>F182+апр!J182</f>
        <v>271.51100000000002</v>
      </c>
    </row>
    <row r="183" spans="1:18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">
        <v>101.556</v>
      </c>
      <c r="G183" s="10">
        <f t="shared" si="68"/>
        <v>8.3889999999999958</v>
      </c>
      <c r="H183" s="10">
        <f>D183+апр!H183</f>
        <v>478.54500000000002</v>
      </c>
      <c r="I183" s="8">
        <f>E183+апр!I183</f>
        <v>465.83500000000004</v>
      </c>
      <c r="J183" s="10">
        <f>F183+апр!J183</f>
        <v>416.23</v>
      </c>
      <c r="K183" s="10">
        <f t="shared" si="66"/>
        <v>-62.314999999999998</v>
      </c>
      <c r="L183" s="16">
        <f t="shared" si="61"/>
        <v>-13.021763888453535</v>
      </c>
      <c r="M183" s="112" t="s">
        <v>303</v>
      </c>
      <c r="N183" s="113"/>
      <c r="P183">
        <f t="shared" si="62"/>
        <v>478.54500000000002</v>
      </c>
      <c r="Q183" s="44">
        <f>E183+апр!I183</f>
        <v>465.83500000000004</v>
      </c>
      <c r="R183" s="30">
        <f>F183+апр!J183</f>
        <v>416.23</v>
      </c>
    </row>
    <row r="184" spans="1:18" ht="33" customHeight="1">
      <c r="A184" s="92" t="s">
        <v>173</v>
      </c>
      <c r="B184" s="6" t="s">
        <v>176</v>
      </c>
      <c r="C184" s="92" t="s">
        <v>4</v>
      </c>
      <c r="D184" s="7">
        <f t="shared" ref="D184:F184" si="82">D185+D186+D187</f>
        <v>50.518000000000001</v>
      </c>
      <c r="E184" s="7">
        <v>50.5</v>
      </c>
      <c r="F184" s="7">
        <f t="shared" si="82"/>
        <v>0</v>
      </c>
      <c r="G184" s="10">
        <f t="shared" si="68"/>
        <v>-50.5</v>
      </c>
      <c r="H184" s="7">
        <f t="shared" ref="H184" si="83">H185+H186+H187</f>
        <v>252.59</v>
      </c>
      <c r="I184" s="8">
        <f>E184+апр!I184</f>
        <v>252.5</v>
      </c>
      <c r="J184" s="7">
        <f t="shared" ref="J184" si="84">J185+J186+J187</f>
        <v>0</v>
      </c>
      <c r="K184" s="10">
        <f t="shared" si="66"/>
        <v>-252.59</v>
      </c>
      <c r="L184" s="16">
        <f t="shared" si="61"/>
        <v>-100</v>
      </c>
      <c r="M184" s="119" t="s">
        <v>293</v>
      </c>
      <c r="N184" s="120"/>
      <c r="O184" s="7">
        <f t="shared" ref="O184" si="85">O185+O186+O187</f>
        <v>343.50800000000004</v>
      </c>
      <c r="P184">
        <f t="shared" si="62"/>
        <v>252.59</v>
      </c>
      <c r="Q184" s="44">
        <f>E184+апр!I184</f>
        <v>252.5</v>
      </c>
      <c r="R184" s="30">
        <f>F184+апр!J184</f>
        <v>0</v>
      </c>
    </row>
    <row r="185" spans="1:18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10"/>
      <c r="G185" s="10">
        <f t="shared" si="68"/>
        <v>0</v>
      </c>
      <c r="H185" s="10">
        <f>D185+апр!H185</f>
        <v>96.27000000000001</v>
      </c>
      <c r="I185" s="8">
        <f>E185+апр!I185</f>
        <v>0</v>
      </c>
      <c r="J185" s="10">
        <f>F185+апр!J185</f>
        <v>0</v>
      </c>
      <c r="K185" s="10">
        <f t="shared" si="66"/>
        <v>-96.27000000000001</v>
      </c>
      <c r="L185" s="16">
        <f t="shared" si="61"/>
        <v>-100</v>
      </c>
      <c r="M185" s="110"/>
      <c r="N185" s="111"/>
      <c r="O185" s="10">
        <v>130.12</v>
      </c>
      <c r="P185">
        <f t="shared" si="62"/>
        <v>96.27000000000001</v>
      </c>
      <c r="Q185" s="44">
        <f>E185+апр!I185</f>
        <v>0</v>
      </c>
      <c r="R185" s="30">
        <f>F185+апр!J185</f>
        <v>0</v>
      </c>
    </row>
    <row r="186" spans="1:18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68"/>
        <v>0</v>
      </c>
      <c r="H186" s="10">
        <f>D186+апр!H186</f>
        <v>43.819999999999993</v>
      </c>
      <c r="I186" s="8">
        <f>E186+апр!I186</f>
        <v>0</v>
      </c>
      <c r="J186" s="10">
        <f>F186+апр!J186</f>
        <v>0</v>
      </c>
      <c r="K186" s="10">
        <f t="shared" si="66"/>
        <v>-43.819999999999993</v>
      </c>
      <c r="L186" s="16">
        <f t="shared" si="61"/>
        <v>-100</v>
      </c>
      <c r="M186" s="110"/>
      <c r="N186" s="111"/>
      <c r="O186" s="8">
        <v>15.369</v>
      </c>
      <c r="P186">
        <f t="shared" si="62"/>
        <v>43.819999999999993</v>
      </c>
      <c r="Q186" s="44">
        <f>E186+апр!I186</f>
        <v>0</v>
      </c>
      <c r="R186" s="30">
        <f>F186+апр!J186</f>
        <v>0</v>
      </c>
    </row>
    <row r="187" spans="1:18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68"/>
        <v>0</v>
      </c>
      <c r="H187" s="10">
        <f>D187+апр!H187</f>
        <v>112.5</v>
      </c>
      <c r="I187" s="8">
        <f>E187+апр!I187</f>
        <v>0</v>
      </c>
      <c r="J187" s="10">
        <f>F187+апр!J187</f>
        <v>0</v>
      </c>
      <c r="K187" s="10">
        <f t="shared" si="66"/>
        <v>-112.5</v>
      </c>
      <c r="L187" s="16">
        <f t="shared" si="61"/>
        <v>-100</v>
      </c>
      <c r="M187" s="110"/>
      <c r="N187" s="111"/>
      <c r="O187" s="8">
        <v>198.01900000000001</v>
      </c>
      <c r="P187">
        <f t="shared" si="62"/>
        <v>112.5</v>
      </c>
      <c r="Q187" s="44">
        <f>E187+апр!I187</f>
        <v>0</v>
      </c>
      <c r="R187" s="30">
        <f>F187+апр!J187</f>
        <v>0</v>
      </c>
    </row>
    <row r="188" spans="1:18" ht="17.25" customHeight="1">
      <c r="A188" s="92" t="s">
        <v>175</v>
      </c>
      <c r="B188" s="6" t="s">
        <v>180</v>
      </c>
      <c r="C188" s="92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22.009</v>
      </c>
      <c r="G188" s="10">
        <f t="shared" si="68"/>
        <v>-171.40699999999998</v>
      </c>
      <c r="H188" s="7">
        <f>H189+H190+H191+H192+H197+H198+H199+H200+H204</f>
        <v>933.92000000000019</v>
      </c>
      <c r="I188" s="7">
        <f>I189+I190+I191+I192+I197+I198+I199+I200+I204</f>
        <v>967.07999999999993</v>
      </c>
      <c r="J188" s="7">
        <f>J189+J190+J191+J192+J197+J198+J199+J200+J204</f>
        <v>447.32400000000007</v>
      </c>
      <c r="K188" s="10">
        <f t="shared" si="66"/>
        <v>-486.59600000000012</v>
      </c>
      <c r="L188" s="16">
        <f t="shared" si="61"/>
        <v>-52.102535549083434</v>
      </c>
      <c r="M188" s="116"/>
      <c r="N188" s="111"/>
      <c r="P188">
        <f t="shared" si="62"/>
        <v>933.9200000000003</v>
      </c>
      <c r="Q188" s="44">
        <f>E188+апр!I188</f>
        <v>967.07999999999993</v>
      </c>
      <c r="R188" s="30">
        <f>F188+апр!J188</f>
        <v>447.32400000000001</v>
      </c>
    </row>
    <row r="189" spans="1:18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68"/>
        <v>0</v>
      </c>
      <c r="H189" s="10">
        <f>D189+апр!H189</f>
        <v>0</v>
      </c>
      <c r="I189" s="8">
        <f>E189+апр!I189</f>
        <v>0</v>
      </c>
      <c r="J189" s="10">
        <f>F189+апр!J189</f>
        <v>0</v>
      </c>
      <c r="K189" s="10">
        <f t="shared" si="66"/>
        <v>0</v>
      </c>
      <c r="L189" s="16" t="e">
        <f t="shared" si="61"/>
        <v>#DIV/0!</v>
      </c>
      <c r="M189" s="110"/>
      <c r="N189" s="111"/>
      <c r="P189">
        <f t="shared" si="62"/>
        <v>0</v>
      </c>
      <c r="Q189" s="44">
        <f>E189+апр!I189</f>
        <v>0</v>
      </c>
      <c r="R189" s="30">
        <f>F189+апр!J189</f>
        <v>0</v>
      </c>
    </row>
    <row r="190" spans="1:18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">
        <v>21.152000000000001</v>
      </c>
      <c r="G190" s="10">
        <f t="shared" si="68"/>
        <v>-1.097999999999999</v>
      </c>
      <c r="H190" s="10">
        <f>D190+апр!H190</f>
        <v>78.254999999999995</v>
      </c>
      <c r="I190" s="8">
        <f>E190+апр!I190</f>
        <v>111.25</v>
      </c>
      <c r="J190" s="10">
        <f>F190+апр!J190</f>
        <v>152.50700000000001</v>
      </c>
      <c r="K190" s="10">
        <f t="shared" si="66"/>
        <v>74.25200000000001</v>
      </c>
      <c r="L190" s="16">
        <f t="shared" si="61"/>
        <v>94.884671905948522</v>
      </c>
      <c r="M190" s="110"/>
      <c r="N190" s="111"/>
      <c r="P190">
        <f t="shared" si="62"/>
        <v>78.254999999999995</v>
      </c>
      <c r="Q190" s="44">
        <f>E190+апр!I190</f>
        <v>111.25</v>
      </c>
      <c r="R190" s="30">
        <f>F190+апр!J190</f>
        <v>152.50700000000001</v>
      </c>
    </row>
    <row r="191" spans="1:18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10">
        <v>0.5</v>
      </c>
      <c r="G191" s="10">
        <f t="shared" si="68"/>
        <v>-1</v>
      </c>
      <c r="H191" s="10">
        <f>D191+апр!H191</f>
        <v>7.4550000000000001</v>
      </c>
      <c r="I191" s="8">
        <f>E191+апр!I191</f>
        <v>7.5</v>
      </c>
      <c r="J191" s="10">
        <f>F191+апр!J191</f>
        <v>9.59</v>
      </c>
      <c r="K191" s="10">
        <f t="shared" si="66"/>
        <v>2.1349999999999998</v>
      </c>
      <c r="L191" s="16">
        <f t="shared" si="61"/>
        <v>28.638497652582146</v>
      </c>
      <c r="M191" s="110"/>
      <c r="N191" s="111"/>
      <c r="P191">
        <f t="shared" si="62"/>
        <v>7.4550000000000001</v>
      </c>
      <c r="Q191" s="44">
        <f>E191+апр!I191</f>
        <v>7.5</v>
      </c>
      <c r="R191" s="30">
        <f>F191+апр!J191</f>
        <v>9.59</v>
      </c>
    </row>
    <row r="192" spans="1:18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86">D193+D194+D195+D196</f>
        <v>149.55900000000003</v>
      </c>
      <c r="E192" s="10">
        <f t="shared" si="86"/>
        <v>149.583</v>
      </c>
      <c r="F192" s="10">
        <f t="shared" si="86"/>
        <v>0</v>
      </c>
      <c r="G192" s="10">
        <f t="shared" si="68"/>
        <v>-149.583</v>
      </c>
      <c r="H192" s="10">
        <f t="shared" ref="H192:J192" si="87">H193+H194+H195+H196</f>
        <v>747.79500000000007</v>
      </c>
      <c r="I192" s="10">
        <f t="shared" si="87"/>
        <v>747.91499999999996</v>
      </c>
      <c r="J192" s="10">
        <f t="shared" si="87"/>
        <v>274.28100000000001</v>
      </c>
      <c r="K192" s="10">
        <f t="shared" si="66"/>
        <v>-473.51400000000007</v>
      </c>
      <c r="L192" s="16">
        <f t="shared" si="61"/>
        <v>-63.3213648125489</v>
      </c>
      <c r="M192" s="110"/>
      <c r="N192" s="111"/>
      <c r="P192">
        <f t="shared" si="62"/>
        <v>747.79500000000007</v>
      </c>
      <c r="Q192" s="44">
        <f>E192+апр!I192</f>
        <v>747.91499999999996</v>
      </c>
      <c r="R192" s="30">
        <f>F192+апр!J192</f>
        <v>274.28100000000001</v>
      </c>
    </row>
    <row r="193" spans="1:18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"/>
      <c r="G193" s="10">
        <f t="shared" si="68"/>
        <v>-33.332999999999998</v>
      </c>
      <c r="H193" s="10">
        <f>D193+апр!H193</f>
        <v>166.82</v>
      </c>
      <c r="I193" s="8">
        <f>E193+апр!I193</f>
        <v>166.66499999999999</v>
      </c>
      <c r="J193" s="10">
        <f>F193+апр!J193</f>
        <v>189.47499999999999</v>
      </c>
      <c r="K193" s="10">
        <f t="shared" si="66"/>
        <v>22.655000000000001</v>
      </c>
      <c r="L193" s="16">
        <f t="shared" si="61"/>
        <v>13.580505934540227</v>
      </c>
      <c r="M193" s="110"/>
      <c r="N193" s="111"/>
      <c r="P193">
        <f t="shared" si="62"/>
        <v>166.82</v>
      </c>
      <c r="Q193" s="44">
        <f>E193+апр!I193</f>
        <v>166.66499999999999</v>
      </c>
      <c r="R193" s="30">
        <f>F193+апр!J193</f>
        <v>189.47499999999999</v>
      </c>
    </row>
    <row r="194" spans="1:18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68"/>
        <v>-89.832999999999998</v>
      </c>
      <c r="H194" s="10">
        <f>D194+апр!H194</f>
        <v>448.96000000000004</v>
      </c>
      <c r="I194" s="8">
        <f>E194+апр!I194</f>
        <v>449.16499999999996</v>
      </c>
      <c r="J194" s="10">
        <f>F194+апр!J194</f>
        <v>0</v>
      </c>
      <c r="K194" s="10">
        <f t="shared" si="66"/>
        <v>-448.96000000000004</v>
      </c>
      <c r="L194" s="16">
        <f t="shared" si="61"/>
        <v>-100</v>
      </c>
      <c r="M194" s="110"/>
      <c r="N194" s="111"/>
      <c r="P194">
        <f t="shared" si="62"/>
        <v>448.96000000000004</v>
      </c>
      <c r="Q194" s="44">
        <f>E194+апр!I194</f>
        <v>449.16499999999996</v>
      </c>
      <c r="R194" s="30">
        <f>F194+апр!J194</f>
        <v>0</v>
      </c>
    </row>
    <row r="195" spans="1:18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68"/>
        <v>-8</v>
      </c>
      <c r="H195" s="10">
        <f>D195+апр!H195</f>
        <v>39.83</v>
      </c>
      <c r="I195" s="8">
        <f>E195+апр!I195</f>
        <v>40</v>
      </c>
      <c r="J195" s="10">
        <f>F195+апр!J195</f>
        <v>15.260999999999999</v>
      </c>
      <c r="K195" s="10">
        <f t="shared" si="66"/>
        <v>-24.568999999999999</v>
      </c>
      <c r="L195" s="16">
        <f t="shared" si="61"/>
        <v>-61.684659804167715</v>
      </c>
      <c r="M195" s="110"/>
      <c r="N195" s="111"/>
      <c r="P195">
        <f t="shared" si="62"/>
        <v>39.83</v>
      </c>
      <c r="Q195" s="44">
        <f>E195+апр!I195</f>
        <v>40</v>
      </c>
      <c r="R195" s="30">
        <f>F195+апр!J195</f>
        <v>15.260999999999999</v>
      </c>
    </row>
    <row r="196" spans="1:18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"/>
      <c r="G196" s="10">
        <f t="shared" si="68"/>
        <v>-18.417000000000002</v>
      </c>
      <c r="H196" s="10">
        <f>D196+апр!H196</f>
        <v>92.185000000000002</v>
      </c>
      <c r="I196" s="8">
        <f>E196+апр!I196</f>
        <v>92.085000000000008</v>
      </c>
      <c r="J196" s="10">
        <f>F196+апр!J196</f>
        <v>69.545000000000002</v>
      </c>
      <c r="K196" s="10">
        <f t="shared" si="66"/>
        <v>-22.64</v>
      </c>
      <c r="L196" s="16">
        <f t="shared" si="61"/>
        <v>-24.559310082985292</v>
      </c>
      <c r="M196" s="110"/>
      <c r="N196" s="111"/>
      <c r="P196">
        <f t="shared" si="62"/>
        <v>92.185000000000002</v>
      </c>
      <c r="Q196" s="44">
        <f>E196+апр!I196</f>
        <v>92.085000000000008</v>
      </c>
      <c r="R196" s="30">
        <f>F196+апр!J196</f>
        <v>69.545000000000002</v>
      </c>
    </row>
    <row r="197" spans="1:18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68"/>
        <v>-15.833</v>
      </c>
      <c r="H197" s="10">
        <f>D197+апр!H197</f>
        <v>79.09</v>
      </c>
      <c r="I197" s="8">
        <f>E197+апр!I197</f>
        <v>79.165000000000006</v>
      </c>
      <c r="J197" s="10">
        <f>F197+апр!J197</f>
        <v>0</v>
      </c>
      <c r="K197" s="10">
        <f t="shared" si="66"/>
        <v>-79.09</v>
      </c>
      <c r="L197" s="16">
        <f t="shared" si="61"/>
        <v>-100</v>
      </c>
      <c r="M197" s="110"/>
      <c r="N197" s="111"/>
      <c r="P197">
        <f t="shared" si="62"/>
        <v>79.09</v>
      </c>
      <c r="Q197" s="44">
        <f>E197+апр!I197</f>
        <v>79.165000000000006</v>
      </c>
      <c r="R197" s="30">
        <f>F197+апр!J197</f>
        <v>0</v>
      </c>
    </row>
    <row r="198" spans="1:18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68"/>
        <v>-0.33300000000000002</v>
      </c>
      <c r="H198" s="10">
        <f>D198+апр!H198</f>
        <v>1.7100000000000002</v>
      </c>
      <c r="I198" s="8">
        <f>E198+апр!I198</f>
        <v>1.665</v>
      </c>
      <c r="J198" s="10">
        <f>F198+апр!J198</f>
        <v>0</v>
      </c>
      <c r="K198" s="10">
        <f t="shared" si="66"/>
        <v>-1.7100000000000002</v>
      </c>
      <c r="L198" s="16">
        <f t="shared" si="61"/>
        <v>-100</v>
      </c>
      <c r="M198" s="110"/>
      <c r="N198" s="111"/>
      <c r="P198">
        <f t="shared" si="62"/>
        <v>1.7100000000000002</v>
      </c>
      <c r="Q198" s="44">
        <f>E198+апр!I198</f>
        <v>1.665</v>
      </c>
      <c r="R198" s="30">
        <f>F198+апр!J198</f>
        <v>0</v>
      </c>
    </row>
    <row r="199" spans="1:18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68"/>
        <v>0</v>
      </c>
      <c r="H199" s="10">
        <f>D199+апр!H199</f>
        <v>0</v>
      </c>
      <c r="I199" s="8">
        <f>E199+апр!I199</f>
        <v>0</v>
      </c>
      <c r="J199" s="10">
        <f>F199+апр!J199</f>
        <v>0</v>
      </c>
      <c r="K199" s="10">
        <f t="shared" si="66"/>
        <v>0</v>
      </c>
      <c r="L199" s="16" t="e">
        <f t="shared" si="61"/>
        <v>#DIV/0!</v>
      </c>
      <c r="M199" s="110"/>
      <c r="N199" s="111"/>
      <c r="P199">
        <f t="shared" si="62"/>
        <v>0</v>
      </c>
      <c r="Q199" s="44">
        <f>E199+апр!I199</f>
        <v>0</v>
      </c>
      <c r="R199" s="30">
        <f>F199+апр!J199</f>
        <v>0</v>
      </c>
    </row>
    <row r="200" spans="1:18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10">
        <v>0.35699999999999998</v>
      </c>
      <c r="G200" s="10">
        <f t="shared" si="68"/>
        <v>-3.5599999999999996</v>
      </c>
      <c r="H200" s="10">
        <f>D200+апр!H200</f>
        <v>19.615000000000002</v>
      </c>
      <c r="I200" s="8">
        <f>E200+апр!I200</f>
        <v>19.585000000000001</v>
      </c>
      <c r="J200" s="10">
        <f>F200+апр!J200</f>
        <v>10.946</v>
      </c>
      <c r="K200" s="10">
        <f t="shared" si="66"/>
        <v>-8.6690000000000023</v>
      </c>
      <c r="L200" s="16">
        <f t="shared" si="61"/>
        <v>-44.195768544481275</v>
      </c>
      <c r="M200" s="112" t="s">
        <v>289</v>
      </c>
      <c r="N200" s="113"/>
      <c r="P200">
        <f t="shared" si="62"/>
        <v>19.615000000000002</v>
      </c>
      <c r="Q200" s="44">
        <f>E200+апр!I200</f>
        <v>19.585000000000001</v>
      </c>
      <c r="R200" s="30">
        <f>F200+апр!J200</f>
        <v>10.946</v>
      </c>
    </row>
    <row r="201" spans="1:18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68"/>
        <v>0</v>
      </c>
      <c r="H201" s="10">
        <f>D201+апр!H201</f>
        <v>0</v>
      </c>
      <c r="I201" s="8">
        <f>E201+апр!I201</f>
        <v>0</v>
      </c>
      <c r="J201" s="10">
        <f>F201+апр!J201</f>
        <v>0</v>
      </c>
      <c r="K201" s="10">
        <f t="shared" si="66"/>
        <v>0</v>
      </c>
      <c r="L201" s="16" t="e">
        <f t="shared" ref="L201:L213" si="88">J201/H201*100-100</f>
        <v>#DIV/0!</v>
      </c>
      <c r="M201" s="112" t="s">
        <v>290</v>
      </c>
      <c r="N201" s="113"/>
      <c r="P201">
        <f t="shared" ref="P201:P218" si="89">D201*5</f>
        <v>0</v>
      </c>
      <c r="Q201" s="44">
        <f>E201+апр!I201</f>
        <v>0</v>
      </c>
      <c r="R201" s="30">
        <f>F201+апр!J201</f>
        <v>0</v>
      </c>
    </row>
    <row r="202" spans="1:18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68"/>
        <v>0</v>
      </c>
      <c r="H202" s="10">
        <f>D202+апр!H202</f>
        <v>0</v>
      </c>
      <c r="I202" s="8">
        <f>E202+апр!I202</f>
        <v>0</v>
      </c>
      <c r="J202" s="10">
        <f>F202+апр!J202</f>
        <v>0</v>
      </c>
      <c r="K202" s="10">
        <f t="shared" si="66"/>
        <v>0</v>
      </c>
      <c r="L202" s="16" t="e">
        <f t="shared" si="88"/>
        <v>#DIV/0!</v>
      </c>
      <c r="M202" s="112" t="s">
        <v>290</v>
      </c>
      <c r="N202" s="113"/>
      <c r="P202">
        <f t="shared" si="89"/>
        <v>0</v>
      </c>
      <c r="Q202" s="44">
        <f>E202+апр!I202</f>
        <v>0</v>
      </c>
      <c r="R202" s="30">
        <f>F202+апр!J202</f>
        <v>0</v>
      </c>
    </row>
    <row r="203" spans="1:18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68"/>
        <v>0</v>
      </c>
      <c r="H203" s="10">
        <f>D203+апр!H203</f>
        <v>0</v>
      </c>
      <c r="I203" s="8">
        <f>E203+апр!I203</f>
        <v>0</v>
      </c>
      <c r="J203" s="10">
        <f>F203+апр!J203</f>
        <v>0</v>
      </c>
      <c r="K203" s="10">
        <f t="shared" ref="K203:K213" si="90">J203-H203</f>
        <v>0</v>
      </c>
      <c r="L203" s="16" t="e">
        <f t="shared" si="88"/>
        <v>#DIV/0!</v>
      </c>
      <c r="M203" s="112" t="s">
        <v>290</v>
      </c>
      <c r="N203" s="113"/>
      <c r="P203">
        <f t="shared" si="89"/>
        <v>0</v>
      </c>
      <c r="Q203" s="44">
        <f>E203+апр!I203</f>
        <v>0</v>
      </c>
      <c r="R203" s="30">
        <f>F203+апр!J203</f>
        <v>0</v>
      </c>
    </row>
    <row r="204" spans="1:18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68"/>
        <v>0</v>
      </c>
      <c r="H204" s="10">
        <f>D204+апр!H204</f>
        <v>0</v>
      </c>
      <c r="I204" s="8">
        <f>E204+апр!I204</f>
        <v>0</v>
      </c>
      <c r="J204" s="10">
        <f>F204+апр!J204</f>
        <v>0</v>
      </c>
      <c r="K204" s="10">
        <f t="shared" si="90"/>
        <v>0</v>
      </c>
      <c r="L204" s="16" t="e">
        <f t="shared" si="88"/>
        <v>#DIV/0!</v>
      </c>
      <c r="M204" s="110"/>
      <c r="N204" s="111"/>
      <c r="P204">
        <f t="shared" si="89"/>
        <v>0</v>
      </c>
      <c r="Q204" s="44">
        <f>E204+апр!I204</f>
        <v>0</v>
      </c>
      <c r="R204" s="30">
        <f>F204+апр!J204</f>
        <v>0</v>
      </c>
    </row>
    <row r="205" spans="1:18" ht="21" customHeight="1">
      <c r="A205" s="92" t="s">
        <v>190</v>
      </c>
      <c r="B205" s="6" t="s">
        <v>191</v>
      </c>
      <c r="C205" s="92" t="s">
        <v>4</v>
      </c>
      <c r="D205" s="7">
        <f>D8+D138</f>
        <v>76555.231</v>
      </c>
      <c r="E205" s="21">
        <f>E8+E138</f>
        <v>71086.831999999995</v>
      </c>
      <c r="F205" s="7">
        <f>F8+F138</f>
        <v>81933.885499999989</v>
      </c>
      <c r="G205" s="10">
        <f t="shared" ref="G205:G213" si="91">F205-E205</f>
        <v>10847.053499999995</v>
      </c>
      <c r="H205" s="7">
        <f>H8+H138</f>
        <v>382776.15500000003</v>
      </c>
      <c r="I205" s="7">
        <f>I8+I138</f>
        <v>355432.82699999999</v>
      </c>
      <c r="J205" s="7">
        <f>J8+J138</f>
        <v>364918.53399999999</v>
      </c>
      <c r="K205" s="10">
        <f t="shared" si="90"/>
        <v>-17857.621000000043</v>
      </c>
      <c r="L205" s="16">
        <f t="shared" si="88"/>
        <v>-4.6652908669297943</v>
      </c>
      <c r="M205" s="110"/>
      <c r="N205" s="111"/>
      <c r="O205" s="30"/>
      <c r="P205">
        <f t="shared" si="89"/>
        <v>382776.15500000003</v>
      </c>
      <c r="Q205" s="44">
        <f>E205+апр!I205</f>
        <v>355434.16</v>
      </c>
      <c r="R205" s="30">
        <f>F205+апр!J205</f>
        <v>364918.53399999987</v>
      </c>
    </row>
    <row r="206" spans="1:18" ht="17.25" customHeight="1">
      <c r="A206" s="92" t="s">
        <v>192</v>
      </c>
      <c r="B206" s="6" t="s">
        <v>193</v>
      </c>
      <c r="C206" s="92" t="s">
        <v>4</v>
      </c>
      <c r="D206" s="7">
        <v>1469.992</v>
      </c>
      <c r="E206" s="92">
        <v>1470.0830000000001</v>
      </c>
      <c r="F206" s="21">
        <f>F209-F205</f>
        <v>17998.946820000012</v>
      </c>
      <c r="G206" s="16">
        <f t="shared" si="91"/>
        <v>16528.863820000013</v>
      </c>
      <c r="H206" s="10">
        <f>D206+апр!H206</f>
        <v>7349.96</v>
      </c>
      <c r="I206" s="8">
        <f>E206+апр!I206</f>
        <v>7350.4150000000009</v>
      </c>
      <c r="J206" s="10">
        <f>F206+апр!J206</f>
        <v>25661.666359999988</v>
      </c>
      <c r="K206" s="10">
        <f t="shared" si="90"/>
        <v>18311.706359999989</v>
      </c>
      <c r="L206" s="16">
        <f t="shared" si="88"/>
        <v>249.14021790594762</v>
      </c>
      <c r="M206" s="110"/>
      <c r="N206" s="111"/>
      <c r="P206">
        <f>D206*5</f>
        <v>7349.96</v>
      </c>
      <c r="Q206" s="44">
        <f>E206+апр!I206</f>
        <v>7350.4150000000009</v>
      </c>
      <c r="R206" s="30">
        <f>F206+апр!J206</f>
        <v>25661.666359999988</v>
      </c>
    </row>
    <row r="207" spans="1:18" ht="17.25" customHeight="1">
      <c r="A207" s="92" t="s">
        <v>194</v>
      </c>
      <c r="B207" s="6" t="s">
        <v>195</v>
      </c>
      <c r="C207" s="92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99932.832320000001</v>
      </c>
      <c r="G207" s="16">
        <f t="shared" si="91"/>
        <v>27375.917320000008</v>
      </c>
      <c r="H207" s="7">
        <f>H205+H206</f>
        <v>390126.11500000005</v>
      </c>
      <c r="I207" s="7">
        <f>I205+I206</f>
        <v>362783.24199999997</v>
      </c>
      <c r="J207" s="7">
        <f>J205+J206</f>
        <v>390580.20035999996</v>
      </c>
      <c r="K207" s="10">
        <f t="shared" si="90"/>
        <v>454.08535999991</v>
      </c>
      <c r="L207" s="16">
        <f t="shared" si="88"/>
        <v>0.11639450488975456</v>
      </c>
      <c r="M207" s="110"/>
      <c r="N207" s="111"/>
      <c r="P207">
        <f t="shared" si="89"/>
        <v>390126.11499999999</v>
      </c>
      <c r="Q207" s="44">
        <f>E207+апр!I207</f>
        <v>362784.57499999995</v>
      </c>
      <c r="R207" s="30">
        <f>F207+апр!J207</f>
        <v>390580.20035999984</v>
      </c>
    </row>
    <row r="208" spans="1:18" ht="17.25" customHeight="1">
      <c r="A208" s="114" t="s">
        <v>196</v>
      </c>
      <c r="B208" s="115" t="s">
        <v>197</v>
      </c>
      <c r="C208" s="92" t="s">
        <v>114</v>
      </c>
      <c r="D208" s="7">
        <v>559.39200000000005</v>
      </c>
      <c r="E208" s="92">
        <v>523.61</v>
      </c>
      <c r="F208" s="92">
        <v>724.57100000000003</v>
      </c>
      <c r="G208" s="10">
        <f t="shared" si="91"/>
        <v>200.96100000000001</v>
      </c>
      <c r="H208" s="10">
        <f>D208+апр!H208</f>
        <v>2796.96</v>
      </c>
      <c r="I208" s="10">
        <f>E208+апр!I208</f>
        <v>2618.0500000000002</v>
      </c>
      <c r="J208" s="10">
        <f>F208+апр!J208</f>
        <v>2831.933</v>
      </c>
      <c r="K208" s="10">
        <f t="shared" si="90"/>
        <v>34.972999999999956</v>
      </c>
      <c r="L208" s="16">
        <f t="shared" si="88"/>
        <v>1.2503932841370471</v>
      </c>
      <c r="M208" s="110"/>
      <c r="N208" s="111"/>
      <c r="P208">
        <f t="shared" si="89"/>
        <v>2796.96</v>
      </c>
      <c r="Q208" s="44">
        <f>E208+апр!I208</f>
        <v>2618.0500000000002</v>
      </c>
      <c r="R208" s="30">
        <f>F208+апр!J208</f>
        <v>2831.933</v>
      </c>
    </row>
    <row r="209" spans="1:19" ht="17.25" customHeight="1">
      <c r="A209" s="114"/>
      <c r="B209" s="115"/>
      <c r="C209" s="92" t="s">
        <v>4</v>
      </c>
      <c r="D209" s="7">
        <f>D207</f>
        <v>78025.222999999998</v>
      </c>
      <c r="E209" s="21">
        <f>E207</f>
        <v>72556.914999999994</v>
      </c>
      <c r="F209" s="92">
        <f>F213*F208</f>
        <v>99932.832320000001</v>
      </c>
      <c r="G209" s="16">
        <f t="shared" si="91"/>
        <v>27375.917320000008</v>
      </c>
      <c r="H209" s="10">
        <f>D209+апр!H209</f>
        <v>390126.11499999999</v>
      </c>
      <c r="I209" s="7">
        <f>I207</f>
        <v>362783.24199999997</v>
      </c>
      <c r="J209" s="92">
        <f>J213*J208</f>
        <v>390580.20035999996</v>
      </c>
      <c r="K209" s="10">
        <f t="shared" si="90"/>
        <v>454.0853599999682</v>
      </c>
      <c r="L209" s="16">
        <f t="shared" si="88"/>
        <v>0.11639450488978298</v>
      </c>
      <c r="M209" s="110"/>
      <c r="N209" s="111"/>
      <c r="P209">
        <f t="shared" si="89"/>
        <v>390126.11499999999</v>
      </c>
      <c r="Q209" s="44">
        <f>E209+апр!I209</f>
        <v>362784.57499999995</v>
      </c>
      <c r="R209" s="30">
        <f>F209+апр!J209</f>
        <v>390580.20035999984</v>
      </c>
    </row>
    <row r="210" spans="1:19" ht="17.25" customHeight="1">
      <c r="A210" s="92" t="s">
        <v>198</v>
      </c>
      <c r="B210" s="93" t="s">
        <v>199</v>
      </c>
      <c r="C210" s="92" t="s">
        <v>114</v>
      </c>
      <c r="D210" s="7">
        <v>761.69899999999996</v>
      </c>
      <c r="E210" s="21">
        <v>713</v>
      </c>
      <c r="F210" s="7">
        <v>856.43100000000004</v>
      </c>
      <c r="G210" s="10">
        <f t="shared" si="91"/>
        <v>143.43100000000004</v>
      </c>
      <c r="H210" s="10">
        <f>D210+апр!H210</f>
        <v>3808.4949999999999</v>
      </c>
      <c r="I210" s="10">
        <f>E210+апр!I210</f>
        <v>3565</v>
      </c>
      <c r="J210" s="10">
        <f>F210+апр!J210</f>
        <v>3510.1130000000003</v>
      </c>
      <c r="K210" s="10">
        <f t="shared" si="90"/>
        <v>-298.38199999999961</v>
      </c>
      <c r="L210" s="16">
        <f t="shared" si="88"/>
        <v>-7.8346433433679152</v>
      </c>
      <c r="M210" s="110"/>
      <c r="N210" s="111"/>
      <c r="P210">
        <f t="shared" si="89"/>
        <v>3808.4949999999999</v>
      </c>
      <c r="Q210" s="44">
        <f>E210+апр!I210</f>
        <v>3565</v>
      </c>
      <c r="R210" s="30">
        <f>F210+апр!J210</f>
        <v>3510.1130000000003</v>
      </c>
    </row>
    <row r="211" spans="1:19" ht="17.25" customHeight="1">
      <c r="A211" s="114" t="s">
        <v>200</v>
      </c>
      <c r="B211" s="115" t="s">
        <v>201</v>
      </c>
      <c r="C211" s="92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15.396453421233003</v>
      </c>
      <c r="G211" s="10">
        <f t="shared" si="91"/>
        <v>-11.165958920982982</v>
      </c>
      <c r="H211" s="21">
        <f>H212/H210*100</f>
        <v>26.559966600980172</v>
      </c>
      <c r="I211" s="21">
        <f>I212/I210*100</f>
        <v>26.562412342215985</v>
      </c>
      <c r="J211" s="21">
        <f>J212/J210*100</f>
        <v>19.320745514460651</v>
      </c>
      <c r="K211" s="10">
        <f t="shared" si="90"/>
        <v>-7.239221086519521</v>
      </c>
      <c r="L211" s="16">
        <f t="shared" si="88"/>
        <v>-27.256137762810155</v>
      </c>
      <c r="M211" s="110"/>
      <c r="N211" s="111"/>
      <c r="P211">
        <f t="shared" si="89"/>
        <v>132.79983300490085</v>
      </c>
      <c r="Q211" s="44">
        <f>E211+апр!I211</f>
        <v>53.124824684431971</v>
      </c>
      <c r="R211" s="30">
        <f>F211+апр!J211</f>
        <v>35.983697861222424</v>
      </c>
    </row>
    <row r="212" spans="1:19" ht="17.25" customHeight="1">
      <c r="A212" s="114"/>
      <c r="B212" s="115"/>
      <c r="C212" s="92" t="s">
        <v>114</v>
      </c>
      <c r="D212" s="7">
        <f>D210-D208</f>
        <v>202.3069999999999</v>
      </c>
      <c r="E212" s="7">
        <f>E210-E208</f>
        <v>189.39</v>
      </c>
      <c r="F212" s="7">
        <f>F210-F208</f>
        <v>131.86000000000001</v>
      </c>
      <c r="G212" s="10">
        <f t="shared" si="91"/>
        <v>-57.529999999999973</v>
      </c>
      <c r="H212" s="7">
        <f>H210-H208</f>
        <v>1011.5349999999999</v>
      </c>
      <c r="I212" s="7">
        <f>I210-I208</f>
        <v>946.94999999999982</v>
      </c>
      <c r="J212" s="7">
        <f>J210-J208</f>
        <v>678.18000000000029</v>
      </c>
      <c r="K212" s="10">
        <f t="shared" si="90"/>
        <v>-333.35499999999956</v>
      </c>
      <c r="L212" s="16">
        <f t="shared" si="88"/>
        <v>-32.95535992328486</v>
      </c>
      <c r="M212" s="110"/>
      <c r="N212" s="111"/>
      <c r="P212">
        <f t="shared" si="89"/>
        <v>1011.5349999999995</v>
      </c>
      <c r="Q212" s="44">
        <f>E212+апр!I212</f>
        <v>946.94999999999993</v>
      </c>
      <c r="R212" s="30">
        <f>F212+апр!J212</f>
        <v>678.18000000000018</v>
      </c>
    </row>
    <row r="213" spans="1:19" s="1" customFormat="1" ht="21" customHeight="1">
      <c r="A213" s="92" t="s">
        <v>203</v>
      </c>
      <c r="B213" s="6" t="s">
        <v>204</v>
      </c>
      <c r="C213" s="92" t="s">
        <v>205</v>
      </c>
      <c r="D213" s="21">
        <f>D207/D208</f>
        <v>139.48219316686686</v>
      </c>
      <c r="E213" s="21">
        <f>E209/E208</f>
        <v>138.57052959263572</v>
      </c>
      <c r="F213" s="92">
        <v>137.91999999999999</v>
      </c>
      <c r="G213" s="10">
        <f t="shared" si="91"/>
        <v>-0.65052959263573484</v>
      </c>
      <c r="H213" s="21">
        <f>H207/H208</f>
        <v>139.48219316686689</v>
      </c>
      <c r="I213" s="21">
        <f>I207/I208</f>
        <v>138.57002043505659</v>
      </c>
      <c r="J213" s="21">
        <f>J207/J208</f>
        <v>137.92000035311568</v>
      </c>
      <c r="K213" s="10">
        <f t="shared" si="90"/>
        <v>-1.56219281375121</v>
      </c>
      <c r="L213" s="16">
        <f t="shared" si="88"/>
        <v>-1.1199944439375855</v>
      </c>
      <c r="M213" s="110"/>
      <c r="N213" s="111"/>
      <c r="O213"/>
      <c r="P213">
        <f t="shared" si="89"/>
        <v>697.41096583433432</v>
      </c>
      <c r="Q213" s="44">
        <f>E213+апр!I213</f>
        <v>277.14105918527144</v>
      </c>
      <c r="R213" s="30">
        <f>F213+апр!J213</f>
        <v>275.84000047452685</v>
      </c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10"/>
      <c r="L214" s="16"/>
      <c r="M214" s="110"/>
      <c r="N214" s="111"/>
      <c r="P214">
        <f t="shared" si="89"/>
        <v>0</v>
      </c>
      <c r="Q214" s="44">
        <f>E214+апр!I214</f>
        <v>0</v>
      </c>
      <c r="R214" s="30">
        <f>F214+апр!J214</f>
        <v>0</v>
      </c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92">E216+E217</f>
        <v>0</v>
      </c>
      <c r="F215" s="14">
        <f t="shared" si="92"/>
        <v>0</v>
      </c>
      <c r="G215" s="14">
        <f t="shared" si="92"/>
        <v>0</v>
      </c>
      <c r="H215" s="14">
        <f>H216+H217</f>
        <v>253</v>
      </c>
      <c r="I215" s="14">
        <f t="shared" ref="I215:J215" si="93">I216+I217</f>
        <v>0</v>
      </c>
      <c r="J215" s="14">
        <f t="shared" si="93"/>
        <v>172</v>
      </c>
      <c r="K215" s="10"/>
      <c r="L215" s="16"/>
      <c r="M215" s="110"/>
      <c r="N215" s="111"/>
      <c r="P215">
        <f t="shared" si="89"/>
        <v>1265</v>
      </c>
      <c r="Q215" s="44">
        <f>E215+апр!I215</f>
        <v>0</v>
      </c>
      <c r="R215" s="30">
        <f>F215+апр!J215</f>
        <v>172</v>
      </c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>
        <v>164</v>
      </c>
      <c r="K216" s="10"/>
      <c r="L216" s="16"/>
      <c r="M216" s="110"/>
      <c r="N216" s="111"/>
      <c r="P216">
        <f t="shared" si="89"/>
        <v>1180</v>
      </c>
      <c r="Q216" s="44">
        <f>E216+апр!I216</f>
        <v>0</v>
      </c>
      <c r="R216" s="30">
        <f>F216+апр!J216</f>
        <v>164</v>
      </c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>
        <v>8</v>
      </c>
      <c r="K217" s="10"/>
      <c r="L217" s="16"/>
      <c r="M217" s="110"/>
      <c r="N217" s="111"/>
      <c r="P217">
        <f t="shared" si="89"/>
        <v>85</v>
      </c>
      <c r="Q217" s="44">
        <f>E217+апр!I217</f>
        <v>0</v>
      </c>
      <c r="R217" s="30">
        <f>F217+апр!J217</f>
        <v>8</v>
      </c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(H88+H145)/H215*1000/5</f>
        <v>86746.573122529633</v>
      </c>
      <c r="I218" s="8"/>
      <c r="J218" s="14">
        <f>(J88+J145)/J215*1000/5</f>
        <v>114240.17790697674</v>
      </c>
      <c r="K218" s="10"/>
      <c r="L218" s="16"/>
      <c r="M218" s="110"/>
      <c r="N218" s="111"/>
      <c r="P218">
        <f t="shared" si="89"/>
        <v>433732.86561264825</v>
      </c>
      <c r="Q218" s="44">
        <f>E218+апр!I218</f>
        <v>0</v>
      </c>
      <c r="R218" s="30">
        <f>F218+апр!J218</f>
        <v>113361.80523255812</v>
      </c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H88/H216*1000/5</f>
        <v>84883.580508474581</v>
      </c>
      <c r="I219" s="8"/>
      <c r="J219" s="14">
        <f>J88/J216*1000/5</f>
        <v>111183.64146341462</v>
      </c>
      <c r="K219" s="10"/>
      <c r="L219" s="16"/>
      <c r="M219" s="110"/>
      <c r="N219" s="111"/>
      <c r="Q219" s="44">
        <f>E219+апр!I219</f>
        <v>0</v>
      </c>
      <c r="R219" s="30">
        <f>F219+апр!J219</f>
        <v>110632.42835365853</v>
      </c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H145/H217*1000/5</f>
        <v>112609.29411764706</v>
      </c>
      <c r="I220" s="8"/>
      <c r="J220" s="14">
        <f>J145/J217*1000/5</f>
        <v>176899.17499999999</v>
      </c>
      <c r="K220" s="10"/>
      <c r="L220" s="16"/>
      <c r="M220" s="110"/>
      <c r="N220" s="111"/>
      <c r="Q220" s="44">
        <f>E220+апр!I220</f>
        <v>0</v>
      </c>
      <c r="R220" s="30">
        <f>F220+апр!J220</f>
        <v>169314.03125</v>
      </c>
    </row>
    <row r="221" spans="1:19" ht="18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>
        <f>H221+I221</f>
        <v>0</v>
      </c>
    </row>
    <row r="222" spans="1:19" ht="28.5" customHeight="1">
      <c r="A222" s="106" t="s">
        <v>322</v>
      </c>
      <c r="C222" s="107"/>
      <c r="D222" s="106"/>
      <c r="E222" s="108"/>
      <c r="F222" s="108"/>
      <c r="G222" s="106"/>
      <c r="I222" s="29"/>
      <c r="J222" s="29"/>
      <c r="K222" s="109" t="s">
        <v>323</v>
      </c>
      <c r="M222" s="29"/>
      <c r="N222" s="29"/>
    </row>
    <row r="223" spans="1:19" ht="4.5" hidden="1" customHeight="1">
      <c r="A223" s="106"/>
      <c r="C223" s="107"/>
      <c r="D223" s="106"/>
      <c r="E223" s="108"/>
      <c r="F223" s="108"/>
      <c r="G223" s="106"/>
      <c r="K223" s="109"/>
    </row>
    <row r="224" spans="1:19" ht="15.75">
      <c r="A224" s="106"/>
      <c r="C224" s="107"/>
      <c r="D224" s="106"/>
      <c r="E224" s="108"/>
      <c r="F224" s="108"/>
      <c r="G224" s="106"/>
      <c r="K224" s="109"/>
    </row>
    <row r="225" spans="1:11" ht="15.75">
      <c r="A225" s="106" t="s">
        <v>328</v>
      </c>
      <c r="C225" s="107"/>
      <c r="D225" s="106"/>
      <c r="E225" s="108"/>
      <c r="F225" s="108"/>
      <c r="G225" s="106"/>
      <c r="K225" s="109" t="s">
        <v>329</v>
      </c>
    </row>
    <row r="226" spans="1:11" ht="15.75">
      <c r="A226" s="2"/>
      <c r="B226" s="2"/>
      <c r="C226" s="2"/>
      <c r="D226" s="2"/>
      <c r="E226" s="2"/>
      <c r="F226" s="2"/>
      <c r="G226" s="2"/>
    </row>
    <row r="227" spans="1:11" ht="15.75">
      <c r="A227" s="4" t="s">
        <v>327</v>
      </c>
      <c r="B227" s="2"/>
      <c r="C227" s="2"/>
      <c r="D227" s="2"/>
      <c r="E227" s="2"/>
      <c r="F227" s="2"/>
      <c r="G227" s="2"/>
    </row>
    <row r="228" spans="1:11" ht="15.75">
      <c r="A228" s="2"/>
      <c r="B228" s="2"/>
      <c r="C228" s="2"/>
      <c r="D228" s="2"/>
      <c r="E228" s="2"/>
      <c r="F228" s="2"/>
      <c r="G228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" bottom="0" header="0.31496062992125984" footer="0.31496062992125984"/>
  <pageSetup paperSize="9" scale="78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9"/>
  <sheetViews>
    <sheetView workbookViewId="0">
      <pane xSplit="10" ySplit="15" topLeftCell="K208" activePane="bottomRight" state="frozen"/>
      <selection pane="topRight" activeCell="J1" sqref="J1"/>
      <selection pane="bottomLeft" activeCell="A16" sqref="A16"/>
      <selection pane="bottomRight" activeCell="F220" sqref="F220"/>
    </sheetView>
  </sheetViews>
  <sheetFormatPr defaultRowHeight="15"/>
  <cols>
    <col min="1" max="1" width="8.85546875" customWidth="1"/>
    <col min="2" max="2" width="38.42578125" customWidth="1"/>
    <col min="3" max="3" width="13.140625" customWidth="1"/>
    <col min="4" max="4" width="14.5703125" customWidth="1"/>
    <col min="5" max="5" width="13" customWidth="1"/>
    <col min="6" max="6" width="14.5703125" style="60" customWidth="1"/>
    <col min="7" max="8" width="15" customWidth="1"/>
    <col min="9" max="9" width="14.7109375" style="60" customWidth="1"/>
    <col min="10" max="10" width="15.85546875" customWidth="1"/>
    <col min="11" max="11" width="16.140625" customWidth="1"/>
    <col min="12" max="12" width="13.85546875" customWidth="1"/>
    <col min="13" max="13" width="14.85546875" hidden="1" customWidth="1"/>
    <col min="14" max="14" width="2" hidden="1" customWidth="1"/>
    <col min="15" max="15" width="13.42578125" customWidth="1"/>
    <col min="16" max="16" width="12.85546875" customWidth="1"/>
    <col min="17" max="17" width="13.28515625" customWidth="1"/>
    <col min="18" max="18" width="13.7109375" customWidth="1"/>
    <col min="19" max="19" width="11.85546875" customWidth="1"/>
  </cols>
  <sheetData>
    <row r="1" spans="1:19" ht="54" customHeight="1">
      <c r="A1" s="131" t="s">
        <v>226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9" ht="42.75" customHeight="1">
      <c r="A2" s="132" t="s">
        <v>325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Q2" s="30"/>
    </row>
    <row r="3" spans="1:19" ht="1.5" customHeight="1">
      <c r="A3" s="133"/>
      <c r="B3" s="133"/>
      <c r="C3" s="133"/>
      <c r="D3" s="103"/>
      <c r="E3" s="103"/>
      <c r="F3" s="103"/>
      <c r="G3" s="103"/>
      <c r="H3" s="29"/>
      <c r="I3" s="29"/>
      <c r="J3" s="29"/>
      <c r="K3" s="29"/>
      <c r="L3" s="29"/>
      <c r="M3" s="29"/>
      <c r="N3" s="29"/>
    </row>
    <row r="4" spans="1:19" ht="18.75">
      <c r="A4" s="134" t="s">
        <v>0</v>
      </c>
      <c r="B4" s="137" t="s">
        <v>1</v>
      </c>
      <c r="C4" s="134" t="s">
        <v>217</v>
      </c>
      <c r="D4" s="140" t="s">
        <v>304</v>
      </c>
      <c r="E4" s="141"/>
      <c r="F4" s="141"/>
      <c r="G4" s="142"/>
      <c r="H4" s="140" t="s">
        <v>227</v>
      </c>
      <c r="I4" s="141"/>
      <c r="J4" s="141"/>
      <c r="K4" s="141"/>
      <c r="L4" s="142"/>
      <c r="M4" s="143" t="s">
        <v>239</v>
      </c>
      <c r="N4" s="144"/>
    </row>
    <row r="5" spans="1:19" ht="15" customHeight="1">
      <c r="A5" s="135"/>
      <c r="B5" s="138"/>
      <c r="C5" s="135"/>
      <c r="D5" s="127" t="s">
        <v>305</v>
      </c>
      <c r="E5" s="127" t="s">
        <v>306</v>
      </c>
      <c r="F5" s="127" t="s">
        <v>229</v>
      </c>
      <c r="G5" s="127" t="s">
        <v>219</v>
      </c>
      <c r="H5" s="127" t="s">
        <v>305</v>
      </c>
      <c r="I5" s="127" t="s">
        <v>306</v>
      </c>
      <c r="J5" s="127" t="s">
        <v>229</v>
      </c>
      <c r="K5" s="127" t="s">
        <v>219</v>
      </c>
      <c r="L5" s="127" t="s">
        <v>236</v>
      </c>
      <c r="M5" s="145"/>
      <c r="N5" s="146"/>
      <c r="Q5" s="30">
        <f>F78+F81+F84</f>
        <v>31281.627</v>
      </c>
    </row>
    <row r="6" spans="1:19" ht="41.25" customHeight="1">
      <c r="A6" s="136"/>
      <c r="B6" s="139"/>
      <c r="C6" s="136"/>
      <c r="D6" s="128"/>
      <c r="E6" s="128"/>
      <c r="F6" s="128"/>
      <c r="G6" s="128"/>
      <c r="H6" s="128"/>
      <c r="I6" s="128"/>
      <c r="J6" s="128"/>
      <c r="K6" s="128"/>
      <c r="L6" s="128"/>
      <c r="M6" s="147"/>
      <c r="N6" s="148"/>
    </row>
    <row r="7" spans="1:19" ht="15.75" customHeight="1">
      <c r="A7" s="35">
        <v>1</v>
      </c>
      <c r="B7" s="35">
        <v>2</v>
      </c>
      <c r="C7" s="35">
        <v>3</v>
      </c>
      <c r="D7" s="35"/>
      <c r="E7" s="35"/>
      <c r="F7" s="35"/>
      <c r="G7" s="35"/>
      <c r="H7" s="35">
        <v>4</v>
      </c>
      <c r="I7" s="35">
        <v>5</v>
      </c>
      <c r="J7" s="35">
        <v>6</v>
      </c>
      <c r="K7" s="35"/>
      <c r="L7" s="35">
        <v>7</v>
      </c>
      <c r="M7" s="129">
        <v>8</v>
      </c>
      <c r="N7" s="130"/>
      <c r="O7" s="30">
        <f>J8-O8</f>
        <v>78361.888999999966</v>
      </c>
      <c r="P7">
        <v>272681.63099999999</v>
      </c>
      <c r="Q7" s="30">
        <f>J8-P7</f>
        <v>79002.343999999983</v>
      </c>
    </row>
    <row r="8" spans="1:19" ht="39" customHeight="1">
      <c r="A8" s="99" t="s">
        <v>2</v>
      </c>
      <c r="B8" s="6" t="s">
        <v>3</v>
      </c>
      <c r="C8" s="99" t="s">
        <v>4</v>
      </c>
      <c r="D8" s="7">
        <f>D9+D87+D93+D95+D97</f>
        <v>73170.115000000005</v>
      </c>
      <c r="E8" s="21">
        <f>E9+E87+E93+E95+E97</f>
        <v>68097.582999999999</v>
      </c>
      <c r="F8" s="7">
        <f>F9+F87+F93+F95+F97</f>
        <v>77872.522499999992</v>
      </c>
      <c r="G8" s="7">
        <f>F8-E8</f>
        <v>9774.9394999999931</v>
      </c>
      <c r="H8" s="7">
        <f>H9+H87+H93+H95+H97</f>
        <v>365850.57500000001</v>
      </c>
      <c r="I8" s="21">
        <f>I9+I87+I93+I95+I97</f>
        <v>340486.58199999999</v>
      </c>
      <c r="J8" s="7">
        <f>J9+J87+J93+J95+J97</f>
        <v>351683.97499999998</v>
      </c>
      <c r="K8" s="71">
        <f>J8-I8</f>
        <v>11197.392999999982</v>
      </c>
      <c r="L8" s="21">
        <f>K8/I8*100</f>
        <v>3.2886444259351109</v>
      </c>
      <c r="M8" s="110"/>
      <c r="N8" s="111"/>
      <c r="O8">
        <f>640.455+272681.631</f>
        <v>273322.08600000001</v>
      </c>
      <c r="P8">
        <f>D8*5</f>
        <v>365850.57500000001</v>
      </c>
      <c r="Q8" s="44">
        <f>E8+апр!I8</f>
        <v>340487.91499999998</v>
      </c>
      <c r="R8" s="30">
        <f>F8+апр!J8</f>
        <v>351683.97499999986</v>
      </c>
      <c r="S8" s="30">
        <f>J8-R8</f>
        <v>0</v>
      </c>
    </row>
    <row r="9" spans="1:19" ht="17.25" customHeight="1">
      <c r="A9" s="99" t="s">
        <v>5</v>
      </c>
      <c r="B9" s="6" t="s">
        <v>6</v>
      </c>
      <c r="C9" s="99" t="s">
        <v>4</v>
      </c>
      <c r="D9" s="7">
        <f>D10+D37+D72</f>
        <v>35732.106</v>
      </c>
      <c r="E9" s="21">
        <f>E10+E37+E72</f>
        <v>32135.084000000003</v>
      </c>
      <c r="F9" s="7">
        <f>F10+F37+F72</f>
        <v>41436.269999999997</v>
      </c>
      <c r="G9" s="7">
        <f>F9-E9</f>
        <v>9301.1859999999942</v>
      </c>
      <c r="H9" s="7">
        <f>H10+H37+H72</f>
        <v>178660.53000000003</v>
      </c>
      <c r="I9" s="21">
        <f>I10+I37+I72</f>
        <v>160675.42000000001</v>
      </c>
      <c r="J9" s="7">
        <f>J10+J37+J72</f>
        <v>180403.29199999999</v>
      </c>
      <c r="K9" s="21">
        <f>J9-I9</f>
        <v>19727.871999999974</v>
      </c>
      <c r="L9" s="21">
        <f>K9/I9*100</f>
        <v>12.278089579600895</v>
      </c>
      <c r="M9" s="110"/>
      <c r="N9" s="111"/>
      <c r="P9">
        <f t="shared" ref="P9:P72" si="0">D9*5</f>
        <v>178660.53</v>
      </c>
      <c r="Q9" s="44">
        <f>E9+апр!I9</f>
        <v>160675.42000000001</v>
      </c>
      <c r="R9" s="30">
        <f>F9+апр!J9</f>
        <v>180403.29199999999</v>
      </c>
    </row>
    <row r="10" spans="1:19" ht="17.25" customHeight="1">
      <c r="A10" s="8" t="s">
        <v>7</v>
      </c>
      <c r="B10" s="9" t="s">
        <v>8</v>
      </c>
      <c r="C10" s="8" t="s">
        <v>4</v>
      </c>
      <c r="D10" s="10">
        <f>D11+D30+D35</f>
        <v>7601.0440000000008</v>
      </c>
      <c r="E10" s="10">
        <f>E11+E30+E35</f>
        <v>5895.3339999999998</v>
      </c>
      <c r="F10" s="10">
        <f>F11+F30+F35</f>
        <v>6722.7729999999983</v>
      </c>
      <c r="G10" s="10">
        <f>F10-E10</f>
        <v>827.43899999999849</v>
      </c>
      <c r="H10" s="10">
        <f>H11+H30+H35</f>
        <v>38005.22</v>
      </c>
      <c r="I10" s="10">
        <f>I11+I30+I35</f>
        <v>29476.67</v>
      </c>
      <c r="J10" s="10">
        <f>J11+J30+J35</f>
        <v>29425.485000000001</v>
      </c>
      <c r="K10" s="10">
        <f>J10-I10</f>
        <v>-51.184999999997672</v>
      </c>
      <c r="L10" s="16">
        <f>K10/I10*100</f>
        <v>-0.17364580191723716</v>
      </c>
      <c r="M10" s="110"/>
      <c r="N10" s="111"/>
      <c r="P10">
        <f t="shared" si="0"/>
        <v>38005.22</v>
      </c>
      <c r="Q10" s="44">
        <f>E10+апр!I10</f>
        <v>29476.67</v>
      </c>
      <c r="R10" s="30">
        <f>F10+апр!J10</f>
        <v>29425.484999999997</v>
      </c>
    </row>
    <row r="11" spans="1:19" ht="17.25" customHeight="1">
      <c r="A11" s="8" t="s">
        <v>9</v>
      </c>
      <c r="B11" s="9" t="s">
        <v>10</v>
      </c>
      <c r="C11" s="8" t="s">
        <v>4</v>
      </c>
      <c r="D11" s="10">
        <f>D12+D15+D18+D21+D24+D27</f>
        <v>5032.2450000000008</v>
      </c>
      <c r="E11" s="8">
        <v>4970.0829999999996</v>
      </c>
      <c r="F11" s="10">
        <f>F12+F15+F18+F21+F24+F27</f>
        <v>6165.253999999999</v>
      </c>
      <c r="G11" s="10">
        <f t="shared" ref="G11:G74" si="1">F11-E11</f>
        <v>1195.1709999999994</v>
      </c>
      <c r="H11" s="10">
        <f>H12+H15+H18+H21+H24+H27</f>
        <v>25161.225000000002</v>
      </c>
      <c r="I11" s="8">
        <f>E11+апр!I11</f>
        <v>24850.414999999997</v>
      </c>
      <c r="J11" s="10">
        <f>J12+J15+J18+J21+J24+J27</f>
        <v>17911.669000000002</v>
      </c>
      <c r="K11" s="10">
        <f t="shared" ref="K11:K74" si="2">J11-I11</f>
        <v>-6938.7459999999955</v>
      </c>
      <c r="L11" s="16">
        <f t="shared" ref="L11:L72" si="3">K11/I11*100</f>
        <v>-27.922052810788056</v>
      </c>
      <c r="M11" s="110"/>
      <c r="N11" s="111"/>
      <c r="P11">
        <f t="shared" si="0"/>
        <v>25161.225000000006</v>
      </c>
      <c r="Q11" s="44">
        <f>E11+апр!I11</f>
        <v>24850.414999999997</v>
      </c>
      <c r="R11" s="30">
        <f>F11+апр!J11</f>
        <v>17911.669000000002</v>
      </c>
    </row>
    <row r="12" spans="1:19" ht="18.75" customHeight="1">
      <c r="A12" s="8" t="s">
        <v>11</v>
      </c>
      <c r="B12" s="9" t="s">
        <v>12</v>
      </c>
      <c r="C12" s="8" t="s">
        <v>4</v>
      </c>
      <c r="D12" s="10">
        <v>852.13199999999995</v>
      </c>
      <c r="E12" s="8"/>
      <c r="F12" s="10">
        <v>1256.386</v>
      </c>
      <c r="G12" s="10">
        <f t="shared" si="1"/>
        <v>1256.386</v>
      </c>
      <c r="H12" s="10">
        <f>D12+апр!H12</f>
        <v>4260.66</v>
      </c>
      <c r="I12" s="8"/>
      <c r="J12" s="10">
        <f>F12+апр!J12</f>
        <v>3575.9760000000001</v>
      </c>
      <c r="K12" s="10">
        <f t="shared" si="2"/>
        <v>3575.9760000000001</v>
      </c>
      <c r="L12" s="16"/>
      <c r="M12" s="112" t="s">
        <v>297</v>
      </c>
      <c r="N12" s="113"/>
      <c r="P12">
        <f t="shared" si="0"/>
        <v>4260.66</v>
      </c>
      <c r="Q12" s="44">
        <f>E12+апр!I12</f>
        <v>0</v>
      </c>
      <c r="R12" s="30">
        <f>F12+апр!J12</f>
        <v>3575.9760000000001</v>
      </c>
    </row>
    <row r="13" spans="1:19" ht="17.25" customHeight="1">
      <c r="A13" s="8"/>
      <c r="B13" s="12" t="s">
        <v>13</v>
      </c>
      <c r="C13" s="13" t="s">
        <v>14</v>
      </c>
      <c r="D13" s="14">
        <v>3667</v>
      </c>
      <c r="E13" s="13"/>
      <c r="F13" s="8">
        <v>4044</v>
      </c>
      <c r="G13" s="10">
        <f t="shared" si="1"/>
        <v>4044</v>
      </c>
      <c r="H13" s="14">
        <f>D13+апр!H13</f>
        <v>18335</v>
      </c>
      <c r="I13" s="8"/>
      <c r="J13" s="14">
        <f>F13+апр!J13</f>
        <v>11685</v>
      </c>
      <c r="K13" s="10">
        <f t="shared" si="2"/>
        <v>11685</v>
      </c>
      <c r="L13" s="16"/>
      <c r="M13" s="110"/>
      <c r="N13" s="111"/>
      <c r="P13">
        <f t="shared" si="0"/>
        <v>18335</v>
      </c>
      <c r="Q13" s="44">
        <f>E13+апр!I13</f>
        <v>0</v>
      </c>
      <c r="R13" s="30">
        <f>F13+апр!J13</f>
        <v>11685</v>
      </c>
    </row>
    <row r="14" spans="1:19" ht="17.25" customHeight="1">
      <c r="A14" s="15"/>
      <c r="B14" s="12" t="s">
        <v>15</v>
      </c>
      <c r="C14" s="13" t="s">
        <v>16</v>
      </c>
      <c r="D14" s="16">
        <f>D12/D13*1000</f>
        <v>232.37851104445048</v>
      </c>
      <c r="E14" s="16"/>
      <c r="F14" s="16">
        <f t="shared" ref="F14" si="4">F12/F13*1000</f>
        <v>310.6790306627102</v>
      </c>
      <c r="G14" s="10">
        <f t="shared" si="1"/>
        <v>310.6790306627102</v>
      </c>
      <c r="H14" s="16">
        <f>H12/H13*1000</f>
        <v>232.37851104445051</v>
      </c>
      <c r="I14" s="16"/>
      <c r="J14" s="16">
        <f t="shared" ref="J14" si="5">J12/J13*1000</f>
        <v>306.03132220795891</v>
      </c>
      <c r="K14" s="10">
        <f t="shared" si="2"/>
        <v>306.03132220795891</v>
      </c>
      <c r="L14" s="16"/>
      <c r="M14" s="110"/>
      <c r="N14" s="111"/>
      <c r="P14">
        <f t="shared" si="0"/>
        <v>1161.8925552222524</v>
      </c>
      <c r="Q14" s="44">
        <f>E14+апр!I14</f>
        <v>0</v>
      </c>
      <c r="R14" s="30">
        <f>F14+апр!J14</f>
        <v>614.25055271479755</v>
      </c>
    </row>
    <row r="15" spans="1:19" ht="17.25" customHeight="1">
      <c r="A15" s="8" t="s">
        <v>17</v>
      </c>
      <c r="B15" s="9" t="s">
        <v>18</v>
      </c>
      <c r="C15" s="8" t="s">
        <v>4</v>
      </c>
      <c r="D15" s="10">
        <v>2808.576</v>
      </c>
      <c r="E15" s="8"/>
      <c r="F15" s="10">
        <v>3206.8939999999998</v>
      </c>
      <c r="G15" s="10">
        <f t="shared" si="1"/>
        <v>3206.8939999999998</v>
      </c>
      <c r="H15" s="10">
        <f>D15+апр!H15</f>
        <v>14042.880000000001</v>
      </c>
      <c r="I15" s="8"/>
      <c r="J15" s="10">
        <f>F15+апр!J15</f>
        <v>8177.6990000000005</v>
      </c>
      <c r="K15" s="10">
        <f t="shared" si="2"/>
        <v>8177.6990000000005</v>
      </c>
      <c r="L15" s="16"/>
      <c r="M15" s="110"/>
      <c r="N15" s="111"/>
      <c r="P15">
        <f t="shared" si="0"/>
        <v>14042.880000000001</v>
      </c>
      <c r="Q15" s="44">
        <f>E15+апр!I15</f>
        <v>0</v>
      </c>
      <c r="R15" s="30">
        <f>F15+апр!J15</f>
        <v>8177.6990000000005</v>
      </c>
    </row>
    <row r="16" spans="1:19" ht="17.25" customHeight="1">
      <c r="A16" s="8"/>
      <c r="B16" s="12" t="s">
        <v>13</v>
      </c>
      <c r="C16" s="13" t="s">
        <v>14</v>
      </c>
      <c r="D16" s="14">
        <v>15000</v>
      </c>
      <c r="E16" s="13"/>
      <c r="F16" s="8">
        <v>25371</v>
      </c>
      <c r="G16" s="10">
        <f t="shared" si="1"/>
        <v>25371</v>
      </c>
      <c r="H16" s="14">
        <f>D16+апр!H16</f>
        <v>75000</v>
      </c>
      <c r="I16" s="8"/>
      <c r="J16" s="14">
        <f>F16+апр!J16</f>
        <v>64697</v>
      </c>
      <c r="K16" s="10">
        <f t="shared" si="2"/>
        <v>64697</v>
      </c>
      <c r="L16" s="16"/>
      <c r="M16" s="110"/>
      <c r="N16" s="111"/>
      <c r="P16">
        <f t="shared" si="0"/>
        <v>75000</v>
      </c>
      <c r="Q16" s="44">
        <f>E16+апр!I16</f>
        <v>0</v>
      </c>
      <c r="R16" s="30">
        <f>F16+апр!J16</f>
        <v>64697</v>
      </c>
    </row>
    <row r="17" spans="1:18" ht="17.25" customHeight="1">
      <c r="A17" s="8"/>
      <c r="B17" s="12" t="s">
        <v>15</v>
      </c>
      <c r="C17" s="13" t="s">
        <v>16</v>
      </c>
      <c r="D17" s="16">
        <f>D15/D16*1000</f>
        <v>187.23840000000001</v>
      </c>
      <c r="E17" s="16"/>
      <c r="F17" s="16">
        <f t="shared" ref="F17" si="6">F15/F16*1000</f>
        <v>126.3999842339679</v>
      </c>
      <c r="G17" s="10">
        <f t="shared" si="1"/>
        <v>126.3999842339679</v>
      </c>
      <c r="H17" s="16">
        <f>H15/H16*1000</f>
        <v>187.23840000000001</v>
      </c>
      <c r="I17" s="8"/>
      <c r="J17" s="13"/>
      <c r="K17" s="10">
        <f t="shared" si="2"/>
        <v>0</v>
      </c>
      <c r="L17" s="16"/>
      <c r="M17" s="110"/>
      <c r="N17" s="111"/>
      <c r="P17">
        <f t="shared" si="0"/>
        <v>936.19200000000001</v>
      </c>
      <c r="Q17" s="44">
        <f>E17+апр!I17</f>
        <v>0</v>
      </c>
      <c r="R17" s="30">
        <f>F17+апр!J17</f>
        <v>126.3999842339679</v>
      </c>
    </row>
    <row r="18" spans="1:18" ht="17.25" customHeight="1">
      <c r="A18" s="8" t="s">
        <v>19</v>
      </c>
      <c r="B18" s="9" t="s">
        <v>20</v>
      </c>
      <c r="C18" s="8" t="s">
        <v>4</v>
      </c>
      <c r="D18" s="10">
        <v>241.64599999999999</v>
      </c>
      <c r="E18" s="8"/>
      <c r="F18" s="10"/>
      <c r="G18" s="10">
        <f t="shared" si="1"/>
        <v>0</v>
      </c>
      <c r="H18" s="10">
        <f>D18+апр!H18</f>
        <v>1208.23</v>
      </c>
      <c r="I18" s="8"/>
      <c r="J18" s="10">
        <f>F18+апр!J18</f>
        <v>145.96</v>
      </c>
      <c r="K18" s="10">
        <f t="shared" si="2"/>
        <v>145.96</v>
      </c>
      <c r="L18" s="16"/>
      <c r="M18" s="110"/>
      <c r="N18" s="111"/>
      <c r="P18">
        <f t="shared" si="0"/>
        <v>1208.23</v>
      </c>
      <c r="Q18" s="44">
        <f>E18+апр!I18</f>
        <v>0</v>
      </c>
      <c r="R18" s="30">
        <f>F18+апр!J18</f>
        <v>145.96</v>
      </c>
    </row>
    <row r="19" spans="1:18" ht="17.25" customHeight="1">
      <c r="A19" s="8"/>
      <c r="B19" s="12" t="s">
        <v>13</v>
      </c>
      <c r="C19" s="13" t="s">
        <v>14</v>
      </c>
      <c r="D19" s="14">
        <v>1025</v>
      </c>
      <c r="E19" s="13"/>
      <c r="F19" s="8"/>
      <c r="G19" s="10">
        <f t="shared" si="1"/>
        <v>0</v>
      </c>
      <c r="H19" s="14">
        <f>D19+апр!H19</f>
        <v>5125</v>
      </c>
      <c r="I19" s="8"/>
      <c r="J19" s="14">
        <f>F19+апр!J19</f>
        <v>290</v>
      </c>
      <c r="K19" s="10">
        <f t="shared" si="2"/>
        <v>290</v>
      </c>
      <c r="L19" s="16"/>
      <c r="M19" s="110"/>
      <c r="N19" s="111"/>
      <c r="P19">
        <f t="shared" si="0"/>
        <v>5125</v>
      </c>
      <c r="Q19" s="44">
        <f>E19+апр!I19</f>
        <v>0</v>
      </c>
      <c r="R19" s="30">
        <f>F19+апр!J19</f>
        <v>290</v>
      </c>
    </row>
    <row r="20" spans="1:18" ht="17.25" customHeight="1">
      <c r="A20" s="8"/>
      <c r="B20" s="12" t="s">
        <v>15</v>
      </c>
      <c r="C20" s="13" t="s">
        <v>16</v>
      </c>
      <c r="D20" s="16">
        <f>D18/D19*1000</f>
        <v>235.75219512195119</v>
      </c>
      <c r="E20" s="16"/>
      <c r="F20" s="16" t="e">
        <f>F18/F19*1000</f>
        <v>#DIV/0!</v>
      </c>
      <c r="G20" s="10" t="e">
        <f t="shared" si="1"/>
        <v>#DIV/0!</v>
      </c>
      <c r="H20" s="16">
        <f>H18/H19*1000</f>
        <v>235.75219512195122</v>
      </c>
      <c r="I20" s="8"/>
      <c r="J20" s="58"/>
      <c r="K20" s="10">
        <f t="shared" si="2"/>
        <v>0</v>
      </c>
      <c r="L20" s="16"/>
      <c r="M20" s="110"/>
      <c r="N20" s="111"/>
      <c r="P20">
        <f t="shared" si="0"/>
        <v>1178.7609756097559</v>
      </c>
      <c r="Q20" s="44">
        <f>E20+апр!I20</f>
        <v>0</v>
      </c>
      <c r="R20" s="30" t="e">
        <f>F20+апр!J20</f>
        <v>#DIV/0!</v>
      </c>
    </row>
    <row r="21" spans="1:18" ht="17.25" customHeight="1">
      <c r="A21" s="8" t="s">
        <v>21</v>
      </c>
      <c r="B21" s="9" t="s">
        <v>22</v>
      </c>
      <c r="C21" s="8" t="s">
        <v>4</v>
      </c>
      <c r="D21" s="10">
        <v>750.73</v>
      </c>
      <c r="E21" s="8"/>
      <c r="F21" s="10">
        <v>984</v>
      </c>
      <c r="G21" s="10">
        <f t="shared" si="1"/>
        <v>984</v>
      </c>
      <c r="H21" s="10">
        <f>D21+апр!H21</f>
        <v>3753.65</v>
      </c>
      <c r="I21" s="8"/>
      <c r="J21" s="10">
        <f>F21+апр!J21</f>
        <v>4878.2199999999993</v>
      </c>
      <c r="K21" s="10">
        <f t="shared" si="2"/>
        <v>4878.2199999999993</v>
      </c>
      <c r="L21" s="16"/>
      <c r="M21" s="110"/>
      <c r="N21" s="111"/>
      <c r="P21">
        <f t="shared" si="0"/>
        <v>3753.65</v>
      </c>
      <c r="Q21" s="44">
        <f>E21+апр!I21</f>
        <v>0</v>
      </c>
      <c r="R21" s="30">
        <f>F21+апр!J21</f>
        <v>4878.2199999999993</v>
      </c>
    </row>
    <row r="22" spans="1:18" ht="17.25" customHeight="1">
      <c r="A22" s="8"/>
      <c r="B22" s="12" t="s">
        <v>13</v>
      </c>
      <c r="C22" s="13" t="s">
        <v>14</v>
      </c>
      <c r="D22" s="14">
        <v>5883</v>
      </c>
      <c r="E22" s="13"/>
      <c r="F22" s="8">
        <v>6000</v>
      </c>
      <c r="G22" s="10">
        <f t="shared" si="1"/>
        <v>6000</v>
      </c>
      <c r="H22" s="14">
        <f>D22+апр!H22</f>
        <v>29415</v>
      </c>
      <c r="I22" s="8"/>
      <c r="J22" s="14">
        <f>F22+апр!J22</f>
        <v>28790</v>
      </c>
      <c r="K22" s="10">
        <f t="shared" si="2"/>
        <v>28790</v>
      </c>
      <c r="L22" s="16"/>
      <c r="M22" s="110"/>
      <c r="N22" s="111"/>
      <c r="P22">
        <f t="shared" si="0"/>
        <v>29415</v>
      </c>
      <c r="Q22" s="44">
        <f>E22+апр!I22</f>
        <v>0</v>
      </c>
      <c r="R22" s="30">
        <f>F22+апр!J22</f>
        <v>28790</v>
      </c>
    </row>
    <row r="23" spans="1:18" ht="17.25" customHeight="1">
      <c r="A23" s="8"/>
      <c r="B23" s="12" t="s">
        <v>15</v>
      </c>
      <c r="C23" s="13" t="s">
        <v>16</v>
      </c>
      <c r="D23" s="16">
        <f>D21/D22*1000</f>
        <v>127.61006289308177</v>
      </c>
      <c r="E23" s="16" t="e">
        <f t="shared" ref="E23:F23" si="7">E21/E22*1000</f>
        <v>#DIV/0!</v>
      </c>
      <c r="F23" s="16">
        <f t="shared" si="7"/>
        <v>164</v>
      </c>
      <c r="G23" s="10" t="e">
        <f t="shared" si="1"/>
        <v>#DIV/0!</v>
      </c>
      <c r="H23" s="16">
        <f>H21/H22*1000</f>
        <v>127.61006289308177</v>
      </c>
      <c r="I23" s="8"/>
      <c r="J23" s="13"/>
      <c r="K23" s="10">
        <f t="shared" si="2"/>
        <v>0</v>
      </c>
      <c r="L23" s="16"/>
      <c r="M23" s="110"/>
      <c r="N23" s="111"/>
      <c r="P23">
        <f t="shared" si="0"/>
        <v>638.05031446540886</v>
      </c>
      <c r="Q23" s="44" t="e">
        <f>E23+апр!I23</f>
        <v>#DIV/0!</v>
      </c>
      <c r="R23" s="30">
        <f>F23+апр!J23</f>
        <v>164</v>
      </c>
    </row>
    <row r="24" spans="1:18" ht="17.25" customHeight="1">
      <c r="A24" s="8" t="s">
        <v>23</v>
      </c>
      <c r="B24" s="9" t="s">
        <v>24</v>
      </c>
      <c r="C24" s="8" t="s">
        <v>4</v>
      </c>
      <c r="D24" s="10">
        <v>165.005</v>
      </c>
      <c r="E24" s="8"/>
      <c r="F24" s="10">
        <v>67.573999999999998</v>
      </c>
      <c r="G24" s="10">
        <f t="shared" si="1"/>
        <v>67.573999999999998</v>
      </c>
      <c r="H24" s="10">
        <f>D24+апр!H24</f>
        <v>825.02499999999998</v>
      </c>
      <c r="I24" s="8"/>
      <c r="J24" s="10">
        <f>F24+апр!J24</f>
        <v>483.41399999999999</v>
      </c>
      <c r="K24" s="10">
        <f t="shared" si="2"/>
        <v>483.41399999999999</v>
      </c>
      <c r="L24" s="16"/>
      <c r="M24" s="110"/>
      <c r="N24" s="111"/>
      <c r="P24">
        <f t="shared" si="0"/>
        <v>825.02499999999998</v>
      </c>
      <c r="Q24" s="44">
        <f>E24+апр!I24</f>
        <v>0</v>
      </c>
      <c r="R24" s="30">
        <f>F24+апр!J24</f>
        <v>483.41399999999999</v>
      </c>
    </row>
    <row r="25" spans="1:18" ht="17.25" customHeight="1">
      <c r="A25" s="8"/>
      <c r="B25" s="12" t="s">
        <v>13</v>
      </c>
      <c r="C25" s="13" t="s">
        <v>14</v>
      </c>
      <c r="D25" s="14">
        <v>251</v>
      </c>
      <c r="E25" s="13"/>
      <c r="F25" s="8">
        <v>130</v>
      </c>
      <c r="G25" s="10">
        <f t="shared" si="1"/>
        <v>130</v>
      </c>
      <c r="H25" s="14">
        <f>D25+апр!H25</f>
        <v>1255</v>
      </c>
      <c r="I25" s="8"/>
      <c r="J25" s="14">
        <f>F25+апр!J25</f>
        <v>930</v>
      </c>
      <c r="K25" s="10">
        <f t="shared" si="2"/>
        <v>930</v>
      </c>
      <c r="L25" s="16"/>
      <c r="M25" s="110"/>
      <c r="N25" s="111"/>
      <c r="P25">
        <f t="shared" si="0"/>
        <v>1255</v>
      </c>
      <c r="Q25" s="44">
        <f>E25+апр!I25</f>
        <v>0</v>
      </c>
      <c r="R25" s="30">
        <f>F25+апр!J25</f>
        <v>930</v>
      </c>
    </row>
    <row r="26" spans="1:18" ht="17.25" customHeight="1">
      <c r="A26" s="8"/>
      <c r="B26" s="12" t="s">
        <v>15</v>
      </c>
      <c r="C26" s="13" t="s">
        <v>16</v>
      </c>
      <c r="D26" s="16">
        <f>D24/D25*1000</f>
        <v>657.39043824701196</v>
      </c>
      <c r="E26" s="16" t="e">
        <f t="shared" ref="E26:F26" si="8">E24/E25*1000</f>
        <v>#DIV/0!</v>
      </c>
      <c r="F26" s="16">
        <f t="shared" si="8"/>
        <v>519.80000000000007</v>
      </c>
      <c r="G26" s="10" t="e">
        <f t="shared" si="1"/>
        <v>#DIV/0!</v>
      </c>
      <c r="H26" s="16">
        <f>H24/H25*1000</f>
        <v>657.39043824701196</v>
      </c>
      <c r="I26" s="16"/>
      <c r="J26" s="16">
        <f t="shared" ref="J26" si="9">J24/J25*1000</f>
        <v>519.80000000000007</v>
      </c>
      <c r="K26" s="16"/>
      <c r="L26" s="16"/>
      <c r="M26" s="110"/>
      <c r="N26" s="111"/>
      <c r="P26">
        <f t="shared" si="0"/>
        <v>3286.9521912350597</v>
      </c>
      <c r="Q26" s="44" t="e">
        <f>E26+апр!I26</f>
        <v>#DIV/0!</v>
      </c>
      <c r="R26" s="30">
        <f>F26+апр!J26</f>
        <v>1039.5999999999999</v>
      </c>
    </row>
    <row r="27" spans="1:18" ht="17.25" customHeight="1">
      <c r="A27" s="8" t="s">
        <v>23</v>
      </c>
      <c r="B27" s="9" t="s">
        <v>25</v>
      </c>
      <c r="C27" s="8" t="s">
        <v>4</v>
      </c>
      <c r="D27" s="10">
        <v>214.15600000000001</v>
      </c>
      <c r="E27" s="8"/>
      <c r="F27" s="8">
        <v>650.4</v>
      </c>
      <c r="G27" s="10">
        <f t="shared" si="1"/>
        <v>650.4</v>
      </c>
      <c r="H27" s="10">
        <f>D27+апр!H27</f>
        <v>1070.78</v>
      </c>
      <c r="I27" s="8"/>
      <c r="J27" s="10">
        <f>F27+апр!J27</f>
        <v>650.4</v>
      </c>
      <c r="K27" s="10">
        <f t="shared" si="2"/>
        <v>650.4</v>
      </c>
      <c r="L27" s="16"/>
      <c r="M27" s="110"/>
      <c r="N27" s="111"/>
      <c r="P27">
        <f t="shared" si="0"/>
        <v>1070.78</v>
      </c>
      <c r="Q27" s="44">
        <f>E27+апр!I27</f>
        <v>0</v>
      </c>
      <c r="R27" s="30">
        <f>F27+апр!J27</f>
        <v>650.4</v>
      </c>
    </row>
    <row r="28" spans="1:18" ht="17.25" customHeight="1">
      <c r="A28" s="8"/>
      <c r="B28" s="12" t="s">
        <v>13</v>
      </c>
      <c r="C28" s="13" t="s">
        <v>14</v>
      </c>
      <c r="D28" s="14">
        <v>238</v>
      </c>
      <c r="E28" s="13"/>
      <c r="F28" s="8">
        <v>813</v>
      </c>
      <c r="G28" s="10">
        <f t="shared" si="1"/>
        <v>813</v>
      </c>
      <c r="H28" s="14">
        <f>D28+апр!H28</f>
        <v>1190</v>
      </c>
      <c r="I28" s="8"/>
      <c r="J28" s="14">
        <f>F28+апр!J28</f>
        <v>813</v>
      </c>
      <c r="K28" s="10">
        <f t="shared" si="2"/>
        <v>813</v>
      </c>
      <c r="L28" s="16"/>
      <c r="M28" s="110"/>
      <c r="N28" s="111"/>
      <c r="P28">
        <f t="shared" si="0"/>
        <v>1190</v>
      </c>
      <c r="Q28" s="44">
        <f>E28+апр!I28</f>
        <v>0</v>
      </c>
      <c r="R28" s="30">
        <f>F28+апр!J28</f>
        <v>813</v>
      </c>
    </row>
    <row r="29" spans="1:18" ht="17.25" customHeight="1">
      <c r="A29" s="8"/>
      <c r="B29" s="12" t="s">
        <v>15</v>
      </c>
      <c r="C29" s="13" t="s">
        <v>16</v>
      </c>
      <c r="D29" s="16">
        <f>D27/D28*1000</f>
        <v>899.81512605042019</v>
      </c>
      <c r="E29" s="13"/>
      <c r="F29" s="8"/>
      <c r="G29" s="10">
        <f t="shared" si="1"/>
        <v>0</v>
      </c>
      <c r="H29" s="16">
        <f>H27/H28*1000</f>
        <v>899.81512605042008</v>
      </c>
      <c r="I29" s="16"/>
      <c r="J29" s="16">
        <f t="shared" ref="J29" si="10">J27/J28*1000</f>
        <v>799.99999999999989</v>
      </c>
      <c r="K29" s="10">
        <f t="shared" si="2"/>
        <v>799.99999999999989</v>
      </c>
      <c r="L29" s="16"/>
      <c r="M29" s="110"/>
      <c r="N29" s="111"/>
      <c r="P29">
        <f t="shared" si="0"/>
        <v>4499.0756302521013</v>
      </c>
      <c r="Q29" s="44">
        <f>E29+апр!I29</f>
        <v>0</v>
      </c>
      <c r="R29" s="30" t="e">
        <f>F29+апр!J29</f>
        <v>#DIV/0!</v>
      </c>
    </row>
    <row r="30" spans="1:18" ht="17.25" customHeight="1">
      <c r="A30" s="18" t="s">
        <v>26</v>
      </c>
      <c r="B30" s="9" t="s">
        <v>27</v>
      </c>
      <c r="C30" s="8" t="s">
        <v>4</v>
      </c>
      <c r="D30" s="10">
        <f t="shared" ref="D30" si="11">D31+D32+D33+D34</f>
        <v>2406.0839999999998</v>
      </c>
      <c r="E30" s="8">
        <v>762.50099999999998</v>
      </c>
      <c r="F30" s="10">
        <f>F31+F32+F33+F34</f>
        <v>526.56100000000004</v>
      </c>
      <c r="G30" s="10">
        <f t="shared" si="1"/>
        <v>-235.93999999999994</v>
      </c>
      <c r="H30" s="10">
        <f t="shared" ref="H30" si="12">H31+H32+H33+H34</f>
        <v>12030.42</v>
      </c>
      <c r="I30" s="8">
        <f>E30+апр!I30</f>
        <v>3812.5050000000001</v>
      </c>
      <c r="J30" s="10">
        <f t="shared" ref="J30" si="13">J31+J32+J33+J34</f>
        <v>9699.3099999999977</v>
      </c>
      <c r="K30" s="10">
        <f t="shared" si="2"/>
        <v>5886.8049999999976</v>
      </c>
      <c r="L30" s="16">
        <f t="shared" si="3"/>
        <v>154.40779749797042</v>
      </c>
      <c r="M30" s="110"/>
      <c r="N30" s="111"/>
      <c r="P30">
        <f t="shared" si="0"/>
        <v>12030.419999999998</v>
      </c>
      <c r="Q30" s="44">
        <f>E30+апр!I30</f>
        <v>3812.5050000000001</v>
      </c>
      <c r="R30" s="30">
        <f>F30+апр!J30</f>
        <v>9699.31</v>
      </c>
    </row>
    <row r="31" spans="1:18" ht="35.25" customHeight="1">
      <c r="A31" s="18" t="s">
        <v>28</v>
      </c>
      <c r="B31" s="9" t="s">
        <v>29</v>
      </c>
      <c r="C31" s="8" t="s">
        <v>4</v>
      </c>
      <c r="D31" s="10">
        <v>2288.5219999999999</v>
      </c>
      <c r="E31" s="8"/>
      <c r="F31" s="8">
        <v>409.738</v>
      </c>
      <c r="G31" s="10">
        <f t="shared" si="1"/>
        <v>409.738</v>
      </c>
      <c r="H31" s="10">
        <f>D31+апр!H31</f>
        <v>11442.61</v>
      </c>
      <c r="I31" s="8"/>
      <c r="J31" s="10">
        <f>F31+апр!J31</f>
        <v>9183.1729999999989</v>
      </c>
      <c r="K31" s="10">
        <f t="shared" si="2"/>
        <v>9183.1729999999989</v>
      </c>
      <c r="L31" s="16"/>
      <c r="M31" s="110"/>
      <c r="N31" s="111"/>
      <c r="P31">
        <f t="shared" si="0"/>
        <v>11442.61</v>
      </c>
      <c r="Q31" s="44">
        <f>E31+апр!I31</f>
        <v>0</v>
      </c>
      <c r="R31" s="30">
        <f>F31+апр!J31</f>
        <v>9183.1729999999989</v>
      </c>
    </row>
    <row r="32" spans="1:18" ht="51.75" customHeight="1">
      <c r="A32" s="18" t="s">
        <v>30</v>
      </c>
      <c r="B32" s="9" t="s">
        <v>31</v>
      </c>
      <c r="C32" s="8" t="s">
        <v>4</v>
      </c>
      <c r="D32" s="10">
        <v>60.337000000000003</v>
      </c>
      <c r="E32" s="8"/>
      <c r="F32" s="10">
        <v>44.076999999999998</v>
      </c>
      <c r="G32" s="10">
        <f t="shared" si="1"/>
        <v>44.076999999999998</v>
      </c>
      <c r="H32" s="10">
        <f>D32+апр!H32</f>
        <v>301.685</v>
      </c>
      <c r="I32" s="8"/>
      <c r="J32" s="10">
        <f>F32+апр!J32</f>
        <v>312.10699999999997</v>
      </c>
      <c r="K32" s="10">
        <f t="shared" si="2"/>
        <v>312.10699999999997</v>
      </c>
      <c r="L32" s="16"/>
      <c r="M32" s="112" t="s">
        <v>285</v>
      </c>
      <c r="N32" s="113"/>
      <c r="P32">
        <f t="shared" si="0"/>
        <v>301.685</v>
      </c>
      <c r="Q32" s="44">
        <f>E32+апр!I32</f>
        <v>0</v>
      </c>
      <c r="R32" s="30">
        <f>F32+апр!J32</f>
        <v>312.10699999999997</v>
      </c>
    </row>
    <row r="33" spans="1:18" ht="17.25" customHeight="1">
      <c r="A33" s="18" t="s">
        <v>32</v>
      </c>
      <c r="B33" s="9" t="s">
        <v>33</v>
      </c>
      <c r="C33" s="8" t="s">
        <v>4</v>
      </c>
      <c r="D33" s="10">
        <v>19.736999999999998</v>
      </c>
      <c r="E33" s="8"/>
      <c r="F33" s="8">
        <v>70.069000000000003</v>
      </c>
      <c r="G33" s="10">
        <f t="shared" si="1"/>
        <v>70.069000000000003</v>
      </c>
      <c r="H33" s="10">
        <f>D33+апр!H33</f>
        <v>98.684999999999988</v>
      </c>
      <c r="I33" s="8"/>
      <c r="J33" s="10">
        <f>F33+апр!J33</f>
        <v>119.595</v>
      </c>
      <c r="K33" s="10">
        <f t="shared" si="2"/>
        <v>119.595</v>
      </c>
      <c r="L33" s="16"/>
      <c r="M33" s="110"/>
      <c r="N33" s="111"/>
      <c r="P33">
        <f t="shared" si="0"/>
        <v>98.684999999999988</v>
      </c>
      <c r="Q33" s="44">
        <f>E33+апр!I33</f>
        <v>0</v>
      </c>
      <c r="R33" s="30">
        <f>F33+апр!J33</f>
        <v>119.595</v>
      </c>
    </row>
    <row r="34" spans="1:18" ht="33" customHeight="1">
      <c r="A34" s="18" t="s">
        <v>34</v>
      </c>
      <c r="B34" s="9" t="s">
        <v>35</v>
      </c>
      <c r="C34" s="8" t="s">
        <v>4</v>
      </c>
      <c r="D34" s="10">
        <v>37.488</v>
      </c>
      <c r="E34" s="8"/>
      <c r="F34" s="8">
        <v>2.677</v>
      </c>
      <c r="G34" s="10">
        <f t="shared" si="1"/>
        <v>2.677</v>
      </c>
      <c r="H34" s="10">
        <f>D34+апр!H34</f>
        <v>187.44</v>
      </c>
      <c r="I34" s="8"/>
      <c r="J34" s="10">
        <f>F34+апр!J34</f>
        <v>84.435000000000016</v>
      </c>
      <c r="K34" s="10">
        <f t="shared" si="2"/>
        <v>84.435000000000016</v>
      </c>
      <c r="L34" s="16"/>
      <c r="M34" s="110"/>
      <c r="N34" s="111"/>
      <c r="P34">
        <f t="shared" si="0"/>
        <v>187.44</v>
      </c>
      <c r="Q34" s="44">
        <f>E34+апр!I34</f>
        <v>0</v>
      </c>
      <c r="R34" s="30">
        <f>F34+апр!J34</f>
        <v>84.435000000000016</v>
      </c>
    </row>
    <row r="35" spans="1:18" ht="17.25" customHeight="1">
      <c r="A35" s="18" t="s">
        <v>36</v>
      </c>
      <c r="B35" s="9" t="s">
        <v>37</v>
      </c>
      <c r="C35" s="8" t="s">
        <v>4</v>
      </c>
      <c r="D35" s="10">
        <f t="shared" ref="D35:J35" si="14">D36</f>
        <v>162.715</v>
      </c>
      <c r="E35" s="10">
        <f t="shared" si="14"/>
        <v>162.75</v>
      </c>
      <c r="F35" s="10">
        <f t="shared" si="14"/>
        <v>30.957999999999998</v>
      </c>
      <c r="G35" s="10">
        <f t="shared" si="1"/>
        <v>-131.792</v>
      </c>
      <c r="H35" s="10">
        <f t="shared" si="14"/>
        <v>813.57500000000005</v>
      </c>
      <c r="I35" s="10">
        <f t="shared" si="14"/>
        <v>813.75</v>
      </c>
      <c r="J35" s="10">
        <f t="shared" si="14"/>
        <v>1814.5060000000001</v>
      </c>
      <c r="K35" s="10">
        <f t="shared" si="2"/>
        <v>1000.7560000000001</v>
      </c>
      <c r="L35" s="16">
        <f t="shared" si="3"/>
        <v>122.98076804915516</v>
      </c>
      <c r="M35" s="110"/>
      <c r="N35" s="111"/>
      <c r="P35">
        <f t="shared" si="0"/>
        <v>813.57500000000005</v>
      </c>
      <c r="Q35" s="44">
        <f>E35+апр!I35</f>
        <v>813.75</v>
      </c>
      <c r="R35" s="30">
        <f>F35+апр!J35</f>
        <v>1814.5060000000001</v>
      </c>
    </row>
    <row r="36" spans="1:18" ht="17.25" customHeight="1">
      <c r="A36" s="8" t="s">
        <v>38</v>
      </c>
      <c r="B36" s="9" t="s">
        <v>39</v>
      </c>
      <c r="C36" s="8" t="s">
        <v>4</v>
      </c>
      <c r="D36" s="10">
        <v>162.715</v>
      </c>
      <c r="E36" s="8">
        <v>162.75</v>
      </c>
      <c r="F36" s="10">
        <v>30.957999999999998</v>
      </c>
      <c r="G36" s="10">
        <f t="shared" si="1"/>
        <v>-131.792</v>
      </c>
      <c r="H36" s="10">
        <f>D36+апр!H36</f>
        <v>813.57500000000005</v>
      </c>
      <c r="I36" s="8">
        <f>E36+апр!I36</f>
        <v>813.75</v>
      </c>
      <c r="J36" s="10">
        <f>F36+апр!J36</f>
        <v>1814.5060000000001</v>
      </c>
      <c r="K36" s="10">
        <f t="shared" si="2"/>
        <v>1000.7560000000001</v>
      </c>
      <c r="L36" s="16">
        <f t="shared" si="3"/>
        <v>122.98076804915516</v>
      </c>
      <c r="M36" s="110"/>
      <c r="N36" s="111"/>
      <c r="P36">
        <f t="shared" si="0"/>
        <v>813.57500000000005</v>
      </c>
      <c r="Q36" s="44">
        <f>E36+апр!I36</f>
        <v>813.75</v>
      </c>
      <c r="R36" s="30">
        <f>F36+апр!J36</f>
        <v>1814.5060000000001</v>
      </c>
    </row>
    <row r="37" spans="1:18" ht="17.25" customHeight="1">
      <c r="A37" s="18" t="s">
        <v>40</v>
      </c>
      <c r="B37" s="9" t="s">
        <v>41</v>
      </c>
      <c r="C37" s="8" t="s">
        <v>4</v>
      </c>
      <c r="D37" s="10">
        <f>D38+D41+D48+D51</f>
        <v>1613.3909999999998</v>
      </c>
      <c r="E37" s="8">
        <v>1933.0830000000001</v>
      </c>
      <c r="F37" s="10">
        <f>F38+F41+F48+F51</f>
        <v>1114.384</v>
      </c>
      <c r="G37" s="10">
        <f t="shared" si="1"/>
        <v>-818.69900000000007</v>
      </c>
      <c r="H37" s="10">
        <f>H38+H41+H48+H51</f>
        <v>8066.9549999999999</v>
      </c>
      <c r="I37" s="8">
        <f>E37+апр!I37</f>
        <v>9665.4150000000009</v>
      </c>
      <c r="J37" s="10">
        <f>J38+J41+J48+J51</f>
        <v>11166.116</v>
      </c>
      <c r="K37" s="10">
        <f t="shared" si="2"/>
        <v>1500.7009999999991</v>
      </c>
      <c r="L37" s="16">
        <f t="shared" si="3"/>
        <v>15.526503517955504</v>
      </c>
      <c r="M37" s="110"/>
      <c r="N37" s="111"/>
      <c r="P37">
        <f t="shared" si="0"/>
        <v>8066.954999999999</v>
      </c>
      <c r="Q37" s="44">
        <f>E37+апр!I37</f>
        <v>9665.4150000000009</v>
      </c>
      <c r="R37" s="30">
        <f>F37+апр!J37</f>
        <v>11166.116</v>
      </c>
    </row>
    <row r="38" spans="1:18" ht="17.25" customHeight="1">
      <c r="A38" s="18" t="s">
        <v>42</v>
      </c>
      <c r="B38" s="9" t="s">
        <v>43</v>
      </c>
      <c r="C38" s="8" t="s">
        <v>4</v>
      </c>
      <c r="D38" s="10">
        <v>707.32500000000005</v>
      </c>
      <c r="E38" s="8">
        <v>707.33299999999997</v>
      </c>
      <c r="F38" s="8">
        <v>105.842</v>
      </c>
      <c r="G38" s="10">
        <f t="shared" si="1"/>
        <v>-601.49099999999999</v>
      </c>
      <c r="H38" s="10">
        <f>D38+апр!H38</f>
        <v>3536.625</v>
      </c>
      <c r="I38" s="8">
        <f>E38+апр!I38</f>
        <v>3536.665</v>
      </c>
      <c r="J38" s="10">
        <f>F38+апр!J38</f>
        <v>5653.2079999999996</v>
      </c>
      <c r="K38" s="10">
        <f t="shared" si="2"/>
        <v>2116.5429999999997</v>
      </c>
      <c r="L38" s="16">
        <f t="shared" si="3"/>
        <v>59.845730370278204</v>
      </c>
      <c r="M38" s="110"/>
      <c r="N38" s="111"/>
      <c r="P38">
        <f t="shared" si="0"/>
        <v>3536.625</v>
      </c>
      <c r="Q38" s="44">
        <f>E38+апр!I38</f>
        <v>3536.665</v>
      </c>
      <c r="R38" s="30">
        <f>F38+апр!J38</f>
        <v>5653.2079999999996</v>
      </c>
    </row>
    <row r="39" spans="1:18" ht="17.25" customHeight="1">
      <c r="A39" s="8"/>
      <c r="B39" s="12" t="s">
        <v>13</v>
      </c>
      <c r="C39" s="13" t="s">
        <v>44</v>
      </c>
      <c r="D39" s="14">
        <v>87</v>
      </c>
      <c r="E39" s="13"/>
      <c r="F39" s="8">
        <v>17</v>
      </c>
      <c r="G39" s="10">
        <f t="shared" si="1"/>
        <v>17</v>
      </c>
      <c r="H39" s="14">
        <f>D39+апр!H39</f>
        <v>435</v>
      </c>
      <c r="I39" s="8"/>
      <c r="J39" s="14">
        <f>F39+апр!J39</f>
        <v>908</v>
      </c>
      <c r="K39" s="10">
        <f t="shared" si="2"/>
        <v>908</v>
      </c>
      <c r="L39" s="16"/>
      <c r="M39" s="110"/>
      <c r="N39" s="111"/>
      <c r="P39">
        <f t="shared" si="0"/>
        <v>435</v>
      </c>
      <c r="Q39" s="44">
        <f>E39+апр!I39</f>
        <v>0</v>
      </c>
      <c r="R39" s="30">
        <f>F39+апр!J39</f>
        <v>908</v>
      </c>
    </row>
    <row r="40" spans="1:18" ht="17.25" customHeight="1">
      <c r="A40" s="8"/>
      <c r="B40" s="12" t="s">
        <v>15</v>
      </c>
      <c r="C40" s="13" t="s">
        <v>16</v>
      </c>
      <c r="D40" s="16">
        <f>D38/D39*1000</f>
        <v>8130.1724137931051</v>
      </c>
      <c r="E40" s="16"/>
      <c r="F40" s="16">
        <f t="shared" ref="F40" si="15">F38/F39*1000</f>
        <v>6226</v>
      </c>
      <c r="G40" s="10">
        <f t="shared" si="1"/>
        <v>6226</v>
      </c>
      <c r="H40" s="16">
        <f>H38/H39*1000</f>
        <v>8130.1724137931033</v>
      </c>
      <c r="I40" s="16"/>
      <c r="J40" s="16">
        <f t="shared" ref="J40" si="16">J38/J39*1000</f>
        <v>6226</v>
      </c>
      <c r="K40" s="10">
        <f t="shared" si="2"/>
        <v>6226</v>
      </c>
      <c r="L40" s="16"/>
      <c r="M40" s="110"/>
      <c r="N40" s="111"/>
      <c r="P40">
        <f t="shared" si="0"/>
        <v>40650.862068965522</v>
      </c>
      <c r="Q40" s="44">
        <f>E40+апр!I40</f>
        <v>0</v>
      </c>
      <c r="R40" s="30">
        <f>F40+апр!J40</f>
        <v>12452</v>
      </c>
    </row>
    <row r="41" spans="1:18" ht="17.25" customHeight="1">
      <c r="A41" s="18" t="s">
        <v>45</v>
      </c>
      <c r="B41" s="9" t="s">
        <v>46</v>
      </c>
      <c r="C41" s="8" t="s">
        <v>4</v>
      </c>
      <c r="D41" s="10">
        <f t="shared" ref="D41:F41" si="17">D42+D45</f>
        <v>315.00200000000001</v>
      </c>
      <c r="E41" s="10">
        <f t="shared" si="17"/>
        <v>0</v>
      </c>
      <c r="F41" s="10">
        <f t="shared" si="17"/>
        <v>293.08800000000002</v>
      </c>
      <c r="G41" s="10">
        <f t="shared" si="1"/>
        <v>293.08800000000002</v>
      </c>
      <c r="H41" s="10">
        <f t="shared" ref="H41:J41" si="18">H42+H45</f>
        <v>1575.01</v>
      </c>
      <c r="I41" s="10">
        <f t="shared" si="18"/>
        <v>0</v>
      </c>
      <c r="J41" s="10">
        <f t="shared" si="18"/>
        <v>1730.146</v>
      </c>
      <c r="K41" s="10">
        <f t="shared" si="2"/>
        <v>1730.146</v>
      </c>
      <c r="L41" s="16"/>
      <c r="M41" s="110"/>
      <c r="N41" s="111"/>
      <c r="P41">
        <f t="shared" si="0"/>
        <v>1575.01</v>
      </c>
      <c r="Q41" s="44">
        <f>E41+апр!I41</f>
        <v>0</v>
      </c>
      <c r="R41" s="30">
        <f>F41+апр!J41</f>
        <v>1730.146</v>
      </c>
    </row>
    <row r="42" spans="1:18" ht="16.5" customHeight="1">
      <c r="A42" s="8"/>
      <c r="B42" s="9" t="s">
        <v>47</v>
      </c>
      <c r="C42" s="8" t="s">
        <v>4</v>
      </c>
      <c r="D42" s="10">
        <v>152.298</v>
      </c>
      <c r="E42" s="8"/>
      <c r="F42" s="8"/>
      <c r="G42" s="10">
        <f t="shared" si="1"/>
        <v>0</v>
      </c>
      <c r="H42" s="10">
        <f>D42+апр!H42</f>
        <v>761.49</v>
      </c>
      <c r="I42" s="8"/>
      <c r="J42" s="10">
        <f>F42+апр!J42</f>
        <v>0</v>
      </c>
      <c r="K42" s="10">
        <f t="shared" si="2"/>
        <v>0</v>
      </c>
      <c r="L42" s="16"/>
      <c r="M42" s="123" t="s">
        <v>286</v>
      </c>
      <c r="N42" s="124"/>
      <c r="P42">
        <f t="shared" si="0"/>
        <v>761.49</v>
      </c>
      <c r="Q42" s="44">
        <f>E42+апр!I42</f>
        <v>0</v>
      </c>
      <c r="R42" s="30">
        <f>F42+апр!J42</f>
        <v>0</v>
      </c>
    </row>
    <row r="43" spans="1:18" ht="17.25" customHeight="1">
      <c r="A43" s="8"/>
      <c r="B43" s="12" t="s">
        <v>48</v>
      </c>
      <c r="C43" s="13" t="s">
        <v>49</v>
      </c>
      <c r="D43" s="14">
        <v>1917</v>
      </c>
      <c r="E43" s="13"/>
      <c r="F43" s="8"/>
      <c r="G43" s="10">
        <f t="shared" si="1"/>
        <v>0</v>
      </c>
      <c r="H43" s="14">
        <f>D43+апр!H43</f>
        <v>9585</v>
      </c>
      <c r="I43" s="8"/>
      <c r="J43" s="14">
        <f>F43+апр!J43</f>
        <v>0</v>
      </c>
      <c r="K43" s="10">
        <f t="shared" si="2"/>
        <v>0</v>
      </c>
      <c r="L43" s="16"/>
      <c r="M43" s="125"/>
      <c r="N43" s="126"/>
      <c r="P43">
        <f t="shared" si="0"/>
        <v>9585</v>
      </c>
      <c r="Q43" s="44">
        <f>E43+апр!I43</f>
        <v>0</v>
      </c>
      <c r="R43" s="30">
        <f>F43+апр!J43</f>
        <v>0</v>
      </c>
    </row>
    <row r="44" spans="1:18" ht="17.25" customHeight="1">
      <c r="A44" s="8"/>
      <c r="B44" s="12" t="s">
        <v>15</v>
      </c>
      <c r="C44" s="13" t="s">
        <v>16</v>
      </c>
      <c r="D44" s="16">
        <f>D42/D43*1000</f>
        <v>79.44600938967136</v>
      </c>
      <c r="E44" s="13"/>
      <c r="F44" s="8"/>
      <c r="G44" s="10">
        <f t="shared" si="1"/>
        <v>0</v>
      </c>
      <c r="H44" s="16">
        <f>H42/H43*1000</f>
        <v>79.44600938967136</v>
      </c>
      <c r="I44" s="16"/>
      <c r="J44" s="16" t="e">
        <f t="shared" ref="J44" si="19">J42/J43*1000</f>
        <v>#DIV/0!</v>
      </c>
      <c r="K44" s="10" t="e">
        <f t="shared" si="2"/>
        <v>#DIV/0!</v>
      </c>
      <c r="L44" s="16"/>
      <c r="M44" s="110"/>
      <c r="N44" s="111"/>
      <c r="P44">
        <f t="shared" si="0"/>
        <v>397.2300469483568</v>
      </c>
      <c r="Q44" s="44">
        <f>E44+апр!I44</f>
        <v>0</v>
      </c>
      <c r="R44" s="30" t="e">
        <f>F44+апр!J44</f>
        <v>#DIV/0!</v>
      </c>
    </row>
    <row r="45" spans="1:18" ht="17.25" customHeight="1">
      <c r="A45" s="8"/>
      <c r="B45" s="19" t="s">
        <v>50</v>
      </c>
      <c r="C45" s="8" t="s">
        <v>4</v>
      </c>
      <c r="D45" s="10">
        <v>162.70400000000001</v>
      </c>
      <c r="E45" s="8"/>
      <c r="F45" s="10">
        <v>293.08800000000002</v>
      </c>
      <c r="G45" s="10">
        <f t="shared" si="1"/>
        <v>293.08800000000002</v>
      </c>
      <c r="H45" s="10">
        <f>D45+апр!H45</f>
        <v>813.52</v>
      </c>
      <c r="I45" s="8">
        <f>E45+апр!I45</f>
        <v>0</v>
      </c>
      <c r="J45" s="10">
        <f>F45+апр!J45</f>
        <v>1730.146</v>
      </c>
      <c r="K45" s="10">
        <f t="shared" si="2"/>
        <v>1730.146</v>
      </c>
      <c r="L45" s="16"/>
      <c r="M45" s="110"/>
      <c r="N45" s="111"/>
      <c r="P45">
        <f t="shared" si="0"/>
        <v>813.52</v>
      </c>
      <c r="Q45" s="44">
        <f>E45+апр!I45</f>
        <v>0</v>
      </c>
      <c r="R45" s="30">
        <f>F45+апр!J45</f>
        <v>1730.146</v>
      </c>
    </row>
    <row r="46" spans="1:18" ht="17.25" customHeight="1">
      <c r="A46" s="8"/>
      <c r="B46" s="12" t="s">
        <v>51</v>
      </c>
      <c r="C46" s="13" t="s">
        <v>49</v>
      </c>
      <c r="D46" s="14">
        <v>1417</v>
      </c>
      <c r="E46" s="13"/>
      <c r="F46" s="8">
        <v>2066</v>
      </c>
      <c r="G46" s="10">
        <f t="shared" si="1"/>
        <v>2066</v>
      </c>
      <c r="H46" s="14">
        <f>D46+апр!H46</f>
        <v>7085</v>
      </c>
      <c r="I46" s="8"/>
      <c r="J46" s="14">
        <f>F46+апр!J46</f>
        <v>12188</v>
      </c>
      <c r="K46" s="10">
        <f t="shared" si="2"/>
        <v>12188</v>
      </c>
      <c r="L46" s="16"/>
      <c r="M46" s="110"/>
      <c r="N46" s="111"/>
      <c r="P46">
        <f t="shared" si="0"/>
        <v>7085</v>
      </c>
      <c r="Q46" s="44">
        <f>E46+апр!I46</f>
        <v>0</v>
      </c>
      <c r="R46" s="30">
        <f>F46+апр!J46</f>
        <v>12188</v>
      </c>
    </row>
    <row r="47" spans="1:18" ht="17.25" customHeight="1">
      <c r="A47" s="8"/>
      <c r="B47" s="12" t="s">
        <v>15</v>
      </c>
      <c r="C47" s="13" t="s">
        <v>16</v>
      </c>
      <c r="D47" s="16">
        <f>D45/D46*1000</f>
        <v>114.82286520818631</v>
      </c>
      <c r="E47" s="16"/>
      <c r="F47" s="16">
        <f t="shared" ref="F47" si="20">F45/F46*1000</f>
        <v>141.86253630203294</v>
      </c>
      <c r="G47" s="10">
        <f t="shared" si="1"/>
        <v>141.86253630203294</v>
      </c>
      <c r="H47" s="16">
        <f>H45/H46*1000</f>
        <v>114.82286520818631</v>
      </c>
      <c r="I47" s="16"/>
      <c r="J47" s="16">
        <f t="shared" ref="J47" si="21">J45/J46*1000</f>
        <v>141.95487364620936</v>
      </c>
      <c r="K47" s="10">
        <f t="shared" si="2"/>
        <v>141.95487364620936</v>
      </c>
      <c r="L47" s="16"/>
      <c r="M47" s="110"/>
      <c r="N47" s="111"/>
      <c r="P47">
        <f t="shared" si="0"/>
        <v>574.11432604093159</v>
      </c>
      <c r="Q47" s="44">
        <f>E47+апр!I47</f>
        <v>0</v>
      </c>
      <c r="R47" s="30">
        <f>F47+апр!J47</f>
        <v>283.83625691060831</v>
      </c>
    </row>
    <row r="48" spans="1:18" ht="17.25" customHeight="1">
      <c r="A48" s="18" t="s">
        <v>52</v>
      </c>
      <c r="B48" s="9" t="s">
        <v>53</v>
      </c>
      <c r="C48" s="8" t="s">
        <v>4</v>
      </c>
      <c r="D48" s="10">
        <v>515.60799999999995</v>
      </c>
      <c r="E48" s="8"/>
      <c r="F48" s="8">
        <f>8.053+695.682</f>
        <v>703.73500000000001</v>
      </c>
      <c r="G48" s="10">
        <f t="shared" si="1"/>
        <v>703.73500000000001</v>
      </c>
      <c r="H48" s="10">
        <f>D48+апр!H48</f>
        <v>2578.04</v>
      </c>
      <c r="I48" s="8"/>
      <c r="J48" s="10">
        <f>F48+апр!J48</f>
        <v>3649.8940000000007</v>
      </c>
      <c r="K48" s="10">
        <f t="shared" si="2"/>
        <v>3649.8940000000007</v>
      </c>
      <c r="L48" s="16"/>
      <c r="M48" s="110"/>
      <c r="N48" s="111"/>
      <c r="P48">
        <f t="shared" si="0"/>
        <v>2578.04</v>
      </c>
      <c r="Q48" s="44">
        <f>E48+апр!I48</f>
        <v>0</v>
      </c>
      <c r="R48" s="30">
        <f>F48+апр!J48</f>
        <v>3649.8940000000007</v>
      </c>
    </row>
    <row r="49" spans="1:18" ht="17.25" customHeight="1">
      <c r="A49" s="8"/>
      <c r="B49" s="12" t="s">
        <v>13</v>
      </c>
      <c r="C49" s="13" t="s">
        <v>49</v>
      </c>
      <c r="D49" s="14">
        <v>5833</v>
      </c>
      <c r="E49" s="13"/>
      <c r="F49" s="8">
        <v>4866</v>
      </c>
      <c r="G49" s="10">
        <f t="shared" si="1"/>
        <v>4866</v>
      </c>
      <c r="H49" s="14">
        <f>D49+апр!H49</f>
        <v>29165</v>
      </c>
      <c r="I49" s="8"/>
      <c r="J49" s="14">
        <f>F49+апр!J49</f>
        <v>23189</v>
      </c>
      <c r="K49" s="10">
        <f t="shared" si="2"/>
        <v>23189</v>
      </c>
      <c r="L49" s="16"/>
      <c r="M49" s="110"/>
      <c r="N49" s="111"/>
      <c r="P49">
        <f t="shared" si="0"/>
        <v>29165</v>
      </c>
      <c r="Q49" s="44">
        <f>E49+апр!I49</f>
        <v>0</v>
      </c>
      <c r="R49" s="30">
        <f>F49+апр!J49</f>
        <v>23189</v>
      </c>
    </row>
    <row r="50" spans="1:18" ht="17.25" customHeight="1">
      <c r="A50" s="8"/>
      <c r="B50" s="12" t="s">
        <v>15</v>
      </c>
      <c r="C50" s="13" t="s">
        <v>16</v>
      </c>
      <c r="D50" s="16">
        <f>D48/D49*1000</f>
        <v>88.394993999657117</v>
      </c>
      <c r="E50" s="16"/>
      <c r="F50" s="16">
        <f t="shared" ref="F50" si="22">F48/F49*1000</f>
        <v>144.62289354706124</v>
      </c>
      <c r="G50" s="10">
        <f t="shared" si="1"/>
        <v>144.62289354706124</v>
      </c>
      <c r="H50" s="16">
        <f>H48/H49*1000</f>
        <v>88.394993999657132</v>
      </c>
      <c r="I50" s="16"/>
      <c r="J50" s="16">
        <f t="shared" ref="J50" si="23">J48/J49*1000</f>
        <v>157.39764543533573</v>
      </c>
      <c r="K50" s="10">
        <f t="shared" si="2"/>
        <v>157.39764543533573</v>
      </c>
      <c r="L50" s="16"/>
      <c r="M50" s="110"/>
      <c r="N50" s="111"/>
      <c r="P50">
        <f t="shared" si="0"/>
        <v>441.97496999828559</v>
      </c>
      <c r="Q50" s="44">
        <f>E50+апр!I50</f>
        <v>0</v>
      </c>
      <c r="R50" s="30">
        <f>F50+апр!J50</f>
        <v>305.41310257396731</v>
      </c>
    </row>
    <row r="51" spans="1:18" ht="17.25" customHeight="1">
      <c r="A51" s="18" t="s">
        <v>54</v>
      </c>
      <c r="B51" s="20" t="s">
        <v>55</v>
      </c>
      <c r="C51" s="8" t="s">
        <v>4</v>
      </c>
      <c r="D51" s="10">
        <f t="shared" ref="D51:F52" si="24">D54+D57+D60+D63+D66+D69</f>
        <v>75.456000000000003</v>
      </c>
      <c r="E51" s="10"/>
      <c r="F51" s="10">
        <f t="shared" si="24"/>
        <v>11.719000000000001</v>
      </c>
      <c r="G51" s="10">
        <f t="shared" si="1"/>
        <v>11.719000000000001</v>
      </c>
      <c r="H51" s="10">
        <f t="shared" ref="H51:H52" si="25">H54+H57+H60+H63+H66+H69</f>
        <v>377.28</v>
      </c>
      <c r="I51" s="10"/>
      <c r="J51" s="10">
        <f t="shared" ref="J51:J52" si="26">J54+J57+J60+J63+J66+J69</f>
        <v>132.86799999999999</v>
      </c>
      <c r="K51" s="10">
        <f t="shared" si="2"/>
        <v>132.86799999999999</v>
      </c>
      <c r="L51" s="16"/>
      <c r="M51" s="110"/>
      <c r="N51" s="111"/>
      <c r="P51">
        <f t="shared" si="0"/>
        <v>377.28000000000003</v>
      </c>
      <c r="Q51" s="44">
        <f>E51+апр!I51</f>
        <v>0</v>
      </c>
      <c r="R51" s="30">
        <f>F51+апр!J51</f>
        <v>132.86799999999999</v>
      </c>
    </row>
    <row r="52" spans="1:18" ht="17.25" customHeight="1">
      <c r="A52" s="8"/>
      <c r="B52" s="19" t="s">
        <v>13</v>
      </c>
      <c r="C52" s="13" t="s">
        <v>49</v>
      </c>
      <c r="D52" s="14">
        <f t="shared" si="24"/>
        <v>177</v>
      </c>
      <c r="E52" s="13"/>
      <c r="F52" s="14">
        <f t="shared" si="24"/>
        <v>23</v>
      </c>
      <c r="G52" s="10">
        <f t="shared" si="1"/>
        <v>23</v>
      </c>
      <c r="H52" s="14">
        <f t="shared" si="25"/>
        <v>885</v>
      </c>
      <c r="I52" s="8"/>
      <c r="J52" s="14">
        <f t="shared" si="26"/>
        <v>242.07499999999999</v>
      </c>
      <c r="K52" s="10">
        <f t="shared" si="2"/>
        <v>242.07499999999999</v>
      </c>
      <c r="L52" s="16"/>
      <c r="M52" s="110"/>
      <c r="N52" s="111"/>
      <c r="P52">
        <f t="shared" si="0"/>
        <v>885</v>
      </c>
      <c r="Q52" s="44">
        <f>E52+апр!I52</f>
        <v>0</v>
      </c>
      <c r="R52" s="30">
        <f>F52+апр!J52</f>
        <v>242.07499999999999</v>
      </c>
    </row>
    <row r="53" spans="1:18" ht="17.25" customHeight="1">
      <c r="A53" s="8"/>
      <c r="B53" s="19" t="s">
        <v>15</v>
      </c>
      <c r="C53" s="13" t="s">
        <v>16</v>
      </c>
      <c r="D53" s="16">
        <f>D51/D52*1000</f>
        <v>426.30508474576271</v>
      </c>
      <c r="E53" s="16"/>
      <c r="F53" s="16">
        <f t="shared" ref="F53" si="27">F51/F52*1000</f>
        <v>509.52173913043487</v>
      </c>
      <c r="G53" s="10">
        <f t="shared" si="1"/>
        <v>509.52173913043487</v>
      </c>
      <c r="H53" s="16">
        <f>H51/H52*1000</f>
        <v>426.30508474576266</v>
      </c>
      <c r="I53" s="16"/>
      <c r="J53" s="16">
        <f t="shared" ref="J53" si="28">J51/J52*1000</f>
        <v>548.87121759785191</v>
      </c>
      <c r="K53" s="10">
        <f t="shared" si="2"/>
        <v>548.87121759785191</v>
      </c>
      <c r="L53" s="16"/>
      <c r="M53" s="110"/>
      <c r="N53" s="111"/>
      <c r="P53">
        <f t="shared" si="0"/>
        <v>2131.5254237288136</v>
      </c>
      <c r="Q53" s="44">
        <f>E53+апр!I53</f>
        <v>0</v>
      </c>
      <c r="R53" s="30">
        <f>F53+апр!J53</f>
        <v>1062.5241355700105</v>
      </c>
    </row>
    <row r="54" spans="1:18" ht="17.25" customHeight="1">
      <c r="A54" s="8"/>
      <c r="B54" s="20" t="s">
        <v>56</v>
      </c>
      <c r="C54" s="8" t="s">
        <v>4</v>
      </c>
      <c r="D54" s="10">
        <v>7.8079999999999998</v>
      </c>
      <c r="E54" s="8"/>
      <c r="F54" s="8">
        <v>3.75</v>
      </c>
      <c r="G54" s="10">
        <f t="shared" si="1"/>
        <v>3.75</v>
      </c>
      <c r="H54" s="10">
        <f>D54+апр!H54</f>
        <v>39.04</v>
      </c>
      <c r="I54" s="8"/>
      <c r="J54" s="10">
        <f>F54+апр!J54</f>
        <v>17.353999999999999</v>
      </c>
      <c r="K54" s="10">
        <f t="shared" si="2"/>
        <v>17.353999999999999</v>
      </c>
      <c r="L54" s="16"/>
      <c r="M54" s="110"/>
      <c r="N54" s="111"/>
      <c r="P54">
        <f t="shared" si="0"/>
        <v>39.04</v>
      </c>
      <c r="Q54" s="44">
        <f>E54+апр!I54</f>
        <v>0</v>
      </c>
      <c r="R54" s="30">
        <f>F54+апр!J54</f>
        <v>17.353999999999999</v>
      </c>
    </row>
    <row r="55" spans="1:18" ht="17.25" customHeight="1">
      <c r="A55" s="8"/>
      <c r="B55" s="12" t="s">
        <v>13</v>
      </c>
      <c r="C55" s="13" t="s">
        <v>49</v>
      </c>
      <c r="D55" s="14">
        <v>31</v>
      </c>
      <c r="E55" s="13"/>
      <c r="F55" s="8">
        <v>8</v>
      </c>
      <c r="G55" s="10">
        <f t="shared" si="1"/>
        <v>8</v>
      </c>
      <c r="H55" s="14">
        <f>D55+апр!H55</f>
        <v>155</v>
      </c>
      <c r="I55" s="8"/>
      <c r="J55" s="14">
        <f>F55+апр!J55</f>
        <v>33</v>
      </c>
      <c r="K55" s="10">
        <f t="shared" si="2"/>
        <v>33</v>
      </c>
      <c r="L55" s="16"/>
      <c r="M55" s="110"/>
      <c r="N55" s="111"/>
      <c r="P55">
        <f t="shared" si="0"/>
        <v>155</v>
      </c>
      <c r="Q55" s="44">
        <f>E55+апр!I55</f>
        <v>0</v>
      </c>
      <c r="R55" s="30">
        <f>F55+апр!J55</f>
        <v>33</v>
      </c>
    </row>
    <row r="56" spans="1:18" ht="17.25" customHeight="1">
      <c r="A56" s="8"/>
      <c r="B56" s="12" t="s">
        <v>15</v>
      </c>
      <c r="C56" s="13" t="s">
        <v>16</v>
      </c>
      <c r="D56" s="16">
        <f>D54/D55*1000</f>
        <v>251.87096774193546</v>
      </c>
      <c r="E56" s="16"/>
      <c r="F56" s="16">
        <f t="shared" ref="F56" si="29">F54/F55*1000</f>
        <v>468.75</v>
      </c>
      <c r="G56" s="10">
        <f t="shared" si="1"/>
        <v>468.75</v>
      </c>
      <c r="H56" s="16">
        <f>H54/H55*1000</f>
        <v>251.87096774193546</v>
      </c>
      <c r="I56" s="16"/>
      <c r="J56" s="16">
        <f t="shared" ref="J56" si="30">J54/J55*1000</f>
        <v>525.87878787878788</v>
      </c>
      <c r="K56" s="10">
        <f t="shared" si="2"/>
        <v>525.87878787878788</v>
      </c>
      <c r="L56" s="16"/>
      <c r="M56" s="110"/>
      <c r="N56" s="111"/>
      <c r="P56">
        <f t="shared" si="0"/>
        <v>1259.3548387096773</v>
      </c>
      <c r="Q56" s="44">
        <f>E56+апр!I56</f>
        <v>0</v>
      </c>
      <c r="R56" s="30">
        <f>F56+апр!J56</f>
        <v>1012.91</v>
      </c>
    </row>
    <row r="57" spans="1:18" ht="17.25" customHeight="1">
      <c r="A57" s="8"/>
      <c r="B57" s="20" t="s">
        <v>57</v>
      </c>
      <c r="C57" s="8" t="s">
        <v>4</v>
      </c>
      <c r="D57" s="10">
        <v>13.96</v>
      </c>
      <c r="E57" s="8"/>
      <c r="F57" s="8"/>
      <c r="G57" s="10">
        <f t="shared" si="1"/>
        <v>0</v>
      </c>
      <c r="H57" s="10">
        <f>D57+апр!H57</f>
        <v>69.800000000000011</v>
      </c>
      <c r="I57" s="8"/>
      <c r="J57" s="10">
        <f>F57+апр!J57</f>
        <v>0</v>
      </c>
      <c r="K57" s="10">
        <f t="shared" si="2"/>
        <v>0</v>
      </c>
      <c r="L57" s="16"/>
      <c r="M57" s="123" t="s">
        <v>291</v>
      </c>
      <c r="N57" s="124"/>
      <c r="P57">
        <f t="shared" si="0"/>
        <v>69.800000000000011</v>
      </c>
      <c r="Q57" s="44">
        <f>E57+апр!I57</f>
        <v>0</v>
      </c>
      <c r="R57" s="30">
        <f>F57+апр!J57</f>
        <v>0</v>
      </c>
    </row>
    <row r="58" spans="1:18" ht="17.25" customHeight="1">
      <c r="A58" s="8"/>
      <c r="B58" s="12" t="s">
        <v>13</v>
      </c>
      <c r="C58" s="13" t="s">
        <v>49</v>
      </c>
      <c r="D58" s="14">
        <v>33</v>
      </c>
      <c r="E58" s="13"/>
      <c r="F58" s="8"/>
      <c r="G58" s="10">
        <f t="shared" si="1"/>
        <v>0</v>
      </c>
      <c r="H58" s="14">
        <f>D58+апр!H58</f>
        <v>165</v>
      </c>
      <c r="I58" s="8"/>
      <c r="J58" s="14">
        <f>F58+апр!J58</f>
        <v>0</v>
      </c>
      <c r="K58" s="10">
        <f t="shared" si="2"/>
        <v>0</v>
      </c>
      <c r="L58" s="16"/>
      <c r="M58" s="125"/>
      <c r="N58" s="126"/>
      <c r="P58">
        <f t="shared" si="0"/>
        <v>165</v>
      </c>
      <c r="Q58" s="44">
        <f>E58+апр!I58</f>
        <v>0</v>
      </c>
      <c r="R58" s="30">
        <f>F58+апр!J58</f>
        <v>0</v>
      </c>
    </row>
    <row r="59" spans="1:18" ht="17.25" customHeight="1">
      <c r="A59" s="8"/>
      <c r="B59" s="12" t="s">
        <v>15</v>
      </c>
      <c r="C59" s="13" t="s">
        <v>16</v>
      </c>
      <c r="D59" s="16">
        <f>D57/D58*1000</f>
        <v>423.03030303030306</v>
      </c>
      <c r="E59" s="13"/>
      <c r="F59" s="8"/>
      <c r="G59" s="10">
        <f t="shared" si="1"/>
        <v>0</v>
      </c>
      <c r="H59" s="16">
        <f>H57/H58*1000</f>
        <v>423.03030303030312</v>
      </c>
      <c r="I59" s="8"/>
      <c r="J59" s="13"/>
      <c r="K59" s="10">
        <f t="shared" si="2"/>
        <v>0</v>
      </c>
      <c r="L59" s="16"/>
      <c r="M59" s="110"/>
      <c r="N59" s="111"/>
      <c r="P59">
        <f t="shared" si="0"/>
        <v>2115.1515151515155</v>
      </c>
      <c r="Q59" s="44">
        <f>E59+апр!I59</f>
        <v>0</v>
      </c>
      <c r="R59" s="30">
        <f>F59+апр!J59</f>
        <v>0</v>
      </c>
    </row>
    <row r="60" spans="1:18" ht="17.25" customHeight="1">
      <c r="A60" s="8"/>
      <c r="B60" s="20" t="s">
        <v>58</v>
      </c>
      <c r="C60" s="8" t="s">
        <v>4</v>
      </c>
      <c r="D60" s="10">
        <v>28.585000000000001</v>
      </c>
      <c r="E60" s="8"/>
      <c r="F60" s="8">
        <v>7.9690000000000003</v>
      </c>
      <c r="G60" s="10">
        <f t="shared" si="1"/>
        <v>7.9690000000000003</v>
      </c>
      <c r="H60" s="10">
        <f>D60+апр!H60</f>
        <v>142.92500000000001</v>
      </c>
      <c r="I60" s="8"/>
      <c r="J60" s="10">
        <f>F60+апр!J60</f>
        <v>65.343999999999994</v>
      </c>
      <c r="K60" s="10">
        <f t="shared" si="2"/>
        <v>65.343999999999994</v>
      </c>
      <c r="L60" s="16"/>
      <c r="M60" s="123" t="s">
        <v>291</v>
      </c>
      <c r="N60" s="124"/>
      <c r="P60">
        <f t="shared" si="0"/>
        <v>142.92500000000001</v>
      </c>
      <c r="Q60" s="44">
        <f>E60+апр!I60</f>
        <v>0</v>
      </c>
      <c r="R60" s="30">
        <f>F60+апр!J60</f>
        <v>65.343999999999994</v>
      </c>
    </row>
    <row r="61" spans="1:18" ht="17.25" customHeight="1">
      <c r="A61" s="8"/>
      <c r="B61" s="12" t="s">
        <v>13</v>
      </c>
      <c r="C61" s="13" t="s">
        <v>49</v>
      </c>
      <c r="D61" s="14">
        <v>70</v>
      </c>
      <c r="E61" s="13"/>
      <c r="F61" s="8">
        <v>15</v>
      </c>
      <c r="G61" s="10">
        <f t="shared" si="1"/>
        <v>15</v>
      </c>
      <c r="H61" s="14">
        <f>D61+апр!H61</f>
        <v>350</v>
      </c>
      <c r="I61" s="8"/>
      <c r="J61" s="14">
        <f>F61+апр!J61</f>
        <v>123</v>
      </c>
      <c r="K61" s="10">
        <f t="shared" si="2"/>
        <v>123</v>
      </c>
      <c r="L61" s="16"/>
      <c r="M61" s="125"/>
      <c r="N61" s="126"/>
      <c r="P61">
        <f t="shared" si="0"/>
        <v>350</v>
      </c>
      <c r="Q61" s="44">
        <f>E61+апр!I61</f>
        <v>0</v>
      </c>
      <c r="R61" s="30">
        <f>F61+апр!J61</f>
        <v>123</v>
      </c>
    </row>
    <row r="62" spans="1:18" ht="17.25" customHeight="1">
      <c r="A62" s="8"/>
      <c r="B62" s="12" t="s">
        <v>15</v>
      </c>
      <c r="C62" s="13" t="s">
        <v>16</v>
      </c>
      <c r="D62" s="16">
        <f>D60/D61*1000</f>
        <v>408.35714285714289</v>
      </c>
      <c r="E62" s="16"/>
      <c r="F62" s="16">
        <f t="shared" ref="F62" si="31">F60/F61*1000</f>
        <v>531.26666666666665</v>
      </c>
      <c r="G62" s="10">
        <f t="shared" si="1"/>
        <v>531.26666666666665</v>
      </c>
      <c r="H62" s="16">
        <f>H60/H61*1000</f>
        <v>408.35714285714289</v>
      </c>
      <c r="I62" s="16"/>
      <c r="J62" s="16">
        <f t="shared" ref="J62" si="32">J60/J61*1000</f>
        <v>531.2520325203252</v>
      </c>
      <c r="K62" s="10">
        <f t="shared" si="2"/>
        <v>531.2520325203252</v>
      </c>
      <c r="L62" s="16"/>
      <c r="M62" s="110"/>
      <c r="N62" s="111"/>
      <c r="P62">
        <f t="shared" si="0"/>
        <v>2041.7857142857144</v>
      </c>
      <c r="Q62" s="44">
        <f>E62+апр!I62</f>
        <v>0</v>
      </c>
      <c r="R62" s="30">
        <f>F62+апр!J62</f>
        <v>1062.5166666666667</v>
      </c>
    </row>
    <row r="63" spans="1:18" ht="17.25" customHeight="1">
      <c r="A63" s="8"/>
      <c r="B63" s="20" t="s">
        <v>220</v>
      </c>
      <c r="C63" s="8" t="s">
        <v>4</v>
      </c>
      <c r="D63" s="10">
        <v>12.234</v>
      </c>
      <c r="E63" s="8"/>
      <c r="F63" s="10"/>
      <c r="G63" s="10">
        <f t="shared" si="1"/>
        <v>0</v>
      </c>
      <c r="H63" s="10">
        <f>D63+апр!H63</f>
        <v>61.17</v>
      </c>
      <c r="I63" s="8"/>
      <c r="J63" s="10">
        <f>F63+апр!J63</f>
        <v>8.66</v>
      </c>
      <c r="K63" s="10">
        <f t="shared" si="2"/>
        <v>8.66</v>
      </c>
      <c r="L63" s="16"/>
      <c r="M63" s="110"/>
      <c r="N63" s="111"/>
      <c r="P63">
        <f t="shared" si="0"/>
        <v>61.17</v>
      </c>
      <c r="Q63" s="44">
        <f>E63+апр!I63</f>
        <v>0</v>
      </c>
      <c r="R63" s="30">
        <f>F63+апр!J63</f>
        <v>8.66</v>
      </c>
    </row>
    <row r="64" spans="1:18" ht="17.25" customHeight="1">
      <c r="A64" s="8"/>
      <c r="B64" s="12" t="s">
        <v>13</v>
      </c>
      <c r="C64" s="13" t="s">
        <v>49</v>
      </c>
      <c r="D64" s="14">
        <v>23</v>
      </c>
      <c r="E64" s="13"/>
      <c r="F64" s="8"/>
      <c r="G64" s="10">
        <f t="shared" si="1"/>
        <v>0</v>
      </c>
      <c r="H64" s="14">
        <f>D64+апр!H64</f>
        <v>115</v>
      </c>
      <c r="I64" s="8"/>
      <c r="J64" s="14">
        <f>F64+апр!J64</f>
        <v>20</v>
      </c>
      <c r="K64" s="10">
        <f t="shared" si="2"/>
        <v>20</v>
      </c>
      <c r="L64" s="16"/>
      <c r="M64" s="110"/>
      <c r="N64" s="111"/>
      <c r="P64">
        <f t="shared" si="0"/>
        <v>115</v>
      </c>
      <c r="Q64" s="44">
        <f>E64+апр!I64</f>
        <v>0</v>
      </c>
      <c r="R64" s="30">
        <f>F64+апр!J64</f>
        <v>20</v>
      </c>
    </row>
    <row r="65" spans="1:18" ht="17.25" customHeight="1">
      <c r="A65" s="8"/>
      <c r="B65" s="12" t="s">
        <v>15</v>
      </c>
      <c r="C65" s="13" t="s">
        <v>16</v>
      </c>
      <c r="D65" s="16">
        <f>D63/D64*1000</f>
        <v>531.91304347826087</v>
      </c>
      <c r="E65" s="16"/>
      <c r="F65" s="16" t="e">
        <f t="shared" ref="F65" si="33">F63/F64*1000</f>
        <v>#DIV/0!</v>
      </c>
      <c r="G65" s="10" t="e">
        <f t="shared" si="1"/>
        <v>#DIV/0!</v>
      </c>
      <c r="H65" s="16">
        <f>H63/H64*1000</f>
        <v>531.91304347826087</v>
      </c>
      <c r="I65" s="16"/>
      <c r="J65" s="16">
        <f t="shared" ref="J65" si="34">J63/J64*1000</f>
        <v>433</v>
      </c>
      <c r="K65" s="10">
        <f t="shared" si="2"/>
        <v>433</v>
      </c>
      <c r="L65" s="16"/>
      <c r="M65" s="110"/>
      <c r="N65" s="111"/>
      <c r="P65">
        <f t="shared" si="0"/>
        <v>2659.5652173913045</v>
      </c>
      <c r="Q65" s="44">
        <f>E65+апр!I65</f>
        <v>0</v>
      </c>
      <c r="R65" s="30" t="e">
        <f>F65+апр!J65</f>
        <v>#DIV/0!</v>
      </c>
    </row>
    <row r="66" spans="1:18" ht="17.25" customHeight="1">
      <c r="A66" s="8"/>
      <c r="B66" s="9" t="s">
        <v>59</v>
      </c>
      <c r="C66" s="8" t="s">
        <v>4</v>
      </c>
      <c r="D66" s="10">
        <v>2.8610000000000002</v>
      </c>
      <c r="E66" s="8"/>
      <c r="F66" s="8"/>
      <c r="G66" s="10">
        <f t="shared" si="1"/>
        <v>0</v>
      </c>
      <c r="H66" s="10">
        <f>D66+апр!H66</f>
        <v>14.305000000000001</v>
      </c>
      <c r="I66" s="8"/>
      <c r="J66" s="10">
        <f>F66+апр!J66</f>
        <v>0</v>
      </c>
      <c r="K66" s="10">
        <f t="shared" si="2"/>
        <v>0</v>
      </c>
      <c r="L66" s="16"/>
      <c r="M66" s="110"/>
      <c r="N66" s="111"/>
      <c r="P66">
        <f t="shared" si="0"/>
        <v>14.305000000000001</v>
      </c>
      <c r="Q66" s="44">
        <f>E66+апр!I66</f>
        <v>0</v>
      </c>
      <c r="R66" s="30">
        <f>F66+апр!J66</f>
        <v>0</v>
      </c>
    </row>
    <row r="67" spans="1:18" ht="17.25" customHeight="1">
      <c r="A67" s="8"/>
      <c r="B67" s="12" t="s">
        <v>13</v>
      </c>
      <c r="C67" s="13" t="s">
        <v>49</v>
      </c>
      <c r="D67" s="14">
        <v>2</v>
      </c>
      <c r="E67" s="13"/>
      <c r="F67" s="8"/>
      <c r="G67" s="10">
        <f t="shared" si="1"/>
        <v>0</v>
      </c>
      <c r="H67" s="14">
        <f>D67+апр!H67</f>
        <v>10</v>
      </c>
      <c r="I67" s="8"/>
      <c r="J67" s="14">
        <f>F67+апр!J67</f>
        <v>0</v>
      </c>
      <c r="K67" s="10">
        <f t="shared" si="2"/>
        <v>0</v>
      </c>
      <c r="L67" s="16"/>
      <c r="M67" s="110"/>
      <c r="N67" s="111"/>
      <c r="P67">
        <f t="shared" si="0"/>
        <v>10</v>
      </c>
      <c r="Q67" s="44">
        <f>E67+апр!I67</f>
        <v>0</v>
      </c>
      <c r="R67" s="30">
        <f>F67+апр!J67</f>
        <v>0</v>
      </c>
    </row>
    <row r="68" spans="1:18" ht="17.25" customHeight="1">
      <c r="A68" s="8"/>
      <c r="B68" s="12" t="s">
        <v>15</v>
      </c>
      <c r="C68" s="13" t="s">
        <v>16</v>
      </c>
      <c r="D68" s="16">
        <f>D66/D67*1000</f>
        <v>1430.5</v>
      </c>
      <c r="E68" s="13"/>
      <c r="F68" s="8"/>
      <c r="G68" s="10">
        <f t="shared" si="1"/>
        <v>0</v>
      </c>
      <c r="H68" s="16">
        <f>H66/H67*1000</f>
        <v>1430.5</v>
      </c>
      <c r="I68" s="16"/>
      <c r="J68" s="16" t="e">
        <f t="shared" ref="J68" si="35">J66/J67*1000</f>
        <v>#DIV/0!</v>
      </c>
      <c r="K68" s="10" t="e">
        <f t="shared" si="2"/>
        <v>#DIV/0!</v>
      </c>
      <c r="L68" s="16"/>
      <c r="M68" s="110"/>
      <c r="N68" s="111"/>
      <c r="P68">
        <f t="shared" si="0"/>
        <v>7152.5</v>
      </c>
      <c r="Q68" s="44">
        <f>E68+апр!I68</f>
        <v>0</v>
      </c>
      <c r="R68" s="30" t="e">
        <f>F68+апр!J68</f>
        <v>#DIV/0!</v>
      </c>
    </row>
    <row r="69" spans="1:18" ht="17.25" customHeight="1">
      <c r="A69" s="8"/>
      <c r="B69" s="20" t="s">
        <v>60</v>
      </c>
      <c r="C69" s="8" t="s">
        <v>4</v>
      </c>
      <c r="D69" s="10">
        <v>10.007999999999999</v>
      </c>
      <c r="E69" s="8"/>
      <c r="F69" s="10"/>
      <c r="G69" s="10">
        <f t="shared" si="1"/>
        <v>0</v>
      </c>
      <c r="H69" s="10">
        <f>D69+апр!H69</f>
        <v>50.039999999999992</v>
      </c>
      <c r="I69" s="8"/>
      <c r="J69" s="10">
        <f>F69+апр!J69</f>
        <v>41.510000000000005</v>
      </c>
      <c r="K69" s="10">
        <f t="shared" si="2"/>
        <v>41.510000000000005</v>
      </c>
      <c r="L69" s="16"/>
      <c r="M69" s="123" t="s">
        <v>292</v>
      </c>
      <c r="N69" s="124"/>
      <c r="P69">
        <f t="shared" si="0"/>
        <v>50.039999999999992</v>
      </c>
      <c r="Q69" s="44">
        <f>E69+апр!I69</f>
        <v>0</v>
      </c>
      <c r="R69" s="30">
        <f>F69+апр!J69</f>
        <v>41.510000000000005</v>
      </c>
    </row>
    <row r="70" spans="1:18" ht="17.25" customHeight="1">
      <c r="A70" s="8"/>
      <c r="B70" s="12" t="s">
        <v>13</v>
      </c>
      <c r="C70" s="13" t="s">
        <v>61</v>
      </c>
      <c r="D70" s="14">
        <v>18</v>
      </c>
      <c r="E70" s="13"/>
      <c r="F70" s="8"/>
      <c r="G70" s="10">
        <f t="shared" si="1"/>
        <v>0</v>
      </c>
      <c r="H70" s="14">
        <f>D70+апр!H70</f>
        <v>90</v>
      </c>
      <c r="I70" s="8"/>
      <c r="J70" s="14">
        <f>F70+апр!J70</f>
        <v>66.075000000000003</v>
      </c>
      <c r="K70" s="10">
        <f t="shared" si="2"/>
        <v>66.075000000000003</v>
      </c>
      <c r="L70" s="16"/>
      <c r="M70" s="125"/>
      <c r="N70" s="126"/>
      <c r="P70">
        <f t="shared" si="0"/>
        <v>90</v>
      </c>
      <c r="Q70" s="44">
        <f>E70+апр!I70</f>
        <v>0</v>
      </c>
      <c r="R70" s="30">
        <f>F70+апр!J70</f>
        <v>66.075000000000003</v>
      </c>
    </row>
    <row r="71" spans="1:18" ht="17.25" customHeight="1">
      <c r="A71" s="8"/>
      <c r="B71" s="12" t="s">
        <v>15</v>
      </c>
      <c r="C71" s="13" t="s">
        <v>16</v>
      </c>
      <c r="D71" s="16">
        <f>D69/D70*1000</f>
        <v>555.99999999999989</v>
      </c>
      <c r="E71" s="16"/>
      <c r="F71" s="16" t="e">
        <f t="shared" ref="F71" si="36">F69/F70*1000</f>
        <v>#DIV/0!</v>
      </c>
      <c r="G71" s="10" t="e">
        <f t="shared" si="1"/>
        <v>#DIV/0!</v>
      </c>
      <c r="H71" s="16">
        <f>H69/H70*1000</f>
        <v>555.99999999999989</v>
      </c>
      <c r="I71" s="16"/>
      <c r="J71" s="16">
        <f t="shared" ref="J71" si="37">J69/J70*1000</f>
        <v>628.22550132425283</v>
      </c>
      <c r="K71" s="10">
        <f t="shared" si="2"/>
        <v>628.22550132425283</v>
      </c>
      <c r="L71" s="16"/>
      <c r="M71" s="110"/>
      <c r="N71" s="111"/>
      <c r="P71">
        <f t="shared" si="0"/>
        <v>2779.9999999999995</v>
      </c>
      <c r="Q71" s="44">
        <f>E71+апр!I71</f>
        <v>0</v>
      </c>
      <c r="R71" s="30" t="e">
        <f>F71+апр!J71</f>
        <v>#DIV/0!</v>
      </c>
    </row>
    <row r="72" spans="1:18" ht="17.25" customHeight="1">
      <c r="A72" s="18" t="s">
        <v>62</v>
      </c>
      <c r="B72" s="20" t="s">
        <v>63</v>
      </c>
      <c r="C72" s="8" t="s">
        <v>4</v>
      </c>
      <c r="D72" s="10">
        <f>D73</f>
        <v>26517.671000000002</v>
      </c>
      <c r="E72" s="8">
        <v>24306.667000000001</v>
      </c>
      <c r="F72" s="10">
        <f>F73</f>
        <v>33599.112999999998</v>
      </c>
      <c r="G72" s="10">
        <f t="shared" si="1"/>
        <v>9292.4459999999963</v>
      </c>
      <c r="H72" s="10">
        <f>H73</f>
        <v>132588.35500000001</v>
      </c>
      <c r="I72" s="8">
        <f>E72+апр!I72</f>
        <v>121533.33500000001</v>
      </c>
      <c r="J72" s="10">
        <f>F72+апр!J72</f>
        <v>139811.69099999999</v>
      </c>
      <c r="K72" s="10">
        <f t="shared" si="2"/>
        <v>18278.355999999985</v>
      </c>
      <c r="L72" s="16">
        <f t="shared" si="3"/>
        <v>15.039788054857528</v>
      </c>
      <c r="M72" s="110"/>
      <c r="N72" s="111"/>
      <c r="P72">
        <f t="shared" si="0"/>
        <v>132588.35500000001</v>
      </c>
      <c r="Q72" s="44">
        <f>E72+апр!I72</f>
        <v>121533.33500000001</v>
      </c>
      <c r="R72" s="30">
        <f>F72+апр!J72</f>
        <v>139811.69099999999</v>
      </c>
    </row>
    <row r="73" spans="1:18" ht="17.25" customHeight="1">
      <c r="A73" s="8"/>
      <c r="B73" s="28" t="s">
        <v>64</v>
      </c>
      <c r="C73" s="8" t="s">
        <v>4</v>
      </c>
      <c r="D73" s="10">
        <f>D75+D78+D81+D84</f>
        <v>26517.671000000002</v>
      </c>
      <c r="E73" s="10">
        <f t="shared" ref="E73:F73" si="38">E75+E78+E81+E84</f>
        <v>0</v>
      </c>
      <c r="F73" s="54">
        <f t="shared" si="38"/>
        <v>33599.112999999998</v>
      </c>
      <c r="G73" s="10">
        <f t="shared" si="1"/>
        <v>33599.112999999998</v>
      </c>
      <c r="H73" s="10">
        <f>H75+H78+H81+H84</f>
        <v>132588.35500000001</v>
      </c>
      <c r="I73" s="10">
        <f t="shared" ref="I73:J74" si="39">I75+I78+I81+I84</f>
        <v>0</v>
      </c>
      <c r="J73" s="10">
        <f t="shared" si="39"/>
        <v>112579.598</v>
      </c>
      <c r="K73" s="10">
        <f t="shared" si="2"/>
        <v>112579.598</v>
      </c>
      <c r="L73" s="16"/>
      <c r="M73" s="110"/>
      <c r="N73" s="111"/>
      <c r="P73">
        <f t="shared" ref="P73:P136" si="40">D73*5</f>
        <v>132588.35500000001</v>
      </c>
      <c r="Q73" s="44">
        <f>E73+апр!I73</f>
        <v>0</v>
      </c>
      <c r="R73" s="30">
        <f>F73+апр!J73</f>
        <v>112579.598</v>
      </c>
    </row>
    <row r="74" spans="1:18" ht="17.25" customHeight="1">
      <c r="A74" s="8"/>
      <c r="B74" s="28" t="s">
        <v>65</v>
      </c>
      <c r="C74" s="22" t="s">
        <v>66</v>
      </c>
      <c r="D74" s="14">
        <f t="shared" ref="D74:F74" si="41">D76+D79+D82+D85</f>
        <v>1280770</v>
      </c>
      <c r="E74" s="14">
        <f t="shared" si="41"/>
        <v>0</v>
      </c>
      <c r="F74" s="14">
        <f t="shared" si="41"/>
        <v>1628483</v>
      </c>
      <c r="G74" s="14">
        <f t="shared" si="1"/>
        <v>1628483</v>
      </c>
      <c r="H74" s="14">
        <f t="shared" ref="H74" si="42">H76+H79+H82+H85</f>
        <v>6403850</v>
      </c>
      <c r="I74" s="59"/>
      <c r="J74" s="14">
        <f t="shared" si="39"/>
        <v>5481589.1899999995</v>
      </c>
      <c r="K74" s="10">
        <f t="shared" si="2"/>
        <v>5481589.1899999995</v>
      </c>
      <c r="L74" s="16"/>
      <c r="M74" s="110"/>
      <c r="N74" s="111"/>
      <c r="P74">
        <f t="shared" si="40"/>
        <v>6403850</v>
      </c>
      <c r="Q74" s="44">
        <f>E74+апр!I74</f>
        <v>0</v>
      </c>
      <c r="R74" s="30">
        <f>F74+апр!J74</f>
        <v>5481589.1899999995</v>
      </c>
    </row>
    <row r="75" spans="1:18" ht="36" customHeight="1">
      <c r="A75" s="8"/>
      <c r="B75" s="12" t="s">
        <v>67</v>
      </c>
      <c r="C75" s="8" t="s">
        <v>4</v>
      </c>
      <c r="D75" s="10">
        <v>1338.4829999999999</v>
      </c>
      <c r="E75" s="8"/>
      <c r="F75" s="55">
        <v>2317.4859999999999</v>
      </c>
      <c r="G75" s="10">
        <f t="shared" ref="G75:G138" si="43">F75-E75</f>
        <v>2317.4859999999999</v>
      </c>
      <c r="H75" s="10">
        <f>D75+апр!H75</f>
        <v>6692.415</v>
      </c>
      <c r="I75" s="8"/>
      <c r="J75" s="10">
        <f>F75+апр!J75</f>
        <v>8944.66</v>
      </c>
      <c r="K75" s="10">
        <f t="shared" ref="K75:K139" si="44">J75-I75</f>
        <v>8944.66</v>
      </c>
      <c r="L75" s="16"/>
      <c r="M75" s="110"/>
      <c r="N75" s="111"/>
      <c r="P75">
        <f t="shared" si="40"/>
        <v>6692.415</v>
      </c>
      <c r="Q75" s="44">
        <f>E75+апр!I75</f>
        <v>0</v>
      </c>
      <c r="R75" s="30">
        <f>F75+апр!J75</f>
        <v>8944.66</v>
      </c>
    </row>
    <row r="76" spans="1:18" ht="17.25" customHeight="1">
      <c r="A76" s="8"/>
      <c r="B76" s="12" t="s">
        <v>68</v>
      </c>
      <c r="C76" s="22" t="s">
        <v>66</v>
      </c>
      <c r="D76" s="14">
        <v>68465</v>
      </c>
      <c r="E76" s="22"/>
      <c r="F76" s="59">
        <v>117341</v>
      </c>
      <c r="G76" s="14">
        <f t="shared" si="43"/>
        <v>117341</v>
      </c>
      <c r="H76" s="14">
        <f>D76+апр!H76</f>
        <v>342325</v>
      </c>
      <c r="I76" s="59"/>
      <c r="J76" s="14">
        <f>F76+апр!J76</f>
        <v>462776.19</v>
      </c>
      <c r="K76" s="10">
        <f t="shared" si="44"/>
        <v>462776.19</v>
      </c>
      <c r="L76" s="16"/>
      <c r="M76" s="110"/>
      <c r="N76" s="111"/>
      <c r="P76">
        <f t="shared" si="40"/>
        <v>342325</v>
      </c>
      <c r="Q76" s="44">
        <f>E76+апр!I76</f>
        <v>0</v>
      </c>
      <c r="R76" s="30">
        <f>F76+апр!J76</f>
        <v>462776.19</v>
      </c>
    </row>
    <row r="77" spans="1:18" ht="17.25" customHeight="1">
      <c r="A77" s="8"/>
      <c r="B77" s="12" t="s">
        <v>15</v>
      </c>
      <c r="C77" s="13" t="s">
        <v>16</v>
      </c>
      <c r="D77" s="16">
        <f>D75/D76*1000</f>
        <v>19.54988680347623</v>
      </c>
      <c r="E77" s="16"/>
      <c r="F77" s="16">
        <f t="shared" ref="F77" si="45">F75/F76*1000</f>
        <v>19.75001065271303</v>
      </c>
      <c r="G77" s="10">
        <f t="shared" si="43"/>
        <v>19.75001065271303</v>
      </c>
      <c r="H77" s="16">
        <f>H75/H76*1000</f>
        <v>19.54988680347623</v>
      </c>
      <c r="I77" s="8"/>
      <c r="J77" s="13"/>
      <c r="K77" s="10">
        <f t="shared" si="44"/>
        <v>0</v>
      </c>
      <c r="L77" s="16"/>
      <c r="M77" s="110"/>
      <c r="N77" s="111"/>
      <c r="P77">
        <f t="shared" si="40"/>
        <v>97.749434017381148</v>
      </c>
      <c r="Q77" s="44">
        <f>E77+апр!I77</f>
        <v>0</v>
      </c>
      <c r="R77" s="30">
        <f>F77+апр!J77</f>
        <v>19.75001065271303</v>
      </c>
    </row>
    <row r="78" spans="1:18" ht="55.5" customHeight="1">
      <c r="A78" s="8"/>
      <c r="B78" s="12" t="s">
        <v>69</v>
      </c>
      <c r="C78" s="8" t="s">
        <v>4</v>
      </c>
      <c r="D78" s="10">
        <v>1253.6469999999999</v>
      </c>
      <c r="E78" s="8"/>
      <c r="F78" s="104">
        <v>1208.2059999999999</v>
      </c>
      <c r="G78" s="10">
        <f t="shared" si="43"/>
        <v>1208.2059999999999</v>
      </c>
      <c r="H78" s="10">
        <f>D78+апр!H78</f>
        <v>6268.2349999999997</v>
      </c>
      <c r="I78" s="8"/>
      <c r="J78" s="10">
        <f>F78+апр!J78</f>
        <v>6262.3899999999994</v>
      </c>
      <c r="K78" s="10">
        <f t="shared" si="44"/>
        <v>6262.3899999999994</v>
      </c>
      <c r="L78" s="16"/>
      <c r="M78" s="110"/>
      <c r="N78" s="111"/>
      <c r="P78">
        <f t="shared" si="40"/>
        <v>6268.2349999999997</v>
      </c>
      <c r="Q78" s="44">
        <f>E78+апр!I78</f>
        <v>0</v>
      </c>
      <c r="R78" s="30">
        <f>F78+апр!J78</f>
        <v>6262.3899999999994</v>
      </c>
    </row>
    <row r="79" spans="1:18" ht="17.25" customHeight="1">
      <c r="A79" s="8"/>
      <c r="B79" s="12" t="s">
        <v>68</v>
      </c>
      <c r="C79" s="22" t="s">
        <v>66</v>
      </c>
      <c r="D79" s="14">
        <v>63799</v>
      </c>
      <c r="E79" s="22"/>
      <c r="F79" s="59">
        <v>61175</v>
      </c>
      <c r="G79" s="14">
        <f t="shared" si="43"/>
        <v>61175</v>
      </c>
      <c r="H79" s="14">
        <f>D79+апр!H79</f>
        <v>318995</v>
      </c>
      <c r="I79" s="59"/>
      <c r="J79" s="14">
        <f>F79+апр!J79</f>
        <v>317171</v>
      </c>
      <c r="K79" s="10">
        <f t="shared" si="44"/>
        <v>317171</v>
      </c>
      <c r="L79" s="16"/>
      <c r="M79" s="110"/>
      <c r="N79" s="111"/>
      <c r="P79">
        <f t="shared" si="40"/>
        <v>318995</v>
      </c>
      <c r="Q79" s="44">
        <f>E79+апр!I79</f>
        <v>0</v>
      </c>
      <c r="R79" s="30">
        <f>F79+апр!J79</f>
        <v>317171</v>
      </c>
    </row>
    <row r="80" spans="1:18" ht="17.25" customHeight="1">
      <c r="A80" s="8"/>
      <c r="B80" s="12" t="s">
        <v>15</v>
      </c>
      <c r="C80" s="13" t="s">
        <v>16</v>
      </c>
      <c r="D80" s="16">
        <f>D78/D79*1000</f>
        <v>19.649947491339987</v>
      </c>
      <c r="E80" s="16"/>
      <c r="F80" s="16">
        <f t="shared" ref="F80" si="46">F78/F79*1000</f>
        <v>19.7499959133633</v>
      </c>
      <c r="G80" s="10">
        <f t="shared" si="43"/>
        <v>19.7499959133633</v>
      </c>
      <c r="H80" s="16">
        <f>H78/H79*1000</f>
        <v>19.649947491339987</v>
      </c>
      <c r="I80" s="8"/>
      <c r="J80" s="13"/>
      <c r="K80" s="10">
        <f t="shared" si="44"/>
        <v>0</v>
      </c>
      <c r="L80" s="16"/>
      <c r="M80" s="110"/>
      <c r="N80" s="111"/>
      <c r="P80">
        <f t="shared" si="40"/>
        <v>98.249737456699933</v>
      </c>
      <c r="Q80" s="44">
        <f>E80+апр!I80</f>
        <v>0</v>
      </c>
      <c r="R80" s="30">
        <f>F80+апр!J80</f>
        <v>19.7499959133633</v>
      </c>
    </row>
    <row r="81" spans="1:18" ht="36" customHeight="1">
      <c r="A81" s="8"/>
      <c r="B81" s="12" t="s">
        <v>70</v>
      </c>
      <c r="C81" s="8" t="s">
        <v>4</v>
      </c>
      <c r="D81" s="10">
        <v>3651.203</v>
      </c>
      <c r="E81" s="8"/>
      <c r="F81" s="105">
        <v>4592.527</v>
      </c>
      <c r="G81" s="10">
        <f t="shared" si="43"/>
        <v>4592.527</v>
      </c>
      <c r="H81" s="10">
        <f>D81+апр!H81</f>
        <v>18256.014999999999</v>
      </c>
      <c r="I81" s="8"/>
      <c r="J81" s="10">
        <f>F81+апр!J81</f>
        <v>17286.623</v>
      </c>
      <c r="K81" s="10">
        <f t="shared" si="44"/>
        <v>17286.623</v>
      </c>
      <c r="L81" s="16"/>
      <c r="M81" s="110"/>
      <c r="N81" s="111"/>
      <c r="P81">
        <f t="shared" si="40"/>
        <v>18256.014999999999</v>
      </c>
      <c r="Q81" s="44">
        <f>E81+апр!I81</f>
        <v>0</v>
      </c>
      <c r="R81" s="30">
        <f>F81+апр!J81</f>
        <v>17286.623</v>
      </c>
    </row>
    <row r="82" spans="1:18" ht="17.25" customHeight="1">
      <c r="A82" s="8"/>
      <c r="B82" s="12" t="s">
        <v>68</v>
      </c>
      <c r="C82" s="22" t="s">
        <v>66</v>
      </c>
      <c r="D82" s="14">
        <v>185812</v>
      </c>
      <c r="E82" s="22"/>
      <c r="F82" s="59">
        <v>232533</v>
      </c>
      <c r="G82" s="14">
        <v>5230.0569999999998</v>
      </c>
      <c r="H82" s="14">
        <f>D82+апр!H82</f>
        <v>929060</v>
      </c>
      <c r="I82" s="59"/>
      <c r="J82" s="14">
        <f>F82+апр!J82</f>
        <v>875272</v>
      </c>
      <c r="K82" s="10">
        <f t="shared" si="44"/>
        <v>875272</v>
      </c>
      <c r="L82" s="16"/>
      <c r="M82" s="110"/>
      <c r="N82" s="111"/>
      <c r="P82">
        <f t="shared" si="40"/>
        <v>929060</v>
      </c>
      <c r="Q82" s="44">
        <f>E82+апр!I82</f>
        <v>0</v>
      </c>
      <c r="R82" s="30">
        <f>F82+апр!J82</f>
        <v>875272</v>
      </c>
    </row>
    <row r="83" spans="1:18" ht="17.25" customHeight="1">
      <c r="A83" s="8"/>
      <c r="B83" s="12" t="s">
        <v>15</v>
      </c>
      <c r="C83" s="13" t="s">
        <v>16</v>
      </c>
      <c r="D83" s="16">
        <f>D81/D82*1000</f>
        <v>19.64998493100553</v>
      </c>
      <c r="E83" s="16"/>
      <c r="F83" s="16">
        <f t="shared" ref="F83" si="47">F81/F82*1000</f>
        <v>19.750001075116224</v>
      </c>
      <c r="G83" s="10">
        <f t="shared" si="43"/>
        <v>19.750001075116224</v>
      </c>
      <c r="H83" s="16">
        <f>H81/H82*1000</f>
        <v>19.64998493100553</v>
      </c>
      <c r="I83" s="8"/>
      <c r="J83" s="13"/>
      <c r="K83" s="10">
        <f t="shared" si="44"/>
        <v>0</v>
      </c>
      <c r="L83" s="16"/>
      <c r="M83" s="110"/>
      <c r="N83" s="111"/>
      <c r="P83">
        <f t="shared" si="40"/>
        <v>98.249924655027655</v>
      </c>
      <c r="Q83" s="44">
        <f>E83+апр!I83</f>
        <v>0</v>
      </c>
      <c r="R83" s="30">
        <f>F83+апр!J83</f>
        <v>19.750001075116224</v>
      </c>
    </row>
    <row r="84" spans="1:18" ht="17.25" customHeight="1">
      <c r="A84" s="8"/>
      <c r="B84" s="12" t="s">
        <v>71</v>
      </c>
      <c r="C84" s="8" t="s">
        <v>4</v>
      </c>
      <c r="D84" s="10">
        <v>20274.338</v>
      </c>
      <c r="E84" s="8"/>
      <c r="F84" s="8">
        <v>25480.894</v>
      </c>
      <c r="G84" s="10">
        <f t="shared" si="43"/>
        <v>25480.894</v>
      </c>
      <c r="H84" s="10">
        <f>D84+апр!H84</f>
        <v>101371.69</v>
      </c>
      <c r="I84" s="8"/>
      <c r="J84" s="10">
        <f>F84+апр!J84</f>
        <v>80085.925000000003</v>
      </c>
      <c r="K84" s="10">
        <f t="shared" si="44"/>
        <v>80085.925000000003</v>
      </c>
      <c r="L84" s="16"/>
      <c r="M84" s="123" t="s">
        <v>297</v>
      </c>
      <c r="N84" s="124"/>
      <c r="P84">
        <f t="shared" si="40"/>
        <v>101371.69</v>
      </c>
      <c r="Q84" s="44">
        <f>E84+апр!I84</f>
        <v>0</v>
      </c>
      <c r="R84" s="30">
        <f>F84+апр!J84</f>
        <v>80085.925000000003</v>
      </c>
    </row>
    <row r="85" spans="1:18" ht="26.25" customHeight="1">
      <c r="A85" s="8"/>
      <c r="B85" s="12" t="s">
        <v>68</v>
      </c>
      <c r="C85" s="22" t="s">
        <v>66</v>
      </c>
      <c r="D85" s="14">
        <v>962694</v>
      </c>
      <c r="E85" s="22"/>
      <c r="F85" s="59">
        <v>1217434</v>
      </c>
      <c r="G85" s="14">
        <f t="shared" si="43"/>
        <v>1217434</v>
      </c>
      <c r="H85" s="14">
        <f>D85+апр!H85</f>
        <v>4813470</v>
      </c>
      <c r="I85" s="59"/>
      <c r="J85" s="14">
        <f>F85+апр!J85</f>
        <v>3826370</v>
      </c>
      <c r="K85" s="10">
        <f t="shared" si="44"/>
        <v>3826370</v>
      </c>
      <c r="L85" s="16"/>
      <c r="M85" s="125"/>
      <c r="N85" s="126"/>
      <c r="P85">
        <f t="shared" si="40"/>
        <v>4813470</v>
      </c>
      <c r="Q85" s="44">
        <f>E85+апр!I85</f>
        <v>0</v>
      </c>
      <c r="R85" s="30">
        <f>F85+апр!J85</f>
        <v>3826370</v>
      </c>
    </row>
    <row r="86" spans="1:18" ht="17.25" customHeight="1">
      <c r="A86" s="8"/>
      <c r="B86" s="12" t="s">
        <v>15</v>
      </c>
      <c r="C86" s="13" t="s">
        <v>16</v>
      </c>
      <c r="D86" s="16">
        <f>D84/D85*1000</f>
        <v>21.06000245145394</v>
      </c>
      <c r="E86" s="16"/>
      <c r="F86" s="16">
        <f t="shared" ref="F86" si="48">F84/F85*1000</f>
        <v>20.930000312131913</v>
      </c>
      <c r="G86" s="10">
        <f t="shared" si="43"/>
        <v>20.930000312131913</v>
      </c>
      <c r="H86" s="16">
        <f>H84/H85*1000</f>
        <v>21.06000245145394</v>
      </c>
      <c r="I86" s="8"/>
      <c r="J86" s="13"/>
      <c r="K86" s="10">
        <f t="shared" si="44"/>
        <v>0</v>
      </c>
      <c r="L86" s="16"/>
      <c r="M86" s="110"/>
      <c r="N86" s="111"/>
      <c r="P86">
        <f t="shared" si="40"/>
        <v>105.3000122572697</v>
      </c>
      <c r="Q86" s="44">
        <f>E86+апр!I86</f>
        <v>0</v>
      </c>
      <c r="R86" s="30">
        <f>F86+апр!J86</f>
        <v>20.930000312131913</v>
      </c>
    </row>
    <row r="87" spans="1:18" ht="17.25" customHeight="1">
      <c r="A87" s="99" t="s">
        <v>72</v>
      </c>
      <c r="B87" s="6" t="s">
        <v>73</v>
      </c>
      <c r="C87" s="99" t="s">
        <v>4</v>
      </c>
      <c r="D87" s="7">
        <f>D88+D89+D90</f>
        <v>22015.745000000003</v>
      </c>
      <c r="E87" s="21">
        <f>E88+E89+E90+E91</f>
        <v>20888.748999999996</v>
      </c>
      <c r="F87" s="7">
        <f>F88+F89+F90+F91+F92</f>
        <v>20411.120000000003</v>
      </c>
      <c r="G87" s="16">
        <f t="shared" si="43"/>
        <v>-477.62899999999354</v>
      </c>
      <c r="H87" s="7">
        <f>H88+H89+H90</f>
        <v>110078.72500000001</v>
      </c>
      <c r="I87" s="7">
        <f>I88+I89+I90+I91</f>
        <v>104443.74499999998</v>
      </c>
      <c r="J87" s="7">
        <f>J88+J89+J90+J91+J92</f>
        <v>100988.80099999999</v>
      </c>
      <c r="K87" s="10">
        <f t="shared" si="44"/>
        <v>-3454.9439999999886</v>
      </c>
      <c r="L87" s="16">
        <f t="shared" ref="L87:L151" si="49">K87/I87*100</f>
        <v>-3.3079472590723253</v>
      </c>
      <c r="M87" s="110"/>
      <c r="N87" s="111"/>
      <c r="O87" s="30">
        <f>F88+март!J88+F92+F98+март!J92+март!J98</f>
        <v>76189.686000000002</v>
      </c>
      <c r="P87">
        <f t="shared" si="40"/>
        <v>110078.72500000001</v>
      </c>
      <c r="Q87" s="44">
        <f>E87+апр!I87</f>
        <v>104443.74499999998</v>
      </c>
      <c r="R87" s="30">
        <f>F87+апр!J87</f>
        <v>100988.80100000001</v>
      </c>
    </row>
    <row r="88" spans="1:18" ht="17.25" customHeight="1">
      <c r="A88" s="8" t="s">
        <v>74</v>
      </c>
      <c r="B88" s="9" t="s">
        <v>75</v>
      </c>
      <c r="C88" s="8" t="s">
        <v>4</v>
      </c>
      <c r="D88" s="10">
        <v>20032.525000000001</v>
      </c>
      <c r="E88" s="8">
        <v>18751.082999999999</v>
      </c>
      <c r="F88" s="54">
        <v>18595.713</v>
      </c>
      <c r="G88" s="16">
        <f t="shared" si="43"/>
        <v>-155.36999999999898</v>
      </c>
      <c r="H88" s="10">
        <f>D88+апр!H88</f>
        <v>100162.625</v>
      </c>
      <c r="I88" s="8">
        <f>E88+апр!I88</f>
        <v>93755.414999999994</v>
      </c>
      <c r="J88" s="10">
        <f>F88+апр!J88</f>
        <v>91170.585999999996</v>
      </c>
      <c r="K88" s="10">
        <f t="shared" si="44"/>
        <v>-2584.8289999999979</v>
      </c>
      <c r="L88" s="16">
        <f t="shared" si="49"/>
        <v>-2.7569916894933462</v>
      </c>
      <c r="M88" s="117"/>
      <c r="N88" s="118"/>
      <c r="O88" s="30">
        <f>J88+J92+J98</f>
        <v>94091.9</v>
      </c>
      <c r="P88">
        <f t="shared" si="40"/>
        <v>100162.625</v>
      </c>
      <c r="Q88" s="44">
        <f>E88+апр!I88</f>
        <v>93755.414999999994</v>
      </c>
      <c r="R88" s="30">
        <f>F88+апр!J88</f>
        <v>91170.585999999996</v>
      </c>
    </row>
    <row r="89" spans="1:18" ht="17.25" customHeight="1">
      <c r="A89" s="8" t="s">
        <v>76</v>
      </c>
      <c r="B89" s="9" t="s">
        <v>77</v>
      </c>
      <c r="C89" s="8" t="s">
        <v>4</v>
      </c>
      <c r="D89" s="10">
        <v>1101.788</v>
      </c>
      <c r="E89" s="8">
        <v>1012.583</v>
      </c>
      <c r="F89" s="10">
        <v>1010.97</v>
      </c>
      <c r="G89" s="10">
        <f t="shared" si="43"/>
        <v>-1.6129999999999427</v>
      </c>
      <c r="H89" s="10">
        <f>D89+апр!H89</f>
        <v>5508.9400000000005</v>
      </c>
      <c r="I89" s="8">
        <f>E89+апр!I89</f>
        <v>5062.915</v>
      </c>
      <c r="J89" s="10">
        <f>F89+апр!J89</f>
        <v>5092.1679999999997</v>
      </c>
      <c r="K89" s="10">
        <f t="shared" si="44"/>
        <v>29.252999999999702</v>
      </c>
      <c r="L89" s="16">
        <f t="shared" si="49"/>
        <v>0.57778967255029368</v>
      </c>
      <c r="M89" s="117"/>
      <c r="N89" s="118"/>
      <c r="P89">
        <f t="shared" si="40"/>
        <v>5508.9400000000005</v>
      </c>
      <c r="Q89" s="44">
        <f>E89+апр!I89</f>
        <v>5062.915</v>
      </c>
      <c r="R89" s="30">
        <f>F89+апр!J89</f>
        <v>5092.1679999999997</v>
      </c>
    </row>
    <row r="90" spans="1:18" ht="17.25" customHeight="1">
      <c r="A90" s="8" t="s">
        <v>308</v>
      </c>
      <c r="B90" s="9" t="s">
        <v>307</v>
      </c>
      <c r="C90" s="8" t="s">
        <v>4</v>
      </c>
      <c r="D90" s="10">
        <v>881.43200000000002</v>
      </c>
      <c r="E90" s="8">
        <v>843.83299999999997</v>
      </c>
      <c r="F90" s="8">
        <v>546.16499999999996</v>
      </c>
      <c r="G90" s="10">
        <f t="shared" si="43"/>
        <v>-297.66800000000001</v>
      </c>
      <c r="H90" s="10">
        <f>D90+апр!H90</f>
        <v>4407.16</v>
      </c>
      <c r="I90" s="8">
        <f>E90+апр!I90</f>
        <v>4219.165</v>
      </c>
      <c r="J90" s="10">
        <f>F90+апр!J90</f>
        <v>2778.1170000000002</v>
      </c>
      <c r="K90" s="10">
        <f t="shared" si="44"/>
        <v>-1441.0479999999998</v>
      </c>
      <c r="L90" s="16">
        <f t="shared" si="49"/>
        <v>-34.154814993014014</v>
      </c>
      <c r="M90" s="101"/>
      <c r="N90" s="102"/>
      <c r="P90">
        <f t="shared" si="40"/>
        <v>4407.16</v>
      </c>
      <c r="Q90" s="44">
        <f>E90+апр!I90</f>
        <v>4219.165</v>
      </c>
      <c r="R90" s="30">
        <f>F90+апр!J90</f>
        <v>2778.1170000000002</v>
      </c>
    </row>
    <row r="91" spans="1:18" ht="17.25" customHeight="1">
      <c r="A91" s="8" t="s">
        <v>309</v>
      </c>
      <c r="B91" s="9" t="s">
        <v>310</v>
      </c>
      <c r="C91" s="8" t="s">
        <v>4</v>
      </c>
      <c r="D91" s="10"/>
      <c r="E91" s="8">
        <v>281.25</v>
      </c>
      <c r="F91" s="8">
        <v>258.27199999999999</v>
      </c>
      <c r="G91" s="10">
        <f t="shared" si="43"/>
        <v>-22.978000000000009</v>
      </c>
      <c r="H91" s="10">
        <f>D91+апр!H91</f>
        <v>0</v>
      </c>
      <c r="I91" s="8">
        <f>E91+апр!I91</f>
        <v>1406.25</v>
      </c>
      <c r="J91" s="10">
        <f>F91+апр!J91</f>
        <v>1317.018</v>
      </c>
      <c r="K91" s="10">
        <f t="shared" si="44"/>
        <v>-89.231999999999971</v>
      </c>
      <c r="L91" s="16">
        <f t="shared" si="49"/>
        <v>-6.3453866666666654</v>
      </c>
      <c r="M91" s="101"/>
      <c r="N91" s="102"/>
      <c r="P91">
        <f t="shared" si="40"/>
        <v>0</v>
      </c>
      <c r="Q91" s="44">
        <f>E91+апр!I91</f>
        <v>1406.25</v>
      </c>
      <c r="R91" s="30">
        <f>F91+апр!J91</f>
        <v>1317.018</v>
      </c>
    </row>
    <row r="92" spans="1:18" ht="17.25" customHeight="1">
      <c r="A92" s="8"/>
      <c r="B92" s="9" t="s">
        <v>316</v>
      </c>
      <c r="C92" s="8" t="s">
        <v>4</v>
      </c>
      <c r="D92" s="10"/>
      <c r="E92" s="8"/>
      <c r="F92" s="54"/>
      <c r="G92" s="10"/>
      <c r="H92" s="10">
        <f>D92+апр!H92</f>
        <v>0</v>
      </c>
      <c r="I92" s="8">
        <f>E92+апр!I92</f>
        <v>0</v>
      </c>
      <c r="J92" s="10">
        <f>F92+апр!J92</f>
        <v>630.91199999999992</v>
      </c>
      <c r="K92" s="10"/>
      <c r="L92" s="16"/>
      <c r="M92" s="101"/>
      <c r="N92" s="102"/>
      <c r="P92">
        <f t="shared" si="40"/>
        <v>0</v>
      </c>
      <c r="Q92" s="44">
        <f>E92+апр!I92</f>
        <v>0</v>
      </c>
      <c r="R92" s="30">
        <f>F92+апр!J92</f>
        <v>630.91199999999992</v>
      </c>
    </row>
    <row r="93" spans="1:18" ht="17.25" customHeight="1">
      <c r="A93" s="99" t="s">
        <v>78</v>
      </c>
      <c r="B93" s="6" t="s">
        <v>79</v>
      </c>
      <c r="C93" s="99" t="s">
        <v>4</v>
      </c>
      <c r="D93" s="7">
        <f>D94</f>
        <v>12258.85</v>
      </c>
      <c r="E93" s="21">
        <f>E94</f>
        <v>12219.75</v>
      </c>
      <c r="F93" s="7">
        <f>F94</f>
        <v>13648.323</v>
      </c>
      <c r="G93" s="10">
        <f t="shared" si="43"/>
        <v>1428.5730000000003</v>
      </c>
      <c r="H93" s="7">
        <f>H94</f>
        <v>61294.25</v>
      </c>
      <c r="I93" s="21">
        <f>I94</f>
        <v>61098.75</v>
      </c>
      <c r="J93" s="7">
        <f>J94</f>
        <v>58022.010999999999</v>
      </c>
      <c r="K93" s="10">
        <f t="shared" si="44"/>
        <v>-3076.7390000000014</v>
      </c>
      <c r="L93" s="16">
        <f t="shared" si="49"/>
        <v>-5.0356823993944255</v>
      </c>
      <c r="M93" s="110"/>
      <c r="N93" s="111"/>
      <c r="P93">
        <f t="shared" si="40"/>
        <v>61294.25</v>
      </c>
      <c r="Q93" s="44">
        <f>E93+апр!I93</f>
        <v>61098.75</v>
      </c>
      <c r="R93" s="30">
        <f>F93+апр!J93</f>
        <v>58022.010999999999</v>
      </c>
    </row>
    <row r="94" spans="1:18" ht="17.25" customHeight="1">
      <c r="A94" s="23" t="s">
        <v>80</v>
      </c>
      <c r="B94" s="9" t="s">
        <v>81</v>
      </c>
      <c r="C94" s="8" t="s">
        <v>4</v>
      </c>
      <c r="D94" s="10">
        <v>12258.85</v>
      </c>
      <c r="E94" s="8">
        <v>12219.75</v>
      </c>
      <c r="F94" s="8">
        <v>13648.323</v>
      </c>
      <c r="G94" s="10">
        <f t="shared" si="43"/>
        <v>1428.5730000000003</v>
      </c>
      <c r="H94" s="10">
        <f>D94+апр!H94</f>
        <v>61294.25</v>
      </c>
      <c r="I94" s="8">
        <f>E94+апр!I94</f>
        <v>61098.75</v>
      </c>
      <c r="J94" s="10">
        <f>F94+апр!J94</f>
        <v>58022.010999999999</v>
      </c>
      <c r="K94" s="10">
        <f t="shared" si="44"/>
        <v>-3076.7390000000014</v>
      </c>
      <c r="L94" s="16">
        <f t="shared" si="49"/>
        <v>-5.0356823993944255</v>
      </c>
      <c r="M94" s="110"/>
      <c r="N94" s="111"/>
      <c r="P94">
        <f t="shared" si="40"/>
        <v>61294.25</v>
      </c>
      <c r="Q94" s="44">
        <f>E94+апр!I94</f>
        <v>61098.75</v>
      </c>
      <c r="R94" s="30">
        <f>F94+апр!J94</f>
        <v>58022.010999999999</v>
      </c>
    </row>
    <row r="95" spans="1:18" ht="17.25" customHeight="1">
      <c r="A95" s="99" t="s">
        <v>82</v>
      </c>
      <c r="B95" s="6" t="s">
        <v>83</v>
      </c>
      <c r="C95" s="99" t="s">
        <v>4</v>
      </c>
      <c r="D95" s="7">
        <f t="shared" ref="D95:J95" si="50">D96</f>
        <v>588.22500000000002</v>
      </c>
      <c r="E95" s="7">
        <f t="shared" si="50"/>
        <v>291.66699999999997</v>
      </c>
      <c r="F95" s="7">
        <f t="shared" si="50"/>
        <v>14.4</v>
      </c>
      <c r="G95" s="10">
        <f t="shared" si="43"/>
        <v>-277.267</v>
      </c>
      <c r="H95" s="7">
        <f t="shared" si="50"/>
        <v>2941.125</v>
      </c>
      <c r="I95" s="7">
        <f t="shared" si="50"/>
        <v>1458.3349999999998</v>
      </c>
      <c r="J95" s="7">
        <f t="shared" si="50"/>
        <v>15.169</v>
      </c>
      <c r="K95" s="10">
        <f t="shared" si="44"/>
        <v>-1443.1659999999997</v>
      </c>
      <c r="L95" s="16">
        <f t="shared" si="49"/>
        <v>-98.959841188752918</v>
      </c>
      <c r="M95" s="110"/>
      <c r="N95" s="111"/>
      <c r="P95">
        <f t="shared" si="40"/>
        <v>2941.125</v>
      </c>
      <c r="Q95" s="44">
        <f>E95+апр!I95</f>
        <v>1458.3349999999998</v>
      </c>
      <c r="R95" s="30">
        <f>F95+апр!J95</f>
        <v>15.169</v>
      </c>
    </row>
    <row r="96" spans="1:18" ht="54" customHeight="1">
      <c r="A96" s="8" t="s">
        <v>84</v>
      </c>
      <c r="B96" s="9" t="s">
        <v>85</v>
      </c>
      <c r="C96" s="8" t="s">
        <v>4</v>
      </c>
      <c r="D96" s="10">
        <v>588.22500000000002</v>
      </c>
      <c r="E96" s="8">
        <v>291.66699999999997</v>
      </c>
      <c r="F96" s="8">
        <v>14.4</v>
      </c>
      <c r="G96" s="10">
        <f t="shared" si="43"/>
        <v>-277.267</v>
      </c>
      <c r="H96" s="10">
        <f>D96+апр!H96</f>
        <v>2941.125</v>
      </c>
      <c r="I96" s="8">
        <f>E96+апр!I96</f>
        <v>1458.3349999999998</v>
      </c>
      <c r="J96" s="10">
        <f>F96+апр!J96</f>
        <v>15.169</v>
      </c>
      <c r="K96" s="10">
        <f t="shared" si="44"/>
        <v>-1443.1659999999997</v>
      </c>
      <c r="L96" s="16">
        <f t="shared" si="49"/>
        <v>-98.959841188752918</v>
      </c>
      <c r="M96" s="117" t="s">
        <v>299</v>
      </c>
      <c r="N96" s="118"/>
      <c r="P96">
        <f t="shared" si="40"/>
        <v>2941.125</v>
      </c>
      <c r="Q96" s="44">
        <f>E96+апр!I96</f>
        <v>1458.3349999999998</v>
      </c>
      <c r="R96" s="30">
        <f>F96+апр!J96</f>
        <v>15.169</v>
      </c>
    </row>
    <row r="97" spans="1:18" ht="17.25" customHeight="1">
      <c r="A97" s="99" t="s">
        <v>86</v>
      </c>
      <c r="B97" s="6" t="s">
        <v>87</v>
      </c>
      <c r="C97" s="99" t="s">
        <v>4</v>
      </c>
      <c r="D97" s="7">
        <f t="shared" ref="D97" si="51">D98+D99+D103+D104+D109+D110</f>
        <v>2575.1889999999999</v>
      </c>
      <c r="E97" s="7">
        <f>E98+E99+E103+E104+E109+E110</f>
        <v>2562.3330000000001</v>
      </c>
      <c r="F97" s="7">
        <f>F98+F99+F103+F104+F109+F110</f>
        <v>2362.4094999999998</v>
      </c>
      <c r="G97" s="10">
        <f t="shared" si="43"/>
        <v>-199.92350000000033</v>
      </c>
      <c r="H97" s="7">
        <f t="shared" ref="H97" si="52">H98+H99+H103+H104+H109+H110</f>
        <v>12875.945</v>
      </c>
      <c r="I97" s="7">
        <f>I98+I99+I103+I104+I109+I110</f>
        <v>12810.332</v>
      </c>
      <c r="J97" s="7">
        <f>J98+J99+J103+J104+J109+J110</f>
        <v>12254.702000000001</v>
      </c>
      <c r="K97" s="10">
        <f t="shared" si="44"/>
        <v>-555.6299999999992</v>
      </c>
      <c r="L97" s="16">
        <f t="shared" si="49"/>
        <v>-4.3373583135862459</v>
      </c>
      <c r="M97" s="110"/>
      <c r="N97" s="111"/>
      <c r="P97">
        <f t="shared" si="40"/>
        <v>12875.945</v>
      </c>
      <c r="Q97" s="44">
        <f>E97+апр!I97</f>
        <v>12811.665000000001</v>
      </c>
      <c r="R97" s="30">
        <f>F97+апр!J97</f>
        <v>12254.701999999999</v>
      </c>
    </row>
    <row r="98" spans="1:18" ht="17.25" customHeight="1">
      <c r="A98" s="8" t="s">
        <v>88</v>
      </c>
      <c r="B98" s="9" t="s">
        <v>89</v>
      </c>
      <c r="C98" s="8" t="s">
        <v>4</v>
      </c>
      <c r="D98" s="10">
        <v>626.41700000000003</v>
      </c>
      <c r="E98" s="8">
        <v>543.08299999999997</v>
      </c>
      <c r="F98" s="54"/>
      <c r="G98" s="10">
        <f t="shared" si="43"/>
        <v>-543.08299999999997</v>
      </c>
      <c r="H98" s="10">
        <f>D98+апр!H98</f>
        <v>3132.085</v>
      </c>
      <c r="I98" s="8">
        <f>E98+апр!I98</f>
        <v>2715.415</v>
      </c>
      <c r="J98" s="10">
        <f>F98+апр!J98</f>
        <v>2290.402</v>
      </c>
      <c r="K98" s="10">
        <f t="shared" si="44"/>
        <v>-425.01299999999992</v>
      </c>
      <c r="L98" s="16">
        <f t="shared" si="49"/>
        <v>-15.651861685966967</v>
      </c>
      <c r="M98" s="117" t="s">
        <v>298</v>
      </c>
      <c r="N98" s="118"/>
      <c r="P98">
        <f t="shared" si="40"/>
        <v>3132.085</v>
      </c>
      <c r="Q98" s="44">
        <f>E98+апр!I98</f>
        <v>2715.415</v>
      </c>
      <c r="R98" s="30">
        <f>F98+апр!J98</f>
        <v>2290.402</v>
      </c>
    </row>
    <row r="99" spans="1:18" ht="53.25" customHeight="1">
      <c r="A99" s="8" t="s">
        <v>90</v>
      </c>
      <c r="B99" s="20" t="s">
        <v>242</v>
      </c>
      <c r="C99" s="8" t="s">
        <v>4</v>
      </c>
      <c r="D99" s="10">
        <f t="shared" ref="D99:F99" si="53">D100+D101+D102</f>
        <v>107.703</v>
      </c>
      <c r="E99" s="8">
        <v>107.667</v>
      </c>
      <c r="F99" s="10">
        <f t="shared" si="53"/>
        <v>0</v>
      </c>
      <c r="G99" s="10">
        <f t="shared" si="43"/>
        <v>-107.667</v>
      </c>
      <c r="H99" s="10">
        <f t="shared" ref="H99" si="54">H100+H101+H102</f>
        <v>538.51499999999999</v>
      </c>
      <c r="I99" s="8">
        <f>E99+апр!I99</f>
        <v>538.33500000000004</v>
      </c>
      <c r="J99" s="10">
        <f t="shared" ref="J99" si="55">J100+J101+J102</f>
        <v>0</v>
      </c>
      <c r="K99" s="10">
        <f t="shared" si="44"/>
        <v>-538.33500000000004</v>
      </c>
      <c r="L99" s="16">
        <f t="shared" si="49"/>
        <v>-100</v>
      </c>
      <c r="M99" s="110"/>
      <c r="N99" s="111"/>
      <c r="P99">
        <f t="shared" si="40"/>
        <v>538.51499999999999</v>
      </c>
      <c r="Q99" s="44">
        <f>E99+апр!I99</f>
        <v>538.33500000000004</v>
      </c>
      <c r="R99" s="30">
        <f>F99+апр!J99</f>
        <v>0</v>
      </c>
    </row>
    <row r="100" spans="1:18" ht="17.25" customHeight="1">
      <c r="A100" s="8" t="s">
        <v>91</v>
      </c>
      <c r="B100" s="20" t="s">
        <v>92</v>
      </c>
      <c r="C100" s="8" t="s">
        <v>4</v>
      </c>
      <c r="D100" s="10">
        <v>45.448999999999998</v>
      </c>
      <c r="E100" s="8"/>
      <c r="F100" s="8"/>
      <c r="G100" s="10">
        <f t="shared" si="43"/>
        <v>0</v>
      </c>
      <c r="H100" s="10">
        <f>D100+апр!H100</f>
        <v>227.245</v>
      </c>
      <c r="I100" s="8"/>
      <c r="J100" s="10">
        <f>F100+апр!J100</f>
        <v>0</v>
      </c>
      <c r="K100" s="10">
        <f t="shared" si="44"/>
        <v>0</v>
      </c>
      <c r="L100" s="16"/>
      <c r="M100" s="110"/>
      <c r="N100" s="111"/>
      <c r="P100">
        <f t="shared" si="40"/>
        <v>227.245</v>
      </c>
      <c r="Q100" s="44">
        <f>E100+апр!I100</f>
        <v>0</v>
      </c>
      <c r="R100" s="30">
        <f>F100+апр!J100</f>
        <v>0</v>
      </c>
    </row>
    <row r="101" spans="1:18" ht="33.75" customHeight="1">
      <c r="A101" s="8" t="s">
        <v>93</v>
      </c>
      <c r="B101" s="20" t="s">
        <v>94</v>
      </c>
      <c r="C101" s="8" t="s">
        <v>4</v>
      </c>
      <c r="D101" s="10">
        <v>62.253999999999998</v>
      </c>
      <c r="E101" s="8"/>
      <c r="F101" s="8"/>
      <c r="G101" s="10">
        <f t="shared" si="43"/>
        <v>0</v>
      </c>
      <c r="H101" s="10">
        <f>D101+апр!H101</f>
        <v>311.27</v>
      </c>
      <c r="I101" s="8"/>
      <c r="J101" s="10">
        <f>F101+апр!J101</f>
        <v>0</v>
      </c>
      <c r="K101" s="10">
        <f t="shared" si="44"/>
        <v>0</v>
      </c>
      <c r="L101" s="16"/>
      <c r="M101" s="110"/>
      <c r="N101" s="111"/>
      <c r="P101">
        <f t="shared" si="40"/>
        <v>311.27</v>
      </c>
      <c r="Q101" s="44">
        <f>E101+апр!I101</f>
        <v>0</v>
      </c>
      <c r="R101" s="30">
        <f>F101+апр!J101</f>
        <v>0</v>
      </c>
    </row>
    <row r="102" spans="1:18" ht="33.75" customHeight="1">
      <c r="A102" s="8" t="s">
        <v>95</v>
      </c>
      <c r="B102" s="20" t="s">
        <v>96</v>
      </c>
      <c r="C102" s="8" t="s">
        <v>4</v>
      </c>
      <c r="D102" s="10"/>
      <c r="E102" s="8"/>
      <c r="F102" s="8"/>
      <c r="G102" s="10">
        <f t="shared" si="43"/>
        <v>0</v>
      </c>
      <c r="H102" s="10">
        <f>D102+апр!H102</f>
        <v>0</v>
      </c>
      <c r="I102" s="8"/>
      <c r="J102" s="10">
        <f>F102+апр!J102</f>
        <v>0</v>
      </c>
      <c r="K102" s="10">
        <f t="shared" si="44"/>
        <v>0</v>
      </c>
      <c r="L102" s="16"/>
      <c r="M102" s="110"/>
      <c r="N102" s="111"/>
      <c r="P102">
        <f t="shared" si="40"/>
        <v>0</v>
      </c>
      <c r="Q102" s="44">
        <f>E102+апр!I102</f>
        <v>0</v>
      </c>
      <c r="R102" s="30">
        <f>F102+апр!J102</f>
        <v>0</v>
      </c>
    </row>
    <row r="103" spans="1:18" ht="17.25" customHeight="1">
      <c r="A103" s="8" t="s">
        <v>97</v>
      </c>
      <c r="B103" s="20" t="s">
        <v>98</v>
      </c>
      <c r="C103" s="8" t="s">
        <v>4</v>
      </c>
      <c r="D103" s="10">
        <v>1.3089999999999999</v>
      </c>
      <c r="E103" s="8">
        <v>1.333</v>
      </c>
      <c r="F103" s="8"/>
      <c r="G103" s="10">
        <f t="shared" si="43"/>
        <v>-1.333</v>
      </c>
      <c r="H103" s="10">
        <f>D103+апр!H103</f>
        <v>6.5449999999999999</v>
      </c>
      <c r="I103" s="8">
        <f>E103+март!I103</f>
        <v>5.3319999999999999</v>
      </c>
      <c r="J103" s="10">
        <f>F103+апр!J103</f>
        <v>0</v>
      </c>
      <c r="K103" s="10">
        <f t="shared" si="44"/>
        <v>-5.3319999999999999</v>
      </c>
      <c r="L103" s="16">
        <f t="shared" si="49"/>
        <v>-100</v>
      </c>
      <c r="M103" s="110"/>
      <c r="N103" s="111"/>
      <c r="P103">
        <f t="shared" si="40"/>
        <v>6.5449999999999999</v>
      </c>
      <c r="Q103" s="44">
        <f>E103+апр!I103</f>
        <v>6.665</v>
      </c>
      <c r="R103" s="30">
        <f>F103+апр!J103</f>
        <v>0</v>
      </c>
    </row>
    <row r="104" spans="1:18" ht="36" customHeight="1">
      <c r="A104" s="18" t="s">
        <v>105</v>
      </c>
      <c r="B104" s="20" t="s">
        <v>99</v>
      </c>
      <c r="C104" s="8" t="s">
        <v>4</v>
      </c>
      <c r="D104" s="10">
        <f t="shared" ref="D104:F104" si="56">D105+D106+D107+D108</f>
        <v>186.095</v>
      </c>
      <c r="E104" s="10">
        <f t="shared" si="56"/>
        <v>152.833</v>
      </c>
      <c r="F104" s="10">
        <f t="shared" si="56"/>
        <v>1012.229</v>
      </c>
      <c r="G104" s="10">
        <f t="shared" si="43"/>
        <v>859.39600000000007</v>
      </c>
      <c r="H104" s="10">
        <f t="shared" ref="H104:J104" si="57">H105+H106+H107+H108</f>
        <v>930.47500000000014</v>
      </c>
      <c r="I104" s="8">
        <f>E104+апр!I104</f>
        <v>764.16499999999996</v>
      </c>
      <c r="J104" s="10">
        <f t="shared" si="57"/>
        <v>1811.213</v>
      </c>
      <c r="K104" s="10">
        <f t="shared" si="44"/>
        <v>1047.048</v>
      </c>
      <c r="L104" s="16">
        <f t="shared" si="49"/>
        <v>137.01857583113593</v>
      </c>
      <c r="M104" s="110"/>
      <c r="N104" s="111"/>
      <c r="P104">
        <f t="shared" si="40"/>
        <v>930.47500000000002</v>
      </c>
      <c r="Q104" s="44">
        <f>E104+апр!I104</f>
        <v>764.16499999999996</v>
      </c>
      <c r="R104" s="30">
        <f>F104+апр!J104</f>
        <v>1811.2130000000002</v>
      </c>
    </row>
    <row r="105" spans="1:18" ht="17.25" customHeight="1">
      <c r="A105" s="24" t="s">
        <v>243</v>
      </c>
      <c r="B105" s="20" t="s">
        <v>100</v>
      </c>
      <c r="C105" s="8" t="s">
        <v>4</v>
      </c>
      <c r="D105" s="10">
        <v>43.570999999999998</v>
      </c>
      <c r="E105" s="8">
        <v>43.582999999999998</v>
      </c>
      <c r="F105" s="8">
        <f>246.225+237.46</f>
        <v>483.685</v>
      </c>
      <c r="G105" s="10">
        <f t="shared" si="43"/>
        <v>440.10199999999998</v>
      </c>
      <c r="H105" s="10">
        <f>D105+апр!H105</f>
        <v>217.85499999999999</v>
      </c>
      <c r="I105" s="8">
        <f>E105+апр!I105</f>
        <v>217.91499999999999</v>
      </c>
      <c r="J105" s="10">
        <f>F105+апр!J105</f>
        <v>705.31600000000003</v>
      </c>
      <c r="K105" s="10">
        <f t="shared" si="44"/>
        <v>487.40100000000007</v>
      </c>
      <c r="L105" s="16">
        <f t="shared" si="49"/>
        <v>223.66564945047384</v>
      </c>
      <c r="M105" s="110"/>
      <c r="N105" s="111"/>
      <c r="P105">
        <f t="shared" si="40"/>
        <v>217.85499999999999</v>
      </c>
      <c r="Q105" s="44">
        <f>E105+апр!I105</f>
        <v>217.91499999999999</v>
      </c>
      <c r="R105" s="30">
        <f>F105+апр!J105</f>
        <v>705.31600000000003</v>
      </c>
    </row>
    <row r="106" spans="1:18" ht="28.5" customHeight="1">
      <c r="A106" s="8" t="s">
        <v>244</v>
      </c>
      <c r="B106" s="20" t="s">
        <v>101</v>
      </c>
      <c r="C106" s="8" t="s">
        <v>4</v>
      </c>
      <c r="D106" s="10">
        <v>116.209</v>
      </c>
      <c r="E106" s="8">
        <v>82.917000000000002</v>
      </c>
      <c r="F106" s="8">
        <v>130.54599999999999</v>
      </c>
      <c r="G106" s="10">
        <f t="shared" si="43"/>
        <v>47.628999999999991</v>
      </c>
      <c r="H106" s="10">
        <f>D106+апр!H106</f>
        <v>581.04500000000007</v>
      </c>
      <c r="I106" s="8">
        <f>E106+апр!I106</f>
        <v>414.58500000000004</v>
      </c>
      <c r="J106" s="10">
        <f>F106+апр!J106</f>
        <v>584.14599999999996</v>
      </c>
      <c r="K106" s="10">
        <f t="shared" si="44"/>
        <v>169.56099999999992</v>
      </c>
      <c r="L106" s="16">
        <f t="shared" si="49"/>
        <v>40.898971260417021</v>
      </c>
      <c r="M106" s="112" t="s">
        <v>287</v>
      </c>
      <c r="N106" s="113"/>
      <c r="P106">
        <f t="shared" si="40"/>
        <v>581.04500000000007</v>
      </c>
      <c r="Q106" s="44">
        <f>E106+апр!I106</f>
        <v>414.58500000000004</v>
      </c>
      <c r="R106" s="30">
        <f>F106+апр!J106</f>
        <v>584.14599999999996</v>
      </c>
    </row>
    <row r="107" spans="1:18" ht="37.5" customHeight="1">
      <c r="A107" s="8" t="s">
        <v>245</v>
      </c>
      <c r="B107" s="20" t="s">
        <v>102</v>
      </c>
      <c r="C107" s="8" t="s">
        <v>4</v>
      </c>
      <c r="D107" s="10">
        <v>26.315000000000001</v>
      </c>
      <c r="E107" s="8">
        <v>26.332999999999998</v>
      </c>
      <c r="F107" s="10">
        <f>368+29.998</f>
        <v>397.99799999999999</v>
      </c>
      <c r="G107" s="10">
        <f t="shared" si="43"/>
        <v>371.66499999999996</v>
      </c>
      <c r="H107" s="10">
        <f>D107+апр!H107</f>
        <v>131.57500000000002</v>
      </c>
      <c r="I107" s="8">
        <f>E107+апр!I107</f>
        <v>131.66499999999999</v>
      </c>
      <c r="J107" s="10">
        <f>F107+апр!J107</f>
        <v>521.75099999999998</v>
      </c>
      <c r="K107" s="10">
        <f t="shared" si="44"/>
        <v>390.08600000000001</v>
      </c>
      <c r="L107" s="16">
        <f t="shared" si="49"/>
        <v>296.27159837466303</v>
      </c>
      <c r="M107" s="110"/>
      <c r="N107" s="111"/>
      <c r="P107">
        <f t="shared" si="40"/>
        <v>131.57500000000002</v>
      </c>
      <c r="Q107" s="44">
        <f>E107+апр!I107</f>
        <v>131.66499999999999</v>
      </c>
      <c r="R107" s="30">
        <f>F107+апр!J107</f>
        <v>521.75099999999998</v>
      </c>
    </row>
    <row r="108" spans="1:18" ht="35.25" hidden="1" customHeight="1">
      <c r="A108" s="8" t="s">
        <v>103</v>
      </c>
      <c r="B108" s="20" t="s">
        <v>104</v>
      </c>
      <c r="C108" s="8" t="s">
        <v>4</v>
      </c>
      <c r="D108" s="10">
        <v>0</v>
      </c>
      <c r="E108" s="8"/>
      <c r="F108" s="8"/>
      <c r="G108" s="10">
        <f t="shared" si="43"/>
        <v>0</v>
      </c>
      <c r="H108" s="10">
        <f>D108+апр!H108</f>
        <v>0</v>
      </c>
      <c r="I108" s="8">
        <f>E108+март!I108</f>
        <v>0</v>
      </c>
      <c r="J108" s="10">
        <f>F108+апр!J108</f>
        <v>0</v>
      </c>
      <c r="K108" s="10">
        <f t="shared" si="44"/>
        <v>0</v>
      </c>
      <c r="L108" s="16" t="e">
        <f t="shared" si="49"/>
        <v>#DIV/0!</v>
      </c>
      <c r="M108" s="110"/>
      <c r="N108" s="111"/>
      <c r="P108">
        <f t="shared" si="40"/>
        <v>0</v>
      </c>
      <c r="Q108" s="44">
        <f>E108+апр!I108</f>
        <v>0</v>
      </c>
      <c r="R108" s="30">
        <f>F108+апр!J108</f>
        <v>0</v>
      </c>
    </row>
    <row r="109" spans="1:18" ht="17.25" customHeight="1">
      <c r="A109" s="18" t="s">
        <v>246</v>
      </c>
      <c r="B109" s="20" t="s">
        <v>106</v>
      </c>
      <c r="C109" s="8" t="s">
        <v>4</v>
      </c>
      <c r="D109" s="10">
        <v>91.483999999999995</v>
      </c>
      <c r="E109" s="8">
        <v>58.167000000000002</v>
      </c>
      <c r="F109" s="8">
        <f>15.207+22.409+4.525+1.393+0.256</f>
        <v>43.79</v>
      </c>
      <c r="G109" s="10">
        <f t="shared" si="43"/>
        <v>-14.377000000000002</v>
      </c>
      <c r="H109" s="10">
        <f>D109+апр!H109</f>
        <v>457.41999999999996</v>
      </c>
      <c r="I109" s="8">
        <f>E109+апр!I109</f>
        <v>290.83500000000004</v>
      </c>
      <c r="J109" s="10">
        <f>F109+апр!J109</f>
        <v>190.62699999999998</v>
      </c>
      <c r="K109" s="10">
        <f t="shared" si="44"/>
        <v>-100.20800000000006</v>
      </c>
      <c r="L109" s="16">
        <f t="shared" si="49"/>
        <v>-34.455275327935098</v>
      </c>
      <c r="M109" s="110"/>
      <c r="N109" s="111"/>
      <c r="P109">
        <f t="shared" si="40"/>
        <v>457.41999999999996</v>
      </c>
      <c r="Q109" s="44">
        <f>E109+апр!I109</f>
        <v>290.83500000000004</v>
      </c>
      <c r="R109" s="30">
        <f>F109+апр!J109</f>
        <v>190.62699999999998</v>
      </c>
    </row>
    <row r="110" spans="1:18" ht="17.25" customHeight="1">
      <c r="A110" s="17" t="s">
        <v>247</v>
      </c>
      <c r="B110" s="6" t="s">
        <v>107</v>
      </c>
      <c r="C110" s="8" t="s">
        <v>4</v>
      </c>
      <c r="D110" s="10">
        <f>D111+D115+D119+D123+D124+D125+D126+D127+D128+D129+D130+D131+D132+D133+D134+D135</f>
        <v>1562.1809999999998</v>
      </c>
      <c r="E110" s="10">
        <f>E111+E115+E119+E123+E124+E125+E126+E127+E128+E129+E130+E131+E132+E133+E134+E135+E136+E137</f>
        <v>1699.25</v>
      </c>
      <c r="F110" s="10">
        <f>F111+F115+F119+F123+F124+F125+F126+F127+F128+F129+F130+F131+F132+F133+F134+F135+F136+F137</f>
        <v>1306.3905</v>
      </c>
      <c r="G110" s="10">
        <f t="shared" si="43"/>
        <v>-392.85950000000003</v>
      </c>
      <c r="H110" s="10">
        <f>H111+H115+H119+H123+H124+H125+H126+H127+H128+H129+H130+H131+H132+H133+H134+H135</f>
        <v>7810.9050000000007</v>
      </c>
      <c r="I110" s="10">
        <f>I111+I115+I119+I123+I124+I125+I126+I127+I128+I129+I130+I131+I132+I133+I134+I135+I136+I137</f>
        <v>8496.25</v>
      </c>
      <c r="J110" s="10">
        <f>J111+J115+J119+J123+J124+J125+J126+J127+J128+J129+J130+J131+J132+J133+J134+J135+J136+J137</f>
        <v>7962.4600000000009</v>
      </c>
      <c r="K110" s="10">
        <f t="shared" si="44"/>
        <v>-533.78999999999905</v>
      </c>
      <c r="L110" s="16">
        <f t="shared" si="49"/>
        <v>-6.2826541121082711</v>
      </c>
      <c r="M110" s="116"/>
      <c r="N110" s="111"/>
      <c r="P110">
        <f t="shared" si="40"/>
        <v>7810.9049999999988</v>
      </c>
      <c r="Q110" s="44">
        <f>E110+апр!I110</f>
        <v>8496.25</v>
      </c>
      <c r="R110" s="30">
        <f>F110+апр!J110</f>
        <v>7962.4600000000009</v>
      </c>
    </row>
    <row r="111" spans="1:18" ht="18" customHeight="1">
      <c r="A111" s="18" t="s">
        <v>248</v>
      </c>
      <c r="B111" s="9" t="s">
        <v>108</v>
      </c>
      <c r="C111" s="8" t="s">
        <v>4</v>
      </c>
      <c r="D111" s="10">
        <v>431.38099999999997</v>
      </c>
      <c r="E111" s="8">
        <v>431.41699999999997</v>
      </c>
      <c r="F111" s="10">
        <f>F112+F113+F114</f>
        <v>230.88</v>
      </c>
      <c r="G111" s="10">
        <f t="shared" si="43"/>
        <v>-200.53699999999998</v>
      </c>
      <c r="H111" s="10">
        <f>D111+апр!H111</f>
        <v>2156.9049999999997</v>
      </c>
      <c r="I111" s="8">
        <f>E111+апр!I111</f>
        <v>2157.085</v>
      </c>
      <c r="J111" s="10">
        <f>J112+J113+J114</f>
        <v>1419.511</v>
      </c>
      <c r="K111" s="10">
        <f t="shared" si="44"/>
        <v>-737.57400000000007</v>
      </c>
      <c r="L111" s="16">
        <f t="shared" si="49"/>
        <v>-34.193089284845058</v>
      </c>
      <c r="M111" s="121"/>
      <c r="N111" s="122"/>
      <c r="P111">
        <f t="shared" si="40"/>
        <v>2156.9049999999997</v>
      </c>
      <c r="Q111" s="44">
        <f>E111+апр!I111</f>
        <v>2157.085</v>
      </c>
      <c r="R111" s="30">
        <f>F111+апр!J111</f>
        <v>1419.511</v>
      </c>
    </row>
    <row r="112" spans="1:18" ht="17.25" customHeight="1">
      <c r="A112" s="18"/>
      <c r="B112" s="9" t="s">
        <v>221</v>
      </c>
      <c r="C112" s="8" t="s">
        <v>4</v>
      </c>
      <c r="D112" s="10"/>
      <c r="E112" s="8"/>
      <c r="F112" s="10">
        <v>230.88</v>
      </c>
      <c r="G112" s="10">
        <f t="shared" si="43"/>
        <v>230.88</v>
      </c>
      <c r="H112" s="10"/>
      <c r="I112" s="8"/>
      <c r="J112" s="10">
        <f>F112+апр!J112</f>
        <v>1197.69</v>
      </c>
      <c r="K112" s="10">
        <f t="shared" si="44"/>
        <v>1197.69</v>
      </c>
      <c r="L112" s="16"/>
      <c r="M112" s="110"/>
      <c r="N112" s="111"/>
      <c r="P112">
        <f t="shared" si="40"/>
        <v>0</v>
      </c>
      <c r="Q112" s="44">
        <f>E112+апр!I112</f>
        <v>0</v>
      </c>
      <c r="R112" s="30">
        <f>F112+апр!J112</f>
        <v>1197.69</v>
      </c>
    </row>
    <row r="113" spans="1:18" ht="36" customHeight="1">
      <c r="A113" s="18"/>
      <c r="B113" s="9" t="s">
        <v>222</v>
      </c>
      <c r="C113" s="8" t="s">
        <v>4</v>
      </c>
      <c r="D113" s="10"/>
      <c r="E113" s="8"/>
      <c r="F113" s="10"/>
      <c r="G113" s="10">
        <f t="shared" si="43"/>
        <v>0</v>
      </c>
      <c r="H113" s="10"/>
      <c r="I113" s="8"/>
      <c r="J113" s="10">
        <f>F113+апр!J113</f>
        <v>221.821</v>
      </c>
      <c r="K113" s="10">
        <f t="shared" si="44"/>
        <v>221.821</v>
      </c>
      <c r="L113" s="16"/>
      <c r="M113" s="110"/>
      <c r="N113" s="111"/>
      <c r="P113">
        <f t="shared" si="40"/>
        <v>0</v>
      </c>
      <c r="Q113" s="44">
        <f>E113+апр!I113</f>
        <v>0</v>
      </c>
      <c r="R113" s="30">
        <f>F113+апр!J113</f>
        <v>221.821</v>
      </c>
    </row>
    <row r="114" spans="1:18" ht="17.25" customHeight="1">
      <c r="A114" s="18"/>
      <c r="B114" s="9" t="s">
        <v>223</v>
      </c>
      <c r="C114" s="8" t="s">
        <v>4</v>
      </c>
      <c r="D114" s="10"/>
      <c r="E114" s="8"/>
      <c r="F114" s="8"/>
      <c r="G114" s="10">
        <f t="shared" si="43"/>
        <v>0</v>
      </c>
      <c r="H114" s="10"/>
      <c r="I114" s="8"/>
      <c r="J114" s="10">
        <f>F114+апр!J114</f>
        <v>0</v>
      </c>
      <c r="K114" s="10">
        <f t="shared" si="44"/>
        <v>0</v>
      </c>
      <c r="L114" s="16"/>
      <c r="M114" s="110"/>
      <c r="N114" s="111"/>
      <c r="P114">
        <f t="shared" si="40"/>
        <v>0</v>
      </c>
      <c r="Q114" s="44">
        <f>E114+апр!I114</f>
        <v>0</v>
      </c>
      <c r="R114" s="30">
        <f>F114+апр!J114</f>
        <v>0</v>
      </c>
    </row>
    <row r="115" spans="1:18" ht="17.25" customHeight="1">
      <c r="A115" s="18" t="s">
        <v>249</v>
      </c>
      <c r="B115" s="9" t="s">
        <v>109</v>
      </c>
      <c r="C115" s="8" t="s">
        <v>4</v>
      </c>
      <c r="D115" s="10">
        <f t="shared" ref="D115" si="58">D116+D117+D118</f>
        <v>121.34400000000001</v>
      </c>
      <c r="E115" s="10">
        <v>121.333</v>
      </c>
      <c r="F115" s="10"/>
      <c r="G115" s="10">
        <f t="shared" si="43"/>
        <v>-121.333</v>
      </c>
      <c r="H115" s="10">
        <f t="shared" ref="H115" si="59">H116+H117+H118</f>
        <v>606.72</v>
      </c>
      <c r="I115" s="8">
        <f>E115+апр!I115</f>
        <v>606.66499999999996</v>
      </c>
      <c r="J115" s="10">
        <f t="shared" ref="J115" si="60">J116+J117+J118</f>
        <v>0</v>
      </c>
      <c r="K115" s="10">
        <f t="shared" si="44"/>
        <v>-606.66499999999996</v>
      </c>
      <c r="L115" s="16">
        <f t="shared" si="49"/>
        <v>-100</v>
      </c>
      <c r="M115" s="110"/>
      <c r="N115" s="111"/>
      <c r="P115">
        <f t="shared" si="40"/>
        <v>606.72</v>
      </c>
      <c r="Q115" s="44">
        <f>E115+апр!I115</f>
        <v>606.66499999999996</v>
      </c>
      <c r="R115" s="30">
        <f>F115+апр!J115</f>
        <v>0</v>
      </c>
    </row>
    <row r="116" spans="1:18" ht="36" customHeight="1">
      <c r="A116" s="8" t="s">
        <v>250</v>
      </c>
      <c r="B116" s="9" t="s">
        <v>240</v>
      </c>
      <c r="C116" s="8" t="s">
        <v>4</v>
      </c>
      <c r="D116" s="10">
        <v>86.322000000000003</v>
      </c>
      <c r="E116" s="8"/>
      <c r="F116" s="8"/>
      <c r="G116" s="10">
        <f t="shared" si="43"/>
        <v>0</v>
      </c>
      <c r="H116" s="10">
        <f>D116+апр!H116</f>
        <v>431.61</v>
      </c>
      <c r="I116" s="8"/>
      <c r="J116" s="10">
        <f>F116+апр!J116</f>
        <v>0</v>
      </c>
      <c r="K116" s="10">
        <f t="shared" si="44"/>
        <v>0</v>
      </c>
      <c r="L116" s="16"/>
      <c r="M116" s="110"/>
      <c r="N116" s="111"/>
      <c r="P116">
        <f t="shared" si="40"/>
        <v>431.61</v>
      </c>
      <c r="Q116" s="44">
        <f>E116+апр!I116</f>
        <v>0</v>
      </c>
      <c r="R116" s="30">
        <f>F116+апр!J116</f>
        <v>0</v>
      </c>
    </row>
    <row r="117" spans="1:18" ht="42.75" customHeight="1">
      <c r="A117" s="8" t="s">
        <v>251</v>
      </c>
      <c r="B117" s="9" t="s">
        <v>241</v>
      </c>
      <c r="C117" s="8" t="s">
        <v>4</v>
      </c>
      <c r="D117" s="10">
        <v>31.76</v>
      </c>
      <c r="E117" s="8"/>
      <c r="F117" s="8"/>
      <c r="G117" s="10">
        <f t="shared" si="43"/>
        <v>0</v>
      </c>
      <c r="H117" s="10">
        <f>D117+апр!H117</f>
        <v>158.80000000000001</v>
      </c>
      <c r="I117" s="8"/>
      <c r="J117" s="10">
        <f>F117+апр!J117</f>
        <v>0</v>
      </c>
      <c r="K117" s="10">
        <f t="shared" si="44"/>
        <v>0</v>
      </c>
      <c r="L117" s="16"/>
      <c r="M117" s="110"/>
      <c r="N117" s="111"/>
      <c r="P117">
        <f t="shared" si="40"/>
        <v>158.80000000000001</v>
      </c>
      <c r="Q117" s="44">
        <f>E117+апр!I117</f>
        <v>0</v>
      </c>
      <c r="R117" s="30">
        <f>F117+апр!J117</f>
        <v>0</v>
      </c>
    </row>
    <row r="118" spans="1:18" ht="17.25" customHeight="1">
      <c r="A118" s="8" t="s">
        <v>252</v>
      </c>
      <c r="B118" s="9" t="s">
        <v>110</v>
      </c>
      <c r="C118" s="8" t="s">
        <v>4</v>
      </c>
      <c r="D118" s="10">
        <v>3.262</v>
      </c>
      <c r="E118" s="8"/>
      <c r="F118" s="8"/>
      <c r="G118" s="10">
        <f t="shared" si="43"/>
        <v>0</v>
      </c>
      <c r="H118" s="10">
        <f>D118+апр!H118</f>
        <v>16.309999999999999</v>
      </c>
      <c r="I118" s="8"/>
      <c r="J118" s="10">
        <f>F118+апр!J118</f>
        <v>0</v>
      </c>
      <c r="K118" s="10">
        <f t="shared" si="44"/>
        <v>0</v>
      </c>
      <c r="L118" s="16"/>
      <c r="M118" s="110"/>
      <c r="N118" s="111"/>
      <c r="P118">
        <f t="shared" si="40"/>
        <v>16.309999999999999</v>
      </c>
      <c r="Q118" s="44">
        <f>E118+апр!I118</f>
        <v>0</v>
      </c>
      <c r="R118" s="30">
        <f>F118+апр!J118</f>
        <v>0</v>
      </c>
    </row>
    <row r="119" spans="1:18" ht="34.5" customHeight="1">
      <c r="A119" s="18" t="s">
        <v>253</v>
      </c>
      <c r="B119" s="9" t="s">
        <v>111</v>
      </c>
      <c r="C119" s="8" t="s">
        <v>4</v>
      </c>
      <c r="D119" s="10">
        <f>D120</f>
        <v>380.84899999999999</v>
      </c>
      <c r="E119" s="10">
        <v>356.5</v>
      </c>
      <c r="F119" s="10">
        <f>F120</f>
        <v>428.21550000000002</v>
      </c>
      <c r="G119" s="10">
        <f t="shared" si="43"/>
        <v>71.71550000000002</v>
      </c>
      <c r="H119" s="10">
        <f>H120</f>
        <v>1904.2449999999999</v>
      </c>
      <c r="I119" s="8">
        <f>E119+апр!I119</f>
        <v>1782.5</v>
      </c>
      <c r="J119" s="10">
        <f>J120</f>
        <v>1755.057</v>
      </c>
      <c r="K119" s="10">
        <f t="shared" si="44"/>
        <v>-27.442999999999984</v>
      </c>
      <c r="L119" s="16">
        <f t="shared" si="49"/>
        <v>-1.5395792426367452</v>
      </c>
      <c r="M119" s="110"/>
      <c r="N119" s="111"/>
      <c r="P119">
        <f t="shared" si="40"/>
        <v>1904.2449999999999</v>
      </c>
      <c r="Q119" s="44">
        <f>E119+апр!I119</f>
        <v>1782.5</v>
      </c>
      <c r="R119" s="30">
        <f>F119+апр!J119</f>
        <v>1755.057</v>
      </c>
    </row>
    <row r="120" spans="1:18" ht="17.25" customHeight="1">
      <c r="A120" s="8"/>
      <c r="B120" s="25" t="s">
        <v>112</v>
      </c>
      <c r="C120" s="8" t="s">
        <v>113</v>
      </c>
      <c r="D120" s="10">
        <v>380.84899999999999</v>
      </c>
      <c r="E120" s="10">
        <f>E122*E121</f>
        <v>356.5</v>
      </c>
      <c r="F120" s="10">
        <f>F122*F121</f>
        <v>428.21550000000002</v>
      </c>
      <c r="G120" s="10">
        <f t="shared" si="43"/>
        <v>71.71550000000002</v>
      </c>
      <c r="H120" s="10">
        <f>D120+апр!H120</f>
        <v>1904.2449999999999</v>
      </c>
      <c r="I120" s="8">
        <f>E120+апр!I120</f>
        <v>1782.5</v>
      </c>
      <c r="J120" s="10">
        <f>F120+апр!J120</f>
        <v>1755.057</v>
      </c>
      <c r="K120" s="10">
        <f t="shared" si="44"/>
        <v>-27.442999999999984</v>
      </c>
      <c r="L120" s="16">
        <f t="shared" si="49"/>
        <v>-1.5395792426367452</v>
      </c>
      <c r="M120" s="110"/>
      <c r="N120" s="111"/>
      <c r="P120">
        <f t="shared" si="40"/>
        <v>1904.2449999999999</v>
      </c>
      <c r="Q120" s="44">
        <f>E120+апр!I120</f>
        <v>1782.5</v>
      </c>
      <c r="R120" s="30">
        <f>F120+апр!J120</f>
        <v>1755.057</v>
      </c>
    </row>
    <row r="121" spans="1:18" ht="17.25" customHeight="1">
      <c r="A121" s="8"/>
      <c r="B121" s="12" t="s">
        <v>13</v>
      </c>
      <c r="C121" s="13" t="s">
        <v>114</v>
      </c>
      <c r="D121" s="10">
        <v>761.69899999999996</v>
      </c>
      <c r="E121" s="16">
        <f>E119/E122</f>
        <v>713</v>
      </c>
      <c r="F121" s="8">
        <f>F210</f>
        <v>856.43100000000004</v>
      </c>
      <c r="G121" s="10">
        <f t="shared" si="43"/>
        <v>143.43100000000004</v>
      </c>
      <c r="H121" s="10">
        <f>D121+апр!H121</f>
        <v>3808.4949999999999</v>
      </c>
      <c r="I121" s="8">
        <f>E121+апр!I121</f>
        <v>3565</v>
      </c>
      <c r="J121" s="10">
        <f>F121+апр!J121</f>
        <v>3510.1130000000003</v>
      </c>
      <c r="K121" s="10">
        <f t="shared" si="44"/>
        <v>-54.886999999999716</v>
      </c>
      <c r="L121" s="16">
        <f t="shared" si="49"/>
        <v>-1.5396072931276217</v>
      </c>
      <c r="M121" s="110"/>
      <c r="N121" s="111"/>
      <c r="P121">
        <f t="shared" si="40"/>
        <v>3808.4949999999999</v>
      </c>
      <c r="Q121" s="44">
        <f>E121+апр!I121</f>
        <v>3565</v>
      </c>
      <c r="R121" s="30">
        <f>F121+апр!J121</f>
        <v>3510.1130000000003</v>
      </c>
    </row>
    <row r="122" spans="1:18" ht="17.25" customHeight="1">
      <c r="A122" s="8"/>
      <c r="B122" s="12" t="s">
        <v>15</v>
      </c>
      <c r="C122" s="13" t="s">
        <v>16</v>
      </c>
      <c r="D122" s="11">
        <v>0.5</v>
      </c>
      <c r="E122" s="11">
        <v>0.5</v>
      </c>
      <c r="F122" s="11">
        <v>0.5</v>
      </c>
      <c r="G122" s="10">
        <f t="shared" si="43"/>
        <v>0</v>
      </c>
      <c r="H122" s="11">
        <v>0.5</v>
      </c>
      <c r="I122" s="11">
        <v>0.5</v>
      </c>
      <c r="J122" s="11">
        <v>0.5</v>
      </c>
      <c r="K122" s="10">
        <f t="shared" si="44"/>
        <v>0</v>
      </c>
      <c r="L122" s="16">
        <f t="shared" si="49"/>
        <v>0</v>
      </c>
      <c r="M122" s="110"/>
      <c r="N122" s="111"/>
      <c r="P122">
        <f t="shared" si="40"/>
        <v>2.5</v>
      </c>
      <c r="Q122" s="44">
        <f>E122+апр!I122</f>
        <v>1</v>
      </c>
      <c r="R122" s="30">
        <f>F122+апр!J122</f>
        <v>1</v>
      </c>
    </row>
    <row r="123" spans="1:18" ht="17.25" customHeight="1">
      <c r="A123" s="18" t="s">
        <v>254</v>
      </c>
      <c r="B123" s="9" t="s">
        <v>115</v>
      </c>
      <c r="C123" s="8" t="s">
        <v>4</v>
      </c>
      <c r="D123" s="10">
        <v>1.1120000000000001</v>
      </c>
      <c r="E123" s="8">
        <v>1.083</v>
      </c>
      <c r="F123" s="8"/>
      <c r="G123" s="10">
        <f t="shared" si="43"/>
        <v>-1.083</v>
      </c>
      <c r="H123" s="10">
        <f>D123+апр!H123</f>
        <v>5.5600000000000005</v>
      </c>
      <c r="I123" s="8">
        <f>E123+апр!I123</f>
        <v>5.415</v>
      </c>
      <c r="J123" s="10">
        <f>F123+апр!J123</f>
        <v>0</v>
      </c>
      <c r="K123" s="10">
        <f t="shared" si="44"/>
        <v>-5.415</v>
      </c>
      <c r="L123" s="16">
        <f t="shared" si="49"/>
        <v>-100</v>
      </c>
      <c r="M123" s="110"/>
      <c r="N123" s="111"/>
      <c r="P123">
        <f t="shared" si="40"/>
        <v>5.5600000000000005</v>
      </c>
      <c r="Q123" s="44">
        <f>E123+апр!I123</f>
        <v>5.415</v>
      </c>
      <c r="R123" s="30">
        <f>F123+апр!J123</f>
        <v>0</v>
      </c>
    </row>
    <row r="124" spans="1:18" ht="36" customHeight="1">
      <c r="A124" s="18" t="s">
        <v>255</v>
      </c>
      <c r="B124" s="9" t="s">
        <v>116</v>
      </c>
      <c r="C124" s="8" t="s">
        <v>4</v>
      </c>
      <c r="D124" s="10">
        <v>53.17</v>
      </c>
      <c r="E124" s="8">
        <v>52.167000000000002</v>
      </c>
      <c r="F124" s="10">
        <v>45</v>
      </c>
      <c r="G124" s="10">
        <f t="shared" si="43"/>
        <v>-7.1670000000000016</v>
      </c>
      <c r="H124" s="10">
        <f>D124+апр!H124</f>
        <v>265.85000000000002</v>
      </c>
      <c r="I124" s="8">
        <f>E124+апр!I124</f>
        <v>260.83500000000004</v>
      </c>
      <c r="J124" s="10">
        <f>F124+апр!J124</f>
        <v>225</v>
      </c>
      <c r="K124" s="10">
        <f t="shared" si="44"/>
        <v>-35.835000000000036</v>
      </c>
      <c r="L124" s="16">
        <f t="shared" si="49"/>
        <v>-13.738570360572789</v>
      </c>
      <c r="M124" s="110"/>
      <c r="N124" s="111"/>
      <c r="P124">
        <f t="shared" si="40"/>
        <v>265.85000000000002</v>
      </c>
      <c r="Q124" s="44">
        <f>E124+апр!I124</f>
        <v>260.83500000000004</v>
      </c>
      <c r="R124" s="30">
        <f>F124+апр!J124</f>
        <v>225</v>
      </c>
    </row>
    <row r="125" spans="1:18" ht="41.25" customHeight="1">
      <c r="A125" s="18" t="s">
        <v>256</v>
      </c>
      <c r="B125" s="9" t="s">
        <v>117</v>
      </c>
      <c r="C125" s="8" t="s">
        <v>4</v>
      </c>
      <c r="D125" s="10">
        <v>411.35</v>
      </c>
      <c r="E125" s="8">
        <v>411.33300000000003</v>
      </c>
      <c r="F125" s="8">
        <f>178.332+251.693</f>
        <v>430.02499999999998</v>
      </c>
      <c r="G125" s="10">
        <f t="shared" si="43"/>
        <v>18.69199999999995</v>
      </c>
      <c r="H125" s="10">
        <f>D125+апр!H125</f>
        <v>2056.75</v>
      </c>
      <c r="I125" s="8">
        <f>E125+апр!I125</f>
        <v>2056.665</v>
      </c>
      <c r="J125" s="10">
        <f>F125+апр!J125</f>
        <v>2657.4010000000003</v>
      </c>
      <c r="K125" s="10">
        <f t="shared" si="44"/>
        <v>600.73600000000033</v>
      </c>
      <c r="L125" s="16">
        <f t="shared" si="49"/>
        <v>29.209229505048238</v>
      </c>
      <c r="M125" s="112" t="s">
        <v>294</v>
      </c>
      <c r="N125" s="113"/>
      <c r="P125">
        <f t="shared" si="40"/>
        <v>2056.75</v>
      </c>
      <c r="Q125" s="44">
        <f>E125+апр!I125</f>
        <v>2056.665</v>
      </c>
      <c r="R125" s="30">
        <f>F125+апр!J125</f>
        <v>2657.4010000000003</v>
      </c>
    </row>
    <row r="126" spans="1:18" ht="55.5" customHeight="1">
      <c r="A126" s="18" t="s">
        <v>257</v>
      </c>
      <c r="B126" s="9" t="s">
        <v>118</v>
      </c>
      <c r="C126" s="8" t="s">
        <v>4</v>
      </c>
      <c r="D126" s="10">
        <v>48.704000000000001</v>
      </c>
      <c r="E126" s="8">
        <v>48.667000000000002</v>
      </c>
      <c r="F126" s="10">
        <v>53.1</v>
      </c>
      <c r="G126" s="10">
        <f t="shared" si="43"/>
        <v>4.4329999999999998</v>
      </c>
      <c r="H126" s="10">
        <f>D126+апр!H126</f>
        <v>243.52</v>
      </c>
      <c r="I126" s="8">
        <f>E126+апр!I126</f>
        <v>243.33500000000001</v>
      </c>
      <c r="J126" s="10">
        <f>F126+апр!J126</f>
        <v>265.44</v>
      </c>
      <c r="K126" s="10">
        <f t="shared" si="44"/>
        <v>22.10499999999999</v>
      </c>
      <c r="L126" s="16">
        <f t="shared" si="49"/>
        <v>9.0841843549016748</v>
      </c>
      <c r="M126" s="110"/>
      <c r="N126" s="111"/>
      <c r="P126">
        <f t="shared" si="40"/>
        <v>243.52</v>
      </c>
      <c r="Q126" s="44">
        <f>E126+апр!I126</f>
        <v>243.33500000000001</v>
      </c>
      <c r="R126" s="30">
        <f>F126+апр!J126</f>
        <v>265.44</v>
      </c>
    </row>
    <row r="127" spans="1:18" ht="17.25" customHeight="1">
      <c r="A127" s="18" t="s">
        <v>258</v>
      </c>
      <c r="B127" s="9" t="s">
        <v>119</v>
      </c>
      <c r="C127" s="8" t="s">
        <v>4</v>
      </c>
      <c r="D127" s="10">
        <v>38.012999999999998</v>
      </c>
      <c r="E127" s="8">
        <v>38</v>
      </c>
      <c r="F127" s="10"/>
      <c r="G127" s="10">
        <f t="shared" si="43"/>
        <v>-38</v>
      </c>
      <c r="H127" s="10">
        <f>D127+апр!H127</f>
        <v>190.065</v>
      </c>
      <c r="I127" s="8">
        <f>E127+апр!I127</f>
        <v>190</v>
      </c>
      <c r="J127" s="10">
        <f>F127+апр!J127</f>
        <v>105</v>
      </c>
      <c r="K127" s="10">
        <f t="shared" si="44"/>
        <v>-85</v>
      </c>
      <c r="L127" s="16">
        <f t="shared" si="49"/>
        <v>-44.736842105263158</v>
      </c>
      <c r="M127" s="110"/>
      <c r="N127" s="111"/>
      <c r="P127">
        <f t="shared" si="40"/>
        <v>190.065</v>
      </c>
      <c r="Q127" s="44">
        <f>E127+апр!I127</f>
        <v>190</v>
      </c>
      <c r="R127" s="30">
        <f>F127+апр!J127</f>
        <v>105</v>
      </c>
    </row>
    <row r="128" spans="1:18" ht="54" customHeight="1">
      <c r="A128" s="18" t="s">
        <v>259</v>
      </c>
      <c r="B128" s="9" t="s">
        <v>120</v>
      </c>
      <c r="C128" s="8" t="s">
        <v>4</v>
      </c>
      <c r="D128" s="10"/>
      <c r="E128" s="8"/>
      <c r="F128" s="8"/>
      <c r="G128" s="10">
        <f t="shared" si="43"/>
        <v>0</v>
      </c>
      <c r="H128" s="10">
        <f>D128+апр!H128</f>
        <v>0</v>
      </c>
      <c r="I128" s="8">
        <f>E128+апр!I128</f>
        <v>0</v>
      </c>
      <c r="J128" s="10">
        <f>F128+апр!J128</f>
        <v>640.45500000000004</v>
      </c>
      <c r="K128" s="10">
        <f t="shared" si="44"/>
        <v>640.45500000000004</v>
      </c>
      <c r="L128" s="16" t="e">
        <f t="shared" si="49"/>
        <v>#DIV/0!</v>
      </c>
      <c r="M128" s="110"/>
      <c r="N128" s="111"/>
      <c r="P128">
        <f t="shared" si="40"/>
        <v>0</v>
      </c>
      <c r="Q128" s="44">
        <f>E128+апр!I128</f>
        <v>0</v>
      </c>
      <c r="R128" s="30">
        <f>F128+апр!J128</f>
        <v>640.45500000000004</v>
      </c>
    </row>
    <row r="129" spans="1:18" ht="34.5" hidden="1" customHeight="1">
      <c r="A129" s="18" t="s">
        <v>121</v>
      </c>
      <c r="B129" s="9" t="s">
        <v>218</v>
      </c>
      <c r="C129" s="8" t="s">
        <v>4</v>
      </c>
      <c r="D129" s="10">
        <v>0</v>
      </c>
      <c r="E129" s="8"/>
      <c r="F129" s="8"/>
      <c r="G129" s="10">
        <f t="shared" si="43"/>
        <v>0</v>
      </c>
      <c r="H129" s="10">
        <f>D129+апр!H129</f>
        <v>0</v>
      </c>
      <c r="I129" s="8">
        <f>E129+апр!I129</f>
        <v>0</v>
      </c>
      <c r="J129" s="10">
        <f>F129+апр!J129</f>
        <v>0</v>
      </c>
      <c r="K129" s="10">
        <f t="shared" si="44"/>
        <v>0</v>
      </c>
      <c r="L129" s="16" t="e">
        <f t="shared" si="49"/>
        <v>#DIV/0!</v>
      </c>
      <c r="M129" s="110"/>
      <c r="N129" s="111"/>
      <c r="P129">
        <f t="shared" si="40"/>
        <v>0</v>
      </c>
      <c r="Q129" s="44">
        <f>E129+апр!I129</f>
        <v>0</v>
      </c>
      <c r="R129" s="30">
        <f>F129+апр!J129</f>
        <v>0</v>
      </c>
    </row>
    <row r="130" spans="1:18" ht="33" customHeight="1">
      <c r="A130" s="18" t="s">
        <v>260</v>
      </c>
      <c r="B130" s="9" t="s">
        <v>263</v>
      </c>
      <c r="C130" s="8" t="s">
        <v>4</v>
      </c>
      <c r="D130" s="10"/>
      <c r="E130" s="8"/>
      <c r="F130" s="8">
        <v>40</v>
      </c>
      <c r="G130" s="10">
        <f t="shared" si="43"/>
        <v>40</v>
      </c>
      <c r="H130" s="10">
        <f>D130+апр!H130</f>
        <v>0</v>
      </c>
      <c r="I130" s="8">
        <f>E130+апр!I130</f>
        <v>0</v>
      </c>
      <c r="J130" s="10">
        <f>F130+апр!J130</f>
        <v>40</v>
      </c>
      <c r="K130" s="10">
        <f t="shared" si="44"/>
        <v>40</v>
      </c>
      <c r="L130" s="16" t="e">
        <f t="shared" si="49"/>
        <v>#DIV/0!</v>
      </c>
      <c r="M130" s="112" t="s">
        <v>288</v>
      </c>
      <c r="N130" s="113"/>
      <c r="P130">
        <f t="shared" si="40"/>
        <v>0</v>
      </c>
      <c r="Q130" s="44">
        <f>E130+апр!I130</f>
        <v>0</v>
      </c>
      <c r="R130" s="30">
        <f>F130+апр!J130</f>
        <v>40</v>
      </c>
    </row>
    <row r="131" spans="1:18" ht="17.25" customHeight="1">
      <c r="A131" s="18" t="s">
        <v>261</v>
      </c>
      <c r="B131" s="9" t="s">
        <v>122</v>
      </c>
      <c r="C131" s="8" t="s">
        <v>4</v>
      </c>
      <c r="D131" s="10">
        <v>69.783000000000001</v>
      </c>
      <c r="E131" s="8">
        <v>69.75</v>
      </c>
      <c r="F131" s="10"/>
      <c r="G131" s="10">
        <f t="shared" si="43"/>
        <v>-69.75</v>
      </c>
      <c r="H131" s="10">
        <f>D131+апр!H131</f>
        <v>348.91500000000002</v>
      </c>
      <c r="I131" s="8">
        <f>E131+апр!I131</f>
        <v>348.75</v>
      </c>
      <c r="J131" s="10">
        <f>F131+апр!J131</f>
        <v>208.75</v>
      </c>
      <c r="K131" s="10">
        <f t="shared" si="44"/>
        <v>-140</v>
      </c>
      <c r="L131" s="16">
        <f t="shared" si="49"/>
        <v>-40.143369175627242</v>
      </c>
      <c r="M131" s="110"/>
      <c r="N131" s="111"/>
      <c r="P131">
        <f t="shared" si="40"/>
        <v>348.91500000000002</v>
      </c>
      <c r="Q131" s="44">
        <f>E131+апр!I131</f>
        <v>348.75</v>
      </c>
      <c r="R131" s="30">
        <f>F131+апр!J131</f>
        <v>208.75</v>
      </c>
    </row>
    <row r="132" spans="1:18" ht="54.75" customHeight="1">
      <c r="A132" s="18" t="s">
        <v>262</v>
      </c>
      <c r="B132" s="9" t="s">
        <v>123</v>
      </c>
      <c r="C132" s="8" t="s">
        <v>4</v>
      </c>
      <c r="D132" s="10"/>
      <c r="E132" s="8"/>
      <c r="F132" s="8"/>
      <c r="G132" s="10">
        <f t="shared" si="43"/>
        <v>0</v>
      </c>
      <c r="H132" s="10">
        <f>D132+апр!H132</f>
        <v>0</v>
      </c>
      <c r="I132" s="8">
        <f>E132+апр!I132</f>
        <v>0</v>
      </c>
      <c r="J132" s="10">
        <f>F132+апр!J132</f>
        <v>0</v>
      </c>
      <c r="K132" s="10">
        <f t="shared" si="44"/>
        <v>0</v>
      </c>
      <c r="L132" s="16"/>
      <c r="M132" s="110"/>
      <c r="N132" s="111"/>
      <c r="P132">
        <f t="shared" si="40"/>
        <v>0</v>
      </c>
      <c r="Q132" s="44">
        <f>E132+апр!I132</f>
        <v>0</v>
      </c>
      <c r="R132" s="30">
        <f>F132+апр!J132</f>
        <v>0</v>
      </c>
    </row>
    <row r="133" spans="1:18" ht="54" customHeight="1">
      <c r="A133" s="18" t="s">
        <v>264</v>
      </c>
      <c r="B133" s="9" t="s">
        <v>124</v>
      </c>
      <c r="C133" s="8" t="s">
        <v>4</v>
      </c>
      <c r="D133" s="10"/>
      <c r="E133" s="8"/>
      <c r="F133" s="8"/>
      <c r="G133" s="10">
        <f t="shared" si="43"/>
        <v>0</v>
      </c>
      <c r="H133" s="10">
        <f>D133+апр!H133</f>
        <v>0</v>
      </c>
      <c r="I133" s="8">
        <f>E133+апр!I133</f>
        <v>0</v>
      </c>
      <c r="J133" s="10">
        <f>F133+апр!J133</f>
        <v>0</v>
      </c>
      <c r="K133" s="10">
        <f t="shared" si="44"/>
        <v>0</v>
      </c>
      <c r="L133" s="16"/>
      <c r="M133" s="110"/>
      <c r="N133" s="111"/>
      <c r="P133">
        <f t="shared" si="40"/>
        <v>0</v>
      </c>
      <c r="Q133" s="44">
        <f>E133+апр!I133</f>
        <v>0</v>
      </c>
      <c r="R133" s="30">
        <f>F133+апр!J133</f>
        <v>0</v>
      </c>
    </row>
    <row r="134" spans="1:18" ht="17.25" customHeight="1">
      <c r="A134" s="18" t="s">
        <v>265</v>
      </c>
      <c r="B134" s="26" t="s">
        <v>125</v>
      </c>
      <c r="C134" s="8" t="s">
        <v>4</v>
      </c>
      <c r="D134" s="10">
        <v>6.4749999999999996</v>
      </c>
      <c r="E134" s="8">
        <v>6.5</v>
      </c>
      <c r="F134" s="8"/>
      <c r="G134" s="10">
        <f t="shared" si="43"/>
        <v>-6.5</v>
      </c>
      <c r="H134" s="10">
        <f>D134+апр!H134</f>
        <v>32.375</v>
      </c>
      <c r="I134" s="8">
        <f>E134+апр!I134</f>
        <v>32.5</v>
      </c>
      <c r="J134" s="10">
        <f>F134+апр!J134</f>
        <v>0</v>
      </c>
      <c r="K134" s="10">
        <f t="shared" si="44"/>
        <v>-32.5</v>
      </c>
      <c r="L134" s="16">
        <f t="shared" si="49"/>
        <v>-100</v>
      </c>
      <c r="M134" s="110"/>
      <c r="N134" s="111"/>
      <c r="P134">
        <f t="shared" si="40"/>
        <v>32.375</v>
      </c>
      <c r="Q134" s="44">
        <f>E134+апр!I134</f>
        <v>32.5</v>
      </c>
      <c r="R134" s="30">
        <f>F134+апр!J134</f>
        <v>0</v>
      </c>
    </row>
    <row r="135" spans="1:18" ht="17.25" customHeight="1">
      <c r="A135" s="18" t="s">
        <v>266</v>
      </c>
      <c r="B135" s="26" t="s">
        <v>232</v>
      </c>
      <c r="C135" s="8" t="s">
        <v>4</v>
      </c>
      <c r="D135" s="10"/>
      <c r="E135" s="8"/>
      <c r="F135" s="8"/>
      <c r="G135" s="10">
        <f t="shared" si="43"/>
        <v>0</v>
      </c>
      <c r="H135" s="10">
        <f>D135+апр!H135</f>
        <v>0</v>
      </c>
      <c r="I135" s="8">
        <f>E135+апр!I135</f>
        <v>0</v>
      </c>
      <c r="J135" s="10">
        <f>F135+апр!J135</f>
        <v>0</v>
      </c>
      <c r="K135" s="10">
        <f t="shared" si="44"/>
        <v>0</v>
      </c>
      <c r="L135" s="16"/>
      <c r="M135" s="110"/>
      <c r="N135" s="111"/>
      <c r="P135">
        <f t="shared" si="40"/>
        <v>0</v>
      </c>
      <c r="Q135" s="44">
        <f>E135+апр!I135</f>
        <v>0</v>
      </c>
      <c r="R135" s="30">
        <f>F135+апр!J135</f>
        <v>0</v>
      </c>
    </row>
    <row r="136" spans="1:18" ht="55.5" customHeight="1">
      <c r="A136" s="18"/>
      <c r="B136" s="26" t="s">
        <v>311</v>
      </c>
      <c r="C136" s="8" t="s">
        <v>4</v>
      </c>
      <c r="D136" s="10"/>
      <c r="E136" s="8">
        <v>79.167000000000002</v>
      </c>
      <c r="F136" s="10">
        <v>79.17</v>
      </c>
      <c r="G136" s="10">
        <f t="shared" si="43"/>
        <v>3.0000000000001137E-3</v>
      </c>
      <c r="H136" s="10">
        <f>D136+апр!H136</f>
        <v>0</v>
      </c>
      <c r="I136" s="8">
        <f>E136+апр!I136</f>
        <v>395.83500000000004</v>
      </c>
      <c r="J136" s="10">
        <f>F136+апр!J136</f>
        <v>395.84600000000006</v>
      </c>
      <c r="K136" s="10">
        <f t="shared" si="44"/>
        <v>1.1000000000024102E-2</v>
      </c>
      <c r="L136" s="16">
        <f t="shared" si="49"/>
        <v>2.7789356676453827E-3</v>
      </c>
      <c r="M136" s="97"/>
      <c r="N136" s="98"/>
      <c r="P136">
        <f t="shared" si="40"/>
        <v>0</v>
      </c>
      <c r="Q136" s="44">
        <f>E136+апр!I136</f>
        <v>395.83500000000004</v>
      </c>
      <c r="R136" s="30">
        <f>F136+апр!J136</f>
        <v>395.84600000000006</v>
      </c>
    </row>
    <row r="137" spans="1:18" ht="55.5" customHeight="1">
      <c r="A137" s="18"/>
      <c r="B137" s="26" t="s">
        <v>312</v>
      </c>
      <c r="C137" s="8" t="s">
        <v>4</v>
      </c>
      <c r="D137" s="10"/>
      <c r="E137" s="8">
        <v>83.332999999999998</v>
      </c>
      <c r="F137" s="10"/>
      <c r="G137" s="10">
        <f t="shared" si="43"/>
        <v>-83.332999999999998</v>
      </c>
      <c r="H137" s="10">
        <f>D137+апр!H137</f>
        <v>0</v>
      </c>
      <c r="I137" s="8">
        <f>E137+апр!I137</f>
        <v>416.66499999999996</v>
      </c>
      <c r="J137" s="10">
        <f>F137+апр!J137</f>
        <v>250</v>
      </c>
      <c r="K137" s="10">
        <f t="shared" si="44"/>
        <v>-166.66499999999996</v>
      </c>
      <c r="L137" s="16">
        <f t="shared" si="49"/>
        <v>-39.999759999039988</v>
      </c>
      <c r="M137" s="97"/>
      <c r="N137" s="98"/>
      <c r="O137" s="30">
        <f>F138-O138</f>
        <v>1636.98</v>
      </c>
      <c r="P137">
        <f t="shared" ref="P137:P200" si="61">D137*5</f>
        <v>0</v>
      </c>
      <c r="Q137" s="44">
        <f>E137+апр!I137</f>
        <v>416.66499999999996</v>
      </c>
      <c r="R137" s="30">
        <f>F137+апр!J137</f>
        <v>250</v>
      </c>
    </row>
    <row r="138" spans="1:18" ht="17.25" customHeight="1">
      <c r="A138" s="99" t="s">
        <v>126</v>
      </c>
      <c r="B138" s="6" t="s">
        <v>127</v>
      </c>
      <c r="C138" s="8" t="s">
        <v>4</v>
      </c>
      <c r="D138" s="7">
        <f t="shared" ref="D138:J138" si="62">D139</f>
        <v>3385.116</v>
      </c>
      <c r="E138" s="7">
        <f t="shared" si="62"/>
        <v>2989.2490000000003</v>
      </c>
      <c r="F138" s="7">
        <f t="shared" si="62"/>
        <v>4061.3629999999998</v>
      </c>
      <c r="G138" s="10">
        <f t="shared" si="43"/>
        <v>1072.1139999999996</v>
      </c>
      <c r="H138" s="7">
        <f t="shared" si="62"/>
        <v>16925.580000000002</v>
      </c>
      <c r="I138" s="7">
        <f t="shared" si="62"/>
        <v>14946.245000000001</v>
      </c>
      <c r="J138" s="7">
        <f t="shared" si="62"/>
        <v>13234.559000000001</v>
      </c>
      <c r="K138" s="10">
        <f t="shared" si="44"/>
        <v>-1711.6859999999997</v>
      </c>
      <c r="L138" s="16">
        <f t="shared" si="49"/>
        <v>-11.452281158244091</v>
      </c>
      <c r="M138" s="110"/>
      <c r="N138" s="111"/>
      <c r="O138">
        <v>2424.3829999999998</v>
      </c>
      <c r="P138">
        <f t="shared" si="61"/>
        <v>16925.580000000002</v>
      </c>
      <c r="Q138" s="44">
        <f>E138+апр!I138</f>
        <v>14946.245000000001</v>
      </c>
      <c r="R138" s="30">
        <f>F138+апр!J138</f>
        <v>13234.559000000001</v>
      </c>
    </row>
    <row r="139" spans="1:18" ht="17.25" customHeight="1">
      <c r="A139" s="99">
        <v>6</v>
      </c>
      <c r="B139" s="6" t="s">
        <v>128</v>
      </c>
      <c r="C139" s="99" t="s">
        <v>4</v>
      </c>
      <c r="D139" s="7">
        <f>D140+D145+D146+D147+D148+D149+D150+D151+D154+D156+D172+D176+D177+D179+D184+D183+D188</f>
        <v>3385.116</v>
      </c>
      <c r="E139" s="7">
        <f t="shared" ref="E139:F139" si="63">E140+E145+E146+E147+E148+E149+E150+E151+E154+E156+E172+E176+E177+E179+E184+E183+E188</f>
        <v>2989.2490000000003</v>
      </c>
      <c r="F139" s="7">
        <f t="shared" si="63"/>
        <v>4061.3629999999998</v>
      </c>
      <c r="G139" s="10">
        <f>F139-E139</f>
        <v>1072.1139999999996</v>
      </c>
      <c r="H139" s="7">
        <f>H140+H145+H146+H147+H148+H149+H150+H151+H154+H156+H172+H176+H177+H179+H184+H183+H188</f>
        <v>16925.580000000002</v>
      </c>
      <c r="I139" s="7">
        <f t="shared" ref="I139:J139" si="64">I140+I145+I146+I147+I148+I149+I150+I151+I154+I156+I172+I176+I177+I179+I184+I183+I188</f>
        <v>14946.245000000001</v>
      </c>
      <c r="J139" s="89">
        <f t="shared" si="64"/>
        <v>13234.559000000001</v>
      </c>
      <c r="K139" s="10">
        <f t="shared" si="44"/>
        <v>-1711.6859999999997</v>
      </c>
      <c r="L139" s="16">
        <f t="shared" si="49"/>
        <v>-11.452281158244091</v>
      </c>
      <c r="M139" s="110"/>
      <c r="N139" s="111"/>
      <c r="P139">
        <f t="shared" si="61"/>
        <v>16925.580000000002</v>
      </c>
      <c r="Q139" s="44">
        <f>E139+апр!I139</f>
        <v>14946.245000000001</v>
      </c>
      <c r="R139" s="30">
        <f>F139+апр!J139</f>
        <v>13234.559000000001</v>
      </c>
    </row>
    <row r="140" spans="1:18" ht="17.25" customHeight="1">
      <c r="A140" s="99" t="s">
        <v>129</v>
      </c>
      <c r="B140" s="6" t="s">
        <v>130</v>
      </c>
      <c r="C140" s="99" t="s">
        <v>4</v>
      </c>
      <c r="D140" s="7">
        <f t="shared" ref="D140:F140" si="65">D141+D142</f>
        <v>97.608999999999995</v>
      </c>
      <c r="E140" s="7">
        <f t="shared" si="65"/>
        <v>97.582999999999998</v>
      </c>
      <c r="F140" s="7">
        <f t="shared" si="65"/>
        <v>40</v>
      </c>
      <c r="G140" s="10">
        <f t="shared" ref="G140:G204" si="66">F140-E140</f>
        <v>-57.582999999999998</v>
      </c>
      <c r="H140" s="7">
        <f t="shared" ref="H140:J140" si="67">H141+H142</f>
        <v>488.04499999999996</v>
      </c>
      <c r="I140" s="7">
        <f t="shared" si="67"/>
        <v>487.91499999999996</v>
      </c>
      <c r="J140" s="7">
        <f t="shared" si="67"/>
        <v>332.99800000000005</v>
      </c>
      <c r="K140" s="10">
        <f t="shared" ref="K140:K204" si="68">J140-I140</f>
        <v>-154.91699999999992</v>
      </c>
      <c r="L140" s="16">
        <f t="shared" si="49"/>
        <v>-31.75081725300512</v>
      </c>
      <c r="M140" s="110"/>
      <c r="N140" s="111"/>
      <c r="P140">
        <f t="shared" si="61"/>
        <v>488.04499999999996</v>
      </c>
      <c r="Q140" s="44">
        <f>E140+апр!I140</f>
        <v>487.91499999999996</v>
      </c>
      <c r="R140" s="30">
        <f>F140+апр!J140</f>
        <v>332.99800000000005</v>
      </c>
    </row>
    <row r="141" spans="1:18" ht="37.5">
      <c r="A141" s="8" t="s">
        <v>131</v>
      </c>
      <c r="B141" s="9" t="s">
        <v>132</v>
      </c>
      <c r="C141" s="8" t="s">
        <v>4</v>
      </c>
      <c r="D141" s="10">
        <v>42.552999999999997</v>
      </c>
      <c r="E141" s="10">
        <v>42.5</v>
      </c>
      <c r="F141" s="10">
        <v>40</v>
      </c>
      <c r="G141" s="10">
        <f t="shared" si="66"/>
        <v>-2.5</v>
      </c>
      <c r="H141" s="10">
        <f>D141+апр!H141</f>
        <v>212.76499999999999</v>
      </c>
      <c r="I141" s="8">
        <f>E141+апр!I141</f>
        <v>212.5</v>
      </c>
      <c r="J141" s="10">
        <f>F141+апр!J141</f>
        <v>197.04500000000002</v>
      </c>
      <c r="K141" s="10">
        <f t="shared" si="68"/>
        <v>-15.454999999999984</v>
      </c>
      <c r="L141" s="16">
        <f t="shared" si="49"/>
        <v>-7.2729411764705807</v>
      </c>
      <c r="M141" s="110"/>
      <c r="N141" s="111"/>
      <c r="P141">
        <f t="shared" si="61"/>
        <v>212.76499999999999</v>
      </c>
      <c r="Q141" s="44">
        <f>E141+апр!I141</f>
        <v>212.5</v>
      </c>
      <c r="R141" s="30">
        <f>F141+апр!J141</f>
        <v>197.04500000000002</v>
      </c>
    </row>
    <row r="142" spans="1:18" ht="17.25" customHeight="1">
      <c r="A142" s="8" t="s">
        <v>133</v>
      </c>
      <c r="B142" s="9" t="s">
        <v>63</v>
      </c>
      <c r="C142" s="8" t="s">
        <v>4</v>
      </c>
      <c r="D142" s="10">
        <v>55.055999999999997</v>
      </c>
      <c r="E142" s="8">
        <v>55.082999999999998</v>
      </c>
      <c r="F142" s="8"/>
      <c r="G142" s="10">
        <f t="shared" si="66"/>
        <v>-55.082999999999998</v>
      </c>
      <c r="H142" s="10">
        <f>D142+апр!H142</f>
        <v>275.27999999999997</v>
      </c>
      <c r="I142" s="8">
        <f>E142+апр!I142</f>
        <v>275.41499999999996</v>
      </c>
      <c r="J142" s="10">
        <f>F142+апр!J142</f>
        <v>135.953</v>
      </c>
      <c r="K142" s="10">
        <f t="shared" si="68"/>
        <v>-139.46199999999996</v>
      </c>
      <c r="L142" s="16">
        <f t="shared" si="49"/>
        <v>-50.637038650763387</v>
      </c>
      <c r="M142" s="110"/>
      <c r="N142" s="111"/>
      <c r="P142">
        <f t="shared" si="61"/>
        <v>275.27999999999997</v>
      </c>
      <c r="Q142" s="44">
        <f>E142+апр!I142</f>
        <v>275.41499999999996</v>
      </c>
      <c r="R142" s="30">
        <f>F142+апр!J142</f>
        <v>135.953</v>
      </c>
    </row>
    <row r="143" spans="1:18" ht="17.25" customHeight="1">
      <c r="A143" s="8"/>
      <c r="B143" s="12" t="s">
        <v>68</v>
      </c>
      <c r="C143" s="22" t="s">
        <v>66</v>
      </c>
      <c r="D143" s="14">
        <v>2816.6669999999999</v>
      </c>
      <c r="E143" s="59">
        <v>2817</v>
      </c>
      <c r="F143" s="59"/>
      <c r="G143" s="10">
        <f t="shared" si="66"/>
        <v>-2817</v>
      </c>
      <c r="H143" s="10">
        <f>D143+апр!H143</f>
        <v>14083.334999999999</v>
      </c>
      <c r="I143" s="8">
        <f>E143+апр!I143</f>
        <v>2817</v>
      </c>
      <c r="J143" s="10">
        <f>F143+апр!J143</f>
        <v>552</v>
      </c>
      <c r="K143" s="10">
        <f t="shared" si="68"/>
        <v>-2265</v>
      </c>
      <c r="L143" s="16"/>
      <c r="M143" s="110"/>
      <c r="N143" s="111"/>
      <c r="P143">
        <f t="shared" si="61"/>
        <v>14083.334999999999</v>
      </c>
      <c r="Q143" s="44">
        <f>E143+апр!I143</f>
        <v>2817</v>
      </c>
      <c r="R143" s="30">
        <f>F143+апр!J143</f>
        <v>552</v>
      </c>
    </row>
    <row r="144" spans="1:18" ht="17.25" customHeight="1">
      <c r="A144" s="8"/>
      <c r="B144" s="12" t="s">
        <v>15</v>
      </c>
      <c r="C144" s="13" t="s">
        <v>16</v>
      </c>
      <c r="D144" s="16">
        <f t="shared" ref="D144:F144" si="69">D142/D143*1000</f>
        <v>19.546506562543602</v>
      </c>
      <c r="E144" s="16">
        <f t="shared" si="69"/>
        <v>19.553780617678381</v>
      </c>
      <c r="F144" s="16" t="e">
        <f t="shared" si="69"/>
        <v>#DIV/0!</v>
      </c>
      <c r="G144" s="10" t="e">
        <f t="shared" si="66"/>
        <v>#DIV/0!</v>
      </c>
      <c r="H144" s="16">
        <f t="shared" ref="H144:J144" si="70">H142/H143*1000</f>
        <v>19.546506562543602</v>
      </c>
      <c r="I144" s="8">
        <f>E144+апр!I144</f>
        <v>19.553780617678381</v>
      </c>
      <c r="J144" s="16">
        <f t="shared" si="70"/>
        <v>246.29166666666666</v>
      </c>
      <c r="K144" s="10">
        <f t="shared" si="68"/>
        <v>226.73788604898829</v>
      </c>
      <c r="L144" s="16"/>
      <c r="M144" s="110"/>
      <c r="N144" s="111"/>
      <c r="P144">
        <f t="shared" si="61"/>
        <v>97.732532812718006</v>
      </c>
      <c r="Q144" s="44">
        <f>E144+апр!I144</f>
        <v>19.553780617678381</v>
      </c>
      <c r="R144" s="30" t="e">
        <f>F144+апр!J144</f>
        <v>#DIV/0!</v>
      </c>
    </row>
    <row r="145" spans="1:18" ht="32.25" customHeight="1">
      <c r="A145" s="8" t="s">
        <v>134</v>
      </c>
      <c r="B145" s="9" t="s">
        <v>135</v>
      </c>
      <c r="C145" s="8" t="s">
        <v>4</v>
      </c>
      <c r="D145" s="10">
        <v>1914.3579999999999</v>
      </c>
      <c r="E145" s="8">
        <v>1416.4169999999999</v>
      </c>
      <c r="F145" s="10">
        <v>1657.9179999999999</v>
      </c>
      <c r="G145" s="10">
        <f t="shared" si="66"/>
        <v>241.50099999999998</v>
      </c>
      <c r="H145" s="10">
        <f>D145+апр!H145</f>
        <v>9571.7899999999991</v>
      </c>
      <c r="I145" s="8">
        <f>E145+апр!I145</f>
        <v>7082.0849999999991</v>
      </c>
      <c r="J145" s="10">
        <f>F145+апр!J145</f>
        <v>7075.9669999999996</v>
      </c>
      <c r="K145" s="10">
        <f t="shared" si="68"/>
        <v>-6.1179999999994834</v>
      </c>
      <c r="L145" s="16">
        <f t="shared" si="49"/>
        <v>-8.6386989142314505E-2</v>
      </c>
      <c r="M145" s="117"/>
      <c r="N145" s="118"/>
      <c r="P145">
        <f t="shared" si="61"/>
        <v>9571.7899999999991</v>
      </c>
      <c r="Q145" s="44">
        <f>E145+апр!I145</f>
        <v>7082.0849999999991</v>
      </c>
      <c r="R145" s="30">
        <f>F145+апр!J145</f>
        <v>7075.9669999999996</v>
      </c>
    </row>
    <row r="146" spans="1:18" ht="17.25" customHeight="1">
      <c r="A146" s="8" t="s">
        <v>136</v>
      </c>
      <c r="B146" s="9" t="s">
        <v>77</v>
      </c>
      <c r="C146" s="8" t="s">
        <v>4</v>
      </c>
      <c r="D146" s="10">
        <v>105.29</v>
      </c>
      <c r="E146" s="10">
        <v>76.5</v>
      </c>
      <c r="F146" s="8">
        <v>95.980999999999995</v>
      </c>
      <c r="G146" s="10">
        <f t="shared" si="66"/>
        <v>19.480999999999995</v>
      </c>
      <c r="H146" s="10">
        <f>D146+апр!H146</f>
        <v>526.45000000000005</v>
      </c>
      <c r="I146" s="8">
        <f>E146+апр!I146</f>
        <v>382.5</v>
      </c>
      <c r="J146" s="10">
        <f>F146+апр!J146</f>
        <v>418.4</v>
      </c>
      <c r="K146" s="10">
        <f t="shared" si="68"/>
        <v>35.899999999999977</v>
      </c>
      <c r="L146" s="16">
        <f t="shared" si="49"/>
        <v>9.385620915032673</v>
      </c>
      <c r="M146" s="117"/>
      <c r="N146" s="118"/>
      <c r="P146">
        <f t="shared" si="61"/>
        <v>526.45000000000005</v>
      </c>
      <c r="Q146" s="44">
        <f>E146+апр!I146</f>
        <v>382.5</v>
      </c>
      <c r="R146" s="30">
        <f>F146+апр!J146</f>
        <v>418.4</v>
      </c>
    </row>
    <row r="147" spans="1:18" ht="17.25" customHeight="1">
      <c r="A147" s="8"/>
      <c r="B147" s="9" t="s">
        <v>307</v>
      </c>
      <c r="C147" s="8" t="s">
        <v>4</v>
      </c>
      <c r="D147" s="10">
        <v>84.231999999999999</v>
      </c>
      <c r="E147" s="10">
        <v>63.75</v>
      </c>
      <c r="F147" s="8">
        <v>47.905999999999999</v>
      </c>
      <c r="G147" s="10">
        <f t="shared" si="66"/>
        <v>-15.844000000000001</v>
      </c>
      <c r="H147" s="10">
        <f>D147+апр!H147</f>
        <v>421.15999999999997</v>
      </c>
      <c r="I147" s="8">
        <f>E147+апр!I147</f>
        <v>318.75</v>
      </c>
      <c r="J147" s="10">
        <f>F147+апр!J147</f>
        <v>199.39999999999998</v>
      </c>
      <c r="K147" s="10">
        <f t="shared" si="68"/>
        <v>-119.35000000000002</v>
      </c>
      <c r="L147" s="16">
        <f t="shared" si="49"/>
        <v>-37.44313725490197</v>
      </c>
      <c r="M147" s="101"/>
      <c r="N147" s="102"/>
      <c r="P147">
        <f t="shared" si="61"/>
        <v>421.15999999999997</v>
      </c>
      <c r="Q147" s="44">
        <f>E147+апр!I147</f>
        <v>318.75</v>
      </c>
      <c r="R147" s="30">
        <f>F147+апр!J147</f>
        <v>199.39999999999998</v>
      </c>
    </row>
    <row r="148" spans="1:18" ht="17.25" customHeight="1">
      <c r="A148" s="8"/>
      <c r="B148" s="9" t="s">
        <v>310</v>
      </c>
      <c r="C148" s="8" t="s">
        <v>4</v>
      </c>
      <c r="D148" s="10"/>
      <c r="E148" s="10">
        <v>21.25</v>
      </c>
      <c r="F148" s="8">
        <v>22.681000000000001</v>
      </c>
      <c r="G148" s="10">
        <f t="shared" si="66"/>
        <v>1.4310000000000009</v>
      </c>
      <c r="H148" s="10">
        <f>D148+апр!H148</f>
        <v>0</v>
      </c>
      <c r="I148" s="8">
        <f>E148+апр!I148</f>
        <v>106.25</v>
      </c>
      <c r="J148" s="10">
        <f>F148+апр!J148</f>
        <v>92.013999999999996</v>
      </c>
      <c r="K148" s="10">
        <f t="shared" si="68"/>
        <v>-14.236000000000004</v>
      </c>
      <c r="L148" s="16">
        <f t="shared" si="49"/>
        <v>-13.39858823529412</v>
      </c>
      <c r="M148" s="101"/>
      <c r="N148" s="102"/>
      <c r="P148">
        <f t="shared" si="61"/>
        <v>0</v>
      </c>
      <c r="Q148" s="44">
        <f>E148+апр!I148</f>
        <v>106.25</v>
      </c>
      <c r="R148" s="30">
        <f>F148+апр!J148</f>
        <v>92.013999999999996</v>
      </c>
    </row>
    <row r="149" spans="1:18" ht="17.25" customHeight="1">
      <c r="A149" s="8"/>
      <c r="B149" s="9" t="s">
        <v>315</v>
      </c>
      <c r="C149" s="8" t="s">
        <v>4</v>
      </c>
      <c r="D149" s="10"/>
      <c r="E149" s="10"/>
      <c r="F149" s="10"/>
      <c r="G149" s="10">
        <f t="shared" si="66"/>
        <v>0</v>
      </c>
      <c r="H149" s="10">
        <f>D149+апр!H149</f>
        <v>0</v>
      </c>
      <c r="I149" s="8">
        <f>E149+апр!I149</f>
        <v>0</v>
      </c>
      <c r="J149" s="10">
        <f>F149+апр!J149</f>
        <v>211.14000000000004</v>
      </c>
      <c r="K149" s="10"/>
      <c r="L149" s="16"/>
      <c r="M149" s="101"/>
      <c r="N149" s="102"/>
      <c r="P149">
        <f t="shared" si="61"/>
        <v>0</v>
      </c>
      <c r="Q149" s="44">
        <f>E149+апр!I149</f>
        <v>0</v>
      </c>
      <c r="R149" s="30">
        <f>F149+апр!J149</f>
        <v>211.14000000000004</v>
      </c>
    </row>
    <row r="150" spans="1:18" ht="17.25" customHeight="1">
      <c r="A150" s="8" t="s">
        <v>137</v>
      </c>
      <c r="B150" s="9" t="s">
        <v>138</v>
      </c>
      <c r="C150" s="8" t="s">
        <v>4</v>
      </c>
      <c r="D150" s="10">
        <v>77.58</v>
      </c>
      <c r="E150" s="8">
        <v>77.582999999999998</v>
      </c>
      <c r="F150" s="8">
        <v>146.50200000000001</v>
      </c>
      <c r="G150" s="10">
        <f t="shared" si="66"/>
        <v>68.919000000000011</v>
      </c>
      <c r="H150" s="10">
        <f>D150+апр!H150</f>
        <v>387.9</v>
      </c>
      <c r="I150" s="8">
        <f>E150+апр!I150</f>
        <v>387.91499999999996</v>
      </c>
      <c r="J150" s="10">
        <f>F150+апр!J150</f>
        <v>708.60699999999997</v>
      </c>
      <c r="K150" s="10">
        <f t="shared" si="68"/>
        <v>320.69200000000001</v>
      </c>
      <c r="L150" s="16">
        <f t="shared" si="49"/>
        <v>82.670688166221993</v>
      </c>
      <c r="M150" s="117" t="s">
        <v>301</v>
      </c>
      <c r="N150" s="118"/>
      <c r="P150">
        <f t="shared" si="61"/>
        <v>387.9</v>
      </c>
      <c r="Q150" s="44">
        <f>E150+апр!I150</f>
        <v>387.91499999999996</v>
      </c>
      <c r="R150" s="30">
        <f>F150+апр!J150</f>
        <v>708.60699999999997</v>
      </c>
    </row>
    <row r="151" spans="1:18" ht="17.25" customHeight="1">
      <c r="A151" s="99" t="s">
        <v>139</v>
      </c>
      <c r="B151" s="6" t="s">
        <v>140</v>
      </c>
      <c r="C151" s="99" t="s">
        <v>4</v>
      </c>
      <c r="D151" s="7">
        <f t="shared" ref="D151:F151" si="71">D152+D153</f>
        <v>239.149</v>
      </c>
      <c r="E151" s="99">
        <v>47.832999999999998</v>
      </c>
      <c r="F151" s="7">
        <f t="shared" si="71"/>
        <v>63.035000000000004</v>
      </c>
      <c r="G151" s="10">
        <f t="shared" si="66"/>
        <v>15.202000000000005</v>
      </c>
      <c r="H151" s="7">
        <f t="shared" ref="H151" si="72">H152+H153</f>
        <v>1195.7449999999999</v>
      </c>
      <c r="I151" s="8">
        <f>E151+апр!I151</f>
        <v>239.16499999999999</v>
      </c>
      <c r="J151" s="7">
        <f t="shared" ref="J151" si="73">J152+J153</f>
        <v>240.96600000000001</v>
      </c>
      <c r="K151" s="10">
        <f t="shared" si="68"/>
        <v>1.8010000000000161</v>
      </c>
      <c r="L151" s="16">
        <f t="shared" si="49"/>
        <v>0.75303660652688154</v>
      </c>
      <c r="M151" s="110"/>
      <c r="N151" s="111"/>
      <c r="P151">
        <f t="shared" si="61"/>
        <v>1195.7449999999999</v>
      </c>
      <c r="Q151" s="44">
        <f>E151+апр!I151</f>
        <v>239.16499999999999</v>
      </c>
      <c r="R151" s="30">
        <f>F151+апр!J151</f>
        <v>240.96600000000001</v>
      </c>
    </row>
    <row r="152" spans="1:18" ht="17.25" customHeight="1">
      <c r="A152" s="8" t="s">
        <v>141</v>
      </c>
      <c r="B152" s="9" t="s">
        <v>81</v>
      </c>
      <c r="C152" s="8" t="s">
        <v>4</v>
      </c>
      <c r="D152" s="10">
        <v>8.7579999999999991</v>
      </c>
      <c r="E152" s="8"/>
      <c r="F152" s="8">
        <v>51.06</v>
      </c>
      <c r="G152" s="10">
        <f t="shared" si="66"/>
        <v>51.06</v>
      </c>
      <c r="H152" s="10">
        <f>D152+апр!H152</f>
        <v>43.789999999999992</v>
      </c>
      <c r="I152" s="8"/>
      <c r="J152" s="10">
        <f>F152+апр!J152</f>
        <v>181.09</v>
      </c>
      <c r="K152" s="10">
        <f t="shared" si="68"/>
        <v>181.09</v>
      </c>
      <c r="L152" s="16"/>
      <c r="M152" s="110"/>
      <c r="N152" s="111"/>
      <c r="P152">
        <f t="shared" si="61"/>
        <v>43.789999999999992</v>
      </c>
      <c r="Q152" s="44">
        <f>E152+апр!I152</f>
        <v>0</v>
      </c>
      <c r="R152" s="30">
        <f>F152+апр!J152</f>
        <v>181.09</v>
      </c>
    </row>
    <row r="153" spans="1:18" ht="17.25" customHeight="1">
      <c r="A153" s="8" t="s">
        <v>142</v>
      </c>
      <c r="B153" s="9" t="s">
        <v>143</v>
      </c>
      <c r="C153" s="8"/>
      <c r="D153" s="10">
        <v>230.39099999999999</v>
      </c>
      <c r="E153" s="8"/>
      <c r="F153" s="8">
        <v>11.975</v>
      </c>
      <c r="G153" s="10">
        <f t="shared" si="66"/>
        <v>11.975</v>
      </c>
      <c r="H153" s="10">
        <f>D153+апр!H153</f>
        <v>1151.9549999999999</v>
      </c>
      <c r="I153" s="8"/>
      <c r="J153" s="10">
        <f>F153+апр!J153</f>
        <v>59.876000000000005</v>
      </c>
      <c r="K153" s="10">
        <f t="shared" si="68"/>
        <v>59.876000000000005</v>
      </c>
      <c r="L153" s="16"/>
      <c r="M153" s="110"/>
      <c r="N153" s="111"/>
      <c r="P153">
        <f t="shared" si="61"/>
        <v>1151.9549999999999</v>
      </c>
      <c r="Q153" s="44">
        <f>E153+апр!I153</f>
        <v>0</v>
      </c>
      <c r="R153" s="30">
        <f>F153+апр!J153</f>
        <v>59.876000000000005</v>
      </c>
    </row>
    <row r="154" spans="1:18" ht="75.75" customHeight="1">
      <c r="A154" s="99" t="s">
        <v>144</v>
      </c>
      <c r="B154" s="6" t="s">
        <v>145</v>
      </c>
      <c r="C154" s="99" t="s">
        <v>4</v>
      </c>
      <c r="D154" s="7">
        <f t="shared" ref="D154:J154" si="74">D155</f>
        <v>13.856</v>
      </c>
      <c r="E154" s="7">
        <f t="shared" si="74"/>
        <v>13.833</v>
      </c>
      <c r="F154" s="7">
        <f t="shared" si="74"/>
        <v>5.17</v>
      </c>
      <c r="G154" s="10">
        <f t="shared" si="66"/>
        <v>-8.6630000000000003</v>
      </c>
      <c r="H154" s="7">
        <f t="shared" si="74"/>
        <v>69.28</v>
      </c>
      <c r="I154" s="7">
        <f t="shared" si="74"/>
        <v>69.165000000000006</v>
      </c>
      <c r="J154" s="7">
        <f t="shared" si="74"/>
        <v>140.922</v>
      </c>
      <c r="K154" s="10">
        <f t="shared" si="68"/>
        <v>71.756999999999991</v>
      </c>
      <c r="L154" s="16">
        <f t="shared" ref="L154:L203" si="75">K154/I154*100</f>
        <v>103.74756018217303</v>
      </c>
      <c r="M154" s="110"/>
      <c r="N154" s="111"/>
      <c r="P154">
        <f t="shared" si="61"/>
        <v>69.28</v>
      </c>
      <c r="Q154" s="44">
        <f>E154+апр!I154</f>
        <v>69.165000000000006</v>
      </c>
      <c r="R154" s="30">
        <f>F154+апр!J154</f>
        <v>140.922</v>
      </c>
    </row>
    <row r="155" spans="1:18" ht="17.25" customHeight="1">
      <c r="A155" s="8" t="s">
        <v>146</v>
      </c>
      <c r="B155" s="9" t="s">
        <v>147</v>
      </c>
      <c r="C155" s="8" t="s">
        <v>4</v>
      </c>
      <c r="D155" s="10">
        <v>13.856</v>
      </c>
      <c r="E155" s="8">
        <v>13.833</v>
      </c>
      <c r="F155" s="8">
        <v>5.17</v>
      </c>
      <c r="G155" s="10">
        <f t="shared" si="66"/>
        <v>-8.6630000000000003</v>
      </c>
      <c r="H155" s="10">
        <f>D155+апр!H155</f>
        <v>69.28</v>
      </c>
      <c r="I155" s="8">
        <f>E155+апр!I155</f>
        <v>69.165000000000006</v>
      </c>
      <c r="J155" s="10">
        <f>F155+апр!J155</f>
        <v>140.922</v>
      </c>
      <c r="K155" s="10">
        <f t="shared" si="68"/>
        <v>71.756999999999991</v>
      </c>
      <c r="L155" s="16">
        <f t="shared" si="75"/>
        <v>103.74756018217303</v>
      </c>
      <c r="M155" s="110"/>
      <c r="N155" s="111"/>
      <c r="P155">
        <f t="shared" si="61"/>
        <v>69.28</v>
      </c>
      <c r="Q155" s="44">
        <f>E155+апр!I155</f>
        <v>69.165000000000006</v>
      </c>
      <c r="R155" s="30">
        <f>F155+апр!J155</f>
        <v>140.922</v>
      </c>
    </row>
    <row r="156" spans="1:18" ht="18" customHeight="1">
      <c r="A156" s="99" t="s">
        <v>148</v>
      </c>
      <c r="B156" s="6" t="s">
        <v>149</v>
      </c>
      <c r="C156" s="99" t="s">
        <v>4</v>
      </c>
      <c r="D156" s="27">
        <f t="shared" ref="D156" si="76">D157+D160+D163+D166+D169</f>
        <v>71.188999999999993</v>
      </c>
      <c r="E156" s="99">
        <v>72.417000000000002</v>
      </c>
      <c r="F156" s="27">
        <f>F157+F160+F163+F166+F169</f>
        <v>20.700999999999997</v>
      </c>
      <c r="G156" s="10">
        <f t="shared" si="66"/>
        <v>-51.716000000000008</v>
      </c>
      <c r="H156" s="27">
        <f t="shared" ref="H156" si="77">H157+H160+H163+H166+H169</f>
        <v>355.94499999999994</v>
      </c>
      <c r="I156" s="8">
        <f>E156+апр!I156</f>
        <v>362.08500000000004</v>
      </c>
      <c r="J156" s="27">
        <f>J157+J160+J163+J166+J169</f>
        <v>546.61900000000003</v>
      </c>
      <c r="K156" s="10">
        <f t="shared" si="68"/>
        <v>184.53399999999999</v>
      </c>
      <c r="L156" s="16">
        <f t="shared" si="75"/>
        <v>50.964276343952378</v>
      </c>
      <c r="M156" s="110"/>
      <c r="N156" s="111"/>
      <c r="P156">
        <f t="shared" si="61"/>
        <v>355.94499999999994</v>
      </c>
      <c r="Q156" s="44">
        <f>E156+апр!I156</f>
        <v>362.08500000000004</v>
      </c>
      <c r="R156" s="30">
        <f>F156+апр!J156</f>
        <v>546.61900000000003</v>
      </c>
    </row>
    <row r="157" spans="1:18" ht="17.25" customHeight="1">
      <c r="A157" s="8" t="s">
        <v>150</v>
      </c>
      <c r="B157" s="9" t="s">
        <v>151</v>
      </c>
      <c r="C157" s="8" t="s">
        <v>4</v>
      </c>
      <c r="D157" s="10">
        <v>49.027999999999999</v>
      </c>
      <c r="E157" s="8"/>
      <c r="F157" s="8"/>
      <c r="G157" s="10">
        <f t="shared" si="66"/>
        <v>0</v>
      </c>
      <c r="H157" s="10">
        <f>D157+апр!H157</f>
        <v>245.14</v>
      </c>
      <c r="I157" s="8"/>
      <c r="J157" s="10">
        <f>F157+апр!J157</f>
        <v>483.976</v>
      </c>
      <c r="K157" s="10">
        <f t="shared" si="68"/>
        <v>483.976</v>
      </c>
      <c r="L157" s="16"/>
      <c r="M157" s="110"/>
      <c r="N157" s="111"/>
      <c r="P157">
        <f t="shared" si="61"/>
        <v>245.14</v>
      </c>
      <c r="Q157" s="44">
        <f>E157+апр!I157</f>
        <v>0</v>
      </c>
      <c r="R157" s="30">
        <f>F157+апр!J157</f>
        <v>483.976</v>
      </c>
    </row>
    <row r="158" spans="1:18" ht="17.25" customHeight="1">
      <c r="A158" s="8"/>
      <c r="B158" s="28" t="s">
        <v>13</v>
      </c>
      <c r="C158" s="8" t="s">
        <v>152</v>
      </c>
      <c r="D158" s="10">
        <v>13.144</v>
      </c>
      <c r="E158" s="8"/>
      <c r="F158" s="8"/>
      <c r="G158" s="10">
        <f t="shared" si="66"/>
        <v>0</v>
      </c>
      <c r="H158" s="10">
        <f>D158+апр!H158</f>
        <v>65.72</v>
      </c>
      <c r="I158" s="8"/>
      <c r="J158" s="10">
        <f>F158+апр!J158</f>
        <v>81.87</v>
      </c>
      <c r="K158" s="10">
        <f t="shared" si="68"/>
        <v>81.87</v>
      </c>
      <c r="L158" s="16"/>
      <c r="M158" s="117" t="s">
        <v>302</v>
      </c>
      <c r="N158" s="118"/>
      <c r="P158">
        <f t="shared" si="61"/>
        <v>65.72</v>
      </c>
      <c r="Q158" s="44">
        <f>E158+апр!I158</f>
        <v>0</v>
      </c>
      <c r="R158" s="30">
        <f>F158+апр!J158</f>
        <v>81.87</v>
      </c>
    </row>
    <row r="159" spans="1:18" ht="17.25" customHeight="1">
      <c r="A159" s="8"/>
      <c r="B159" s="28" t="s">
        <v>15</v>
      </c>
      <c r="C159" s="8" t="s">
        <v>16</v>
      </c>
      <c r="D159" s="16">
        <f>D157/D158*1000</f>
        <v>3730.0669506999393</v>
      </c>
      <c r="E159" s="16"/>
      <c r="F159" s="16" t="e">
        <f>F157/F158*1000</f>
        <v>#DIV/0!</v>
      </c>
      <c r="G159" s="10" t="e">
        <f t="shared" si="66"/>
        <v>#DIV/0!</v>
      </c>
      <c r="H159" s="16">
        <f>H157/H158*1000</f>
        <v>3730.0669506999393</v>
      </c>
      <c r="I159" s="8"/>
      <c r="J159" s="16">
        <f>J157/J158*1000</f>
        <v>5911.5182606571389</v>
      </c>
      <c r="K159" s="10">
        <f t="shared" si="68"/>
        <v>5911.5182606571389</v>
      </c>
      <c r="L159" s="16"/>
      <c r="M159" s="110"/>
      <c r="N159" s="111"/>
      <c r="P159">
        <f t="shared" si="61"/>
        <v>18650.334753499697</v>
      </c>
      <c r="Q159" s="44">
        <f>E159+апр!I159</f>
        <v>0</v>
      </c>
      <c r="R159" s="30" t="e">
        <f>F159+апр!J159</f>
        <v>#DIV/0!</v>
      </c>
    </row>
    <row r="160" spans="1:18" ht="17.25" customHeight="1">
      <c r="A160" s="8" t="s">
        <v>153</v>
      </c>
      <c r="B160" s="9" t="s">
        <v>154</v>
      </c>
      <c r="C160" s="8" t="s">
        <v>4</v>
      </c>
      <c r="D160" s="10">
        <v>0.92300000000000004</v>
      </c>
      <c r="E160" s="8"/>
      <c r="F160" s="8"/>
      <c r="G160" s="10">
        <f t="shared" si="66"/>
        <v>0</v>
      </c>
      <c r="H160" s="10">
        <f>D160+апр!H160</f>
        <v>4.6150000000000002</v>
      </c>
      <c r="I160" s="8"/>
      <c r="J160" s="10">
        <f>F160+апр!J160</f>
        <v>0</v>
      </c>
      <c r="K160" s="10">
        <f t="shared" si="68"/>
        <v>0</v>
      </c>
      <c r="L160" s="16"/>
      <c r="M160" s="110"/>
      <c r="N160" s="111"/>
      <c r="P160">
        <f t="shared" si="61"/>
        <v>4.6150000000000002</v>
      </c>
      <c r="Q160" s="44">
        <f>E160+апр!I160</f>
        <v>0</v>
      </c>
      <c r="R160" s="30">
        <f>F160+апр!J160</f>
        <v>0</v>
      </c>
    </row>
    <row r="161" spans="1:18" ht="17.25" customHeight="1">
      <c r="A161" s="8"/>
      <c r="B161" s="28" t="s">
        <v>13</v>
      </c>
      <c r="C161" s="8" t="s">
        <v>155</v>
      </c>
      <c r="D161" s="10">
        <v>0.75</v>
      </c>
      <c r="E161" s="8"/>
      <c r="F161" s="8"/>
      <c r="G161" s="10">
        <f t="shared" si="66"/>
        <v>0</v>
      </c>
      <c r="H161" s="10">
        <f>D161+апр!H161</f>
        <v>3.75</v>
      </c>
      <c r="I161" s="8"/>
      <c r="J161" s="10">
        <f>F161+апр!J161</f>
        <v>0</v>
      </c>
      <c r="K161" s="10">
        <f t="shared" si="68"/>
        <v>0</v>
      </c>
      <c r="L161" s="16"/>
      <c r="M161" s="110"/>
      <c r="N161" s="111"/>
      <c r="P161">
        <f t="shared" si="61"/>
        <v>3.75</v>
      </c>
      <c r="Q161" s="44">
        <f>E161+апр!I161</f>
        <v>0</v>
      </c>
      <c r="R161" s="30">
        <f>F161+апр!J161</f>
        <v>0</v>
      </c>
    </row>
    <row r="162" spans="1:18" ht="17.25" customHeight="1">
      <c r="A162" s="8"/>
      <c r="B162" s="28" t="s">
        <v>15</v>
      </c>
      <c r="C162" s="8" t="s">
        <v>16</v>
      </c>
      <c r="D162" s="16">
        <f>D160/D161*1000</f>
        <v>1230.6666666666667</v>
      </c>
      <c r="E162" s="8"/>
      <c r="F162" s="8"/>
      <c r="G162" s="10">
        <f t="shared" si="66"/>
        <v>0</v>
      </c>
      <c r="H162" s="16">
        <f>H160/H161*1000</f>
        <v>1230.6666666666667</v>
      </c>
      <c r="I162" s="8"/>
      <c r="J162" s="8"/>
      <c r="K162" s="10">
        <f t="shared" si="68"/>
        <v>0</v>
      </c>
      <c r="L162" s="16"/>
      <c r="M162" s="110"/>
      <c r="N162" s="111"/>
      <c r="P162">
        <f t="shared" si="61"/>
        <v>6153.3333333333339</v>
      </c>
      <c r="Q162" s="44">
        <f>E162+апр!I162</f>
        <v>0</v>
      </c>
      <c r="R162" s="30">
        <f>F162+апр!J162</f>
        <v>0</v>
      </c>
    </row>
    <row r="163" spans="1:18" ht="17.25" customHeight="1">
      <c r="A163" s="8" t="s">
        <v>156</v>
      </c>
      <c r="B163" s="9" t="s">
        <v>157</v>
      </c>
      <c r="C163" s="8" t="s">
        <v>4</v>
      </c>
      <c r="D163" s="10">
        <v>2.1800000000000002</v>
      </c>
      <c r="E163" s="8"/>
      <c r="F163" s="8">
        <v>2.625</v>
      </c>
      <c r="G163" s="10">
        <f t="shared" si="66"/>
        <v>2.625</v>
      </c>
      <c r="H163" s="10">
        <f>D163+апр!H163</f>
        <v>10.9</v>
      </c>
      <c r="I163" s="8"/>
      <c r="J163" s="10">
        <f>F163+апр!J163</f>
        <v>15.427999999999999</v>
      </c>
      <c r="K163" s="10">
        <f t="shared" si="68"/>
        <v>15.427999999999999</v>
      </c>
      <c r="L163" s="16"/>
      <c r="M163" s="110"/>
      <c r="N163" s="111"/>
      <c r="P163">
        <f t="shared" si="61"/>
        <v>10.9</v>
      </c>
      <c r="Q163" s="44">
        <f>E163+апр!I163</f>
        <v>0</v>
      </c>
      <c r="R163" s="30">
        <f>F163+апр!J163</f>
        <v>15.427999999999999</v>
      </c>
    </row>
    <row r="164" spans="1:18" ht="17.25" customHeight="1">
      <c r="A164" s="8"/>
      <c r="B164" s="28" t="s">
        <v>13</v>
      </c>
      <c r="C164" s="8" t="s">
        <v>155</v>
      </c>
      <c r="D164" s="14">
        <v>20</v>
      </c>
      <c r="E164" s="8"/>
      <c r="F164" s="8"/>
      <c r="G164" s="10">
        <f t="shared" si="66"/>
        <v>0</v>
      </c>
      <c r="H164" s="10">
        <f>D164+апр!H164</f>
        <v>100</v>
      </c>
      <c r="I164" s="8"/>
      <c r="J164" s="10">
        <f>F164+апр!J164</f>
        <v>99</v>
      </c>
      <c r="K164" s="10">
        <f t="shared" si="68"/>
        <v>99</v>
      </c>
      <c r="L164" s="16"/>
      <c r="M164" s="110"/>
      <c r="N164" s="111"/>
      <c r="P164">
        <f t="shared" si="61"/>
        <v>100</v>
      </c>
      <c r="Q164" s="44">
        <f>E164+апр!I164</f>
        <v>0</v>
      </c>
      <c r="R164" s="30">
        <f>F164+апр!J164</f>
        <v>99</v>
      </c>
    </row>
    <row r="165" spans="1:18" ht="17.25" customHeight="1">
      <c r="A165" s="8"/>
      <c r="B165" s="28" t="s">
        <v>15</v>
      </c>
      <c r="C165" s="8" t="s">
        <v>16</v>
      </c>
      <c r="D165" s="16">
        <f>D163/D164*1000</f>
        <v>109.00000000000001</v>
      </c>
      <c r="E165" s="16"/>
      <c r="F165" s="16" t="e">
        <f t="shared" ref="F165" si="78">F163/F164*1000</f>
        <v>#DIV/0!</v>
      </c>
      <c r="G165" s="10" t="e">
        <f t="shared" si="66"/>
        <v>#DIV/0!</v>
      </c>
      <c r="H165" s="16">
        <f>H163/H164*1000</f>
        <v>109</v>
      </c>
      <c r="I165" s="8"/>
      <c r="J165" s="16">
        <f t="shared" ref="J165" si="79">J163/J164*1000</f>
        <v>155.83838383838383</v>
      </c>
      <c r="K165" s="10">
        <f t="shared" si="68"/>
        <v>155.83838383838383</v>
      </c>
      <c r="L165" s="16"/>
      <c r="M165" s="110"/>
      <c r="N165" s="111"/>
      <c r="P165">
        <f t="shared" si="61"/>
        <v>545.00000000000011</v>
      </c>
      <c r="Q165" s="44">
        <f>E165+апр!I165</f>
        <v>0</v>
      </c>
      <c r="R165" s="30" t="e">
        <f>F165+апр!J165</f>
        <v>#DIV/0!</v>
      </c>
    </row>
    <row r="166" spans="1:18" ht="17.25" customHeight="1">
      <c r="A166" s="8" t="s">
        <v>158</v>
      </c>
      <c r="B166" s="9" t="s">
        <v>159</v>
      </c>
      <c r="C166" s="8" t="s">
        <v>4</v>
      </c>
      <c r="D166" s="10">
        <v>19.058</v>
      </c>
      <c r="E166" s="8"/>
      <c r="F166" s="10">
        <v>16.649999999999999</v>
      </c>
      <c r="G166" s="10">
        <f t="shared" si="66"/>
        <v>16.649999999999999</v>
      </c>
      <c r="H166" s="10">
        <f>D166+апр!H166</f>
        <v>95.289999999999992</v>
      </c>
      <c r="I166" s="8"/>
      <c r="J166" s="10">
        <f>F166+апр!J166</f>
        <v>38.849999999999994</v>
      </c>
      <c r="K166" s="10">
        <f t="shared" si="68"/>
        <v>38.849999999999994</v>
      </c>
      <c r="L166" s="16"/>
      <c r="M166" s="110"/>
      <c r="N166" s="111"/>
      <c r="P166">
        <f t="shared" si="61"/>
        <v>95.289999999999992</v>
      </c>
      <c r="Q166" s="44">
        <f>E166+апр!I166</f>
        <v>0</v>
      </c>
      <c r="R166" s="30">
        <f>F166+апр!J166</f>
        <v>38.849999999999994</v>
      </c>
    </row>
    <row r="167" spans="1:18" ht="17.25" customHeight="1">
      <c r="A167" s="8"/>
      <c r="B167" s="28" t="s">
        <v>13</v>
      </c>
      <c r="C167" s="8" t="s">
        <v>155</v>
      </c>
      <c r="D167" s="14">
        <v>16</v>
      </c>
      <c r="E167" s="8"/>
      <c r="F167" s="8"/>
      <c r="G167" s="10">
        <f t="shared" si="66"/>
        <v>0</v>
      </c>
      <c r="H167" s="10">
        <f>D167+апр!H167</f>
        <v>80</v>
      </c>
      <c r="I167" s="8"/>
      <c r="J167" s="10">
        <f>F167+апр!J167</f>
        <v>6</v>
      </c>
      <c r="K167" s="10">
        <f t="shared" si="68"/>
        <v>6</v>
      </c>
      <c r="L167" s="16"/>
      <c r="M167" s="110"/>
      <c r="N167" s="111"/>
      <c r="P167">
        <f t="shared" si="61"/>
        <v>80</v>
      </c>
      <c r="Q167" s="44">
        <f>E167+апр!I167</f>
        <v>0</v>
      </c>
      <c r="R167" s="30">
        <f>F167+апр!J167</f>
        <v>6</v>
      </c>
    </row>
    <row r="168" spans="1:18" ht="17.25" customHeight="1">
      <c r="A168" s="8"/>
      <c r="B168" s="28" t="s">
        <v>15</v>
      </c>
      <c r="C168" s="8" t="s">
        <v>16</v>
      </c>
      <c r="D168" s="16">
        <f>D166/D167*1000</f>
        <v>1191.125</v>
      </c>
      <c r="E168" s="8"/>
      <c r="F168" s="16" t="e">
        <f>F166/F167*1000</f>
        <v>#DIV/0!</v>
      </c>
      <c r="G168" s="10" t="e">
        <f t="shared" si="66"/>
        <v>#DIV/0!</v>
      </c>
      <c r="H168" s="16">
        <f>H166/H167*1000</f>
        <v>1191.125</v>
      </c>
      <c r="I168" s="8"/>
      <c r="J168" s="16">
        <f>J166/J167*1000</f>
        <v>6474.9999999999991</v>
      </c>
      <c r="K168" s="10">
        <f t="shared" si="68"/>
        <v>6474.9999999999991</v>
      </c>
      <c r="L168" s="16"/>
      <c r="M168" s="110"/>
      <c r="N168" s="111"/>
      <c r="P168">
        <f t="shared" si="61"/>
        <v>5955.625</v>
      </c>
      <c r="Q168" s="44">
        <f>E168+апр!I168</f>
        <v>0</v>
      </c>
      <c r="R168" s="30" t="e">
        <f>F168+апр!J168</f>
        <v>#DIV/0!</v>
      </c>
    </row>
    <row r="169" spans="1:18" ht="17.25" customHeight="1">
      <c r="A169" s="8" t="s">
        <v>158</v>
      </c>
      <c r="B169" s="9" t="s">
        <v>224</v>
      </c>
      <c r="C169" s="8" t="s">
        <v>4</v>
      </c>
      <c r="D169" s="10">
        <v>0</v>
      </c>
      <c r="E169" s="8"/>
      <c r="F169" s="8">
        <v>1.4259999999999999</v>
      </c>
      <c r="G169" s="10">
        <f t="shared" si="66"/>
        <v>1.4259999999999999</v>
      </c>
      <c r="H169" s="10">
        <f>D169+апр!H169</f>
        <v>0</v>
      </c>
      <c r="I169" s="8"/>
      <c r="J169" s="10">
        <f>F169+апр!J169</f>
        <v>8.3650000000000002</v>
      </c>
      <c r="K169" s="10">
        <f t="shared" si="68"/>
        <v>8.3650000000000002</v>
      </c>
      <c r="L169" s="16"/>
      <c r="M169" s="110"/>
      <c r="N169" s="111"/>
      <c r="P169">
        <f t="shared" si="61"/>
        <v>0</v>
      </c>
      <c r="Q169" s="44">
        <f>E169+апр!I169</f>
        <v>0</v>
      </c>
      <c r="R169" s="30">
        <f>F169+апр!J169</f>
        <v>8.3650000000000002</v>
      </c>
    </row>
    <row r="170" spans="1:18" ht="17.25" customHeight="1">
      <c r="A170" s="8"/>
      <c r="B170" s="28" t="s">
        <v>13</v>
      </c>
      <c r="C170" s="8" t="s">
        <v>155</v>
      </c>
      <c r="D170" s="14">
        <v>0</v>
      </c>
      <c r="E170" s="8"/>
      <c r="F170" s="8"/>
      <c r="G170" s="10">
        <f t="shared" si="66"/>
        <v>0</v>
      </c>
      <c r="H170" s="10">
        <f>D170+апр!H170</f>
        <v>0</v>
      </c>
      <c r="I170" s="8"/>
      <c r="J170" s="10">
        <f>F170+апр!J170</f>
        <v>99</v>
      </c>
      <c r="K170" s="10">
        <f t="shared" si="68"/>
        <v>99</v>
      </c>
      <c r="L170" s="16"/>
      <c r="M170" s="110"/>
      <c r="N170" s="111"/>
      <c r="P170">
        <f t="shared" si="61"/>
        <v>0</v>
      </c>
      <c r="Q170" s="44">
        <f>E170+апр!I170</f>
        <v>0</v>
      </c>
      <c r="R170" s="30">
        <f>F170+апр!J170</f>
        <v>99</v>
      </c>
    </row>
    <row r="171" spans="1:18" ht="17.25" customHeight="1">
      <c r="A171" s="8"/>
      <c r="B171" s="28" t="s">
        <v>15</v>
      </c>
      <c r="C171" s="8" t="s">
        <v>16</v>
      </c>
      <c r="D171" s="16" t="e">
        <f>D169/D170*1000</f>
        <v>#DIV/0!</v>
      </c>
      <c r="E171" s="8"/>
      <c r="F171" s="16" t="e">
        <f>F169/F170*1000</f>
        <v>#DIV/0!</v>
      </c>
      <c r="G171" s="10" t="e">
        <f t="shared" si="66"/>
        <v>#DIV/0!</v>
      </c>
      <c r="H171" s="16" t="e">
        <f>H169/H170*1000</f>
        <v>#DIV/0!</v>
      </c>
      <c r="I171" s="8"/>
      <c r="J171" s="16">
        <f>J169/J170*1000</f>
        <v>84.494949494949495</v>
      </c>
      <c r="K171" s="10">
        <f t="shared" si="68"/>
        <v>84.494949494949495</v>
      </c>
      <c r="L171" s="16"/>
      <c r="M171" s="110"/>
      <c r="N171" s="111"/>
      <c r="P171" t="e">
        <f t="shared" si="61"/>
        <v>#DIV/0!</v>
      </c>
      <c r="Q171" s="44">
        <f>E171+апр!I171</f>
        <v>0</v>
      </c>
      <c r="R171" s="30" t="e">
        <f>F171+апр!J171</f>
        <v>#DIV/0!</v>
      </c>
    </row>
    <row r="172" spans="1:18" ht="17.25" customHeight="1">
      <c r="A172" s="16" t="s">
        <v>160</v>
      </c>
      <c r="B172" s="9" t="s">
        <v>108</v>
      </c>
      <c r="C172" s="8" t="s">
        <v>4</v>
      </c>
      <c r="D172" s="10">
        <v>62.704999999999998</v>
      </c>
      <c r="E172" s="8">
        <v>62.667000000000002</v>
      </c>
      <c r="F172" s="10">
        <f>F173+F174+F175</f>
        <v>33.67</v>
      </c>
      <c r="G172" s="10">
        <f t="shared" si="66"/>
        <v>-28.997</v>
      </c>
      <c r="H172" s="10">
        <f>D172+апр!H172</f>
        <v>313.52499999999998</v>
      </c>
      <c r="I172" s="8">
        <f>E172+апр!I172</f>
        <v>313.33500000000004</v>
      </c>
      <c r="J172" s="8">
        <f>J173+J174+J175</f>
        <v>294.221</v>
      </c>
      <c r="K172" s="10">
        <f t="shared" si="68"/>
        <v>-19.114000000000033</v>
      </c>
      <c r="L172" s="16">
        <f t="shared" si="75"/>
        <v>-6.1001803181898069</v>
      </c>
      <c r="M172" s="110"/>
      <c r="N172" s="111"/>
      <c r="P172">
        <f t="shared" si="61"/>
        <v>313.52499999999998</v>
      </c>
      <c r="Q172" s="44">
        <f>E172+апр!I172</f>
        <v>313.33500000000004</v>
      </c>
      <c r="R172" s="30">
        <f>F172+апр!J172</f>
        <v>294.22100000000006</v>
      </c>
    </row>
    <row r="173" spans="1:18" ht="17.25" customHeight="1">
      <c r="A173" s="16"/>
      <c r="B173" s="9" t="s">
        <v>221</v>
      </c>
      <c r="C173" s="8" t="s">
        <v>4</v>
      </c>
      <c r="D173" s="10"/>
      <c r="E173" s="8"/>
      <c r="F173" s="10">
        <v>33.67</v>
      </c>
      <c r="G173" s="10">
        <f t="shared" si="66"/>
        <v>33.67</v>
      </c>
      <c r="H173" s="10"/>
      <c r="I173" s="8"/>
      <c r="J173" s="10">
        <f>F173+апр!J173</f>
        <v>192.40000000000003</v>
      </c>
      <c r="K173" s="10">
        <f t="shared" si="68"/>
        <v>192.40000000000003</v>
      </c>
      <c r="L173" s="16"/>
      <c r="M173" s="110"/>
      <c r="N173" s="111"/>
      <c r="P173">
        <f t="shared" si="61"/>
        <v>0</v>
      </c>
      <c r="Q173" s="44">
        <f>E173+апр!I173</f>
        <v>0</v>
      </c>
      <c r="R173" s="30">
        <f>F173+апр!J173</f>
        <v>192.40000000000003</v>
      </c>
    </row>
    <row r="174" spans="1:18" ht="37.5" customHeight="1">
      <c r="A174" s="16"/>
      <c r="B174" s="9" t="s">
        <v>222</v>
      </c>
      <c r="C174" s="8" t="s">
        <v>4</v>
      </c>
      <c r="D174" s="10"/>
      <c r="E174" s="8"/>
      <c r="F174" s="10"/>
      <c r="G174" s="10">
        <f t="shared" si="66"/>
        <v>0</v>
      </c>
      <c r="H174" s="10"/>
      <c r="I174" s="8"/>
      <c r="J174" s="10">
        <f>F174+апр!J174</f>
        <v>101.821</v>
      </c>
      <c r="K174" s="10">
        <f t="shared" si="68"/>
        <v>101.821</v>
      </c>
      <c r="L174" s="16"/>
      <c r="M174" s="110"/>
      <c r="N174" s="111"/>
      <c r="P174">
        <f t="shared" si="61"/>
        <v>0</v>
      </c>
      <c r="Q174" s="44">
        <f>E174+апр!I174</f>
        <v>0</v>
      </c>
      <c r="R174" s="30">
        <f>F174+апр!J174</f>
        <v>101.821</v>
      </c>
    </row>
    <row r="175" spans="1:18" ht="18.75" customHeight="1">
      <c r="A175" s="16"/>
      <c r="B175" s="9" t="s">
        <v>223</v>
      </c>
      <c r="C175" s="8" t="s">
        <v>4</v>
      </c>
      <c r="D175" s="10"/>
      <c r="E175" s="8"/>
      <c r="F175" s="8"/>
      <c r="G175" s="10">
        <f t="shared" si="66"/>
        <v>0</v>
      </c>
      <c r="H175" s="10"/>
      <c r="I175" s="8"/>
      <c r="J175" s="10">
        <f>F175+апр!J175</f>
        <v>0</v>
      </c>
      <c r="K175" s="10">
        <f t="shared" si="68"/>
        <v>0</v>
      </c>
      <c r="L175" s="16"/>
      <c r="M175" s="110"/>
      <c r="N175" s="111"/>
      <c r="P175">
        <f t="shared" si="61"/>
        <v>0</v>
      </c>
      <c r="Q175" s="44">
        <f>E175+апр!I175</f>
        <v>0</v>
      </c>
      <c r="R175" s="30">
        <f>F175+апр!J175</f>
        <v>0</v>
      </c>
    </row>
    <row r="176" spans="1:18" ht="18.75">
      <c r="A176" s="16" t="s">
        <v>161</v>
      </c>
      <c r="B176" s="9" t="s">
        <v>162</v>
      </c>
      <c r="C176" s="8" t="s">
        <v>4</v>
      </c>
      <c r="D176" s="10">
        <v>64.906000000000006</v>
      </c>
      <c r="E176" s="8">
        <v>64.917000000000002</v>
      </c>
      <c r="F176" s="8">
        <f>8.554+24.973+23.526+13.125+7.798</f>
        <v>77.975999999999999</v>
      </c>
      <c r="G176" s="10">
        <f t="shared" si="66"/>
        <v>13.058999999999997</v>
      </c>
      <c r="H176" s="10">
        <f>D176+апр!H176</f>
        <v>324.53000000000003</v>
      </c>
      <c r="I176" s="8">
        <f>E176+апр!I176</f>
        <v>324.58500000000004</v>
      </c>
      <c r="J176" s="10">
        <f>F176+апр!J176</f>
        <v>383.49299999999999</v>
      </c>
      <c r="K176" s="10">
        <f t="shared" si="68"/>
        <v>58.907999999999959</v>
      </c>
      <c r="L176" s="16">
        <f t="shared" si="75"/>
        <v>18.148712971948783</v>
      </c>
      <c r="M176" s="110"/>
      <c r="N176" s="111"/>
      <c r="P176">
        <f t="shared" si="61"/>
        <v>324.53000000000003</v>
      </c>
      <c r="Q176" s="44">
        <f>E176+апр!I176</f>
        <v>324.58500000000004</v>
      </c>
      <c r="R176" s="30">
        <f>F176+апр!J176</f>
        <v>383.49299999999999</v>
      </c>
    </row>
    <row r="177" spans="1:18" ht="35.25" customHeight="1">
      <c r="A177" s="16" t="s">
        <v>163</v>
      </c>
      <c r="B177" s="9" t="s">
        <v>165</v>
      </c>
      <c r="C177" s="8" t="s">
        <v>4</v>
      </c>
      <c r="D177" s="10">
        <f>D178</f>
        <v>2.2330000000000001</v>
      </c>
      <c r="E177" s="8"/>
      <c r="F177" s="8"/>
      <c r="G177" s="10">
        <f t="shared" si="66"/>
        <v>0</v>
      </c>
      <c r="H177" s="10">
        <f>H178</f>
        <v>11.165000000000001</v>
      </c>
      <c r="I177" s="8"/>
      <c r="J177" s="8"/>
      <c r="K177" s="10">
        <f t="shared" si="68"/>
        <v>0</v>
      </c>
      <c r="L177" s="16"/>
      <c r="M177" s="110"/>
      <c r="N177" s="111"/>
      <c r="P177">
        <f t="shared" si="61"/>
        <v>11.165000000000001</v>
      </c>
      <c r="Q177" s="44">
        <f>E177+апр!I177</f>
        <v>0</v>
      </c>
      <c r="R177" s="30">
        <f>F177+апр!J177</f>
        <v>0</v>
      </c>
    </row>
    <row r="178" spans="1:18" ht="18.75" customHeight="1">
      <c r="A178" s="16"/>
      <c r="B178" s="9" t="s">
        <v>100</v>
      </c>
      <c r="C178" s="8" t="s">
        <v>4</v>
      </c>
      <c r="D178" s="10">
        <v>2.2330000000000001</v>
      </c>
      <c r="E178" s="8"/>
      <c r="F178" s="8"/>
      <c r="G178" s="10">
        <f t="shared" si="66"/>
        <v>0</v>
      </c>
      <c r="H178" s="10">
        <f>D178+апр!H178</f>
        <v>11.165000000000001</v>
      </c>
      <c r="I178" s="8"/>
      <c r="J178" s="10">
        <f>F178+апр!J178</f>
        <v>0</v>
      </c>
      <c r="K178" s="10">
        <f t="shared" si="68"/>
        <v>0</v>
      </c>
      <c r="L178" s="16"/>
      <c r="M178" s="97"/>
      <c r="N178" s="98"/>
      <c r="P178">
        <f t="shared" si="61"/>
        <v>11.165000000000001</v>
      </c>
      <c r="Q178" s="44">
        <f>E178+апр!I178</f>
        <v>0</v>
      </c>
      <c r="R178" s="30">
        <f>F178+апр!J178</f>
        <v>0</v>
      </c>
    </row>
    <row r="179" spans="1:18" ht="17.25" customHeight="1">
      <c r="A179" s="16" t="s">
        <v>164</v>
      </c>
      <c r="B179" s="6" t="s">
        <v>169</v>
      </c>
      <c r="C179" s="99" t="s">
        <v>4</v>
      </c>
      <c r="D179" s="7">
        <f t="shared" ref="D179:F179" si="80">D180+D181+D182</f>
        <v>318.99799999999999</v>
      </c>
      <c r="E179" s="7">
        <f t="shared" si="80"/>
        <v>637.41600000000005</v>
      </c>
      <c r="F179" s="7">
        <f t="shared" si="80"/>
        <v>1726.258</v>
      </c>
      <c r="G179" s="10">
        <f t="shared" si="66"/>
        <v>1088.8420000000001</v>
      </c>
      <c r="H179" s="7">
        <f t="shared" ref="H179:J179" si="81">H180+H181+H182</f>
        <v>1594.9899999999998</v>
      </c>
      <c r="I179" s="7">
        <f t="shared" si="81"/>
        <v>3187.08</v>
      </c>
      <c r="J179" s="7">
        <f t="shared" si="81"/>
        <v>1726.258</v>
      </c>
      <c r="K179" s="10">
        <f t="shared" si="68"/>
        <v>-1460.8219999999999</v>
      </c>
      <c r="L179" s="16">
        <f t="shared" si="75"/>
        <v>-45.835749337951981</v>
      </c>
      <c r="M179" s="110"/>
      <c r="N179" s="111"/>
      <c r="P179">
        <f t="shared" si="61"/>
        <v>1594.99</v>
      </c>
      <c r="Q179" s="44">
        <f>E179+апр!I179</f>
        <v>3187.0800000000004</v>
      </c>
      <c r="R179" s="30">
        <f>F179+апр!J179</f>
        <v>1726.258</v>
      </c>
    </row>
    <row r="180" spans="1:18" ht="17.25" customHeight="1">
      <c r="A180" s="8" t="s">
        <v>166</v>
      </c>
      <c r="B180" s="9" t="s">
        <v>170</v>
      </c>
      <c r="C180" s="8" t="s">
        <v>4</v>
      </c>
      <c r="D180" s="10">
        <v>61.292999999999999</v>
      </c>
      <c r="E180" s="8">
        <v>61.332999999999998</v>
      </c>
      <c r="F180" s="8"/>
      <c r="G180" s="10">
        <f t="shared" si="66"/>
        <v>-61.332999999999998</v>
      </c>
      <c r="H180" s="10">
        <f>D180+апр!H180</f>
        <v>306.46499999999997</v>
      </c>
      <c r="I180" s="8">
        <f>E180+апр!I180</f>
        <v>306.66499999999996</v>
      </c>
      <c r="J180" s="10">
        <f>F180+апр!J180</f>
        <v>0</v>
      </c>
      <c r="K180" s="10">
        <f t="shared" si="68"/>
        <v>-306.66499999999996</v>
      </c>
      <c r="L180" s="16">
        <f t="shared" si="75"/>
        <v>-100</v>
      </c>
      <c r="M180" s="110"/>
      <c r="N180" s="111"/>
      <c r="P180">
        <f t="shared" si="61"/>
        <v>306.46499999999997</v>
      </c>
      <c r="Q180" s="44">
        <f>E180+апр!I180</f>
        <v>306.66499999999996</v>
      </c>
      <c r="R180" s="30">
        <f>F180+апр!J180</f>
        <v>0</v>
      </c>
    </row>
    <row r="181" spans="1:18" ht="17.25" customHeight="1">
      <c r="A181" s="8" t="s">
        <v>167</v>
      </c>
      <c r="B181" s="9" t="s">
        <v>171</v>
      </c>
      <c r="C181" s="8" t="s">
        <v>4</v>
      </c>
      <c r="D181" s="10">
        <v>168.477</v>
      </c>
      <c r="E181" s="8">
        <v>486.83300000000003</v>
      </c>
      <c r="F181" s="8">
        <v>1454.7470000000001</v>
      </c>
      <c r="G181" s="10">
        <f t="shared" si="66"/>
        <v>967.91399999999999</v>
      </c>
      <c r="H181" s="10">
        <f>D181+апр!H181</f>
        <v>842.38499999999999</v>
      </c>
      <c r="I181" s="8">
        <f>E181+апр!I181</f>
        <v>2434.165</v>
      </c>
      <c r="J181" s="10">
        <f>F181+апр!J181</f>
        <v>1454.7470000000001</v>
      </c>
      <c r="K181" s="10">
        <f t="shared" si="68"/>
        <v>-979.41799999999989</v>
      </c>
      <c r="L181" s="16">
        <f t="shared" si="75"/>
        <v>-40.236302797879354</v>
      </c>
      <c r="M181" s="117" t="s">
        <v>300</v>
      </c>
      <c r="N181" s="118"/>
      <c r="P181">
        <f t="shared" si="61"/>
        <v>842.38499999999999</v>
      </c>
      <c r="Q181" s="44">
        <f>E181+апр!I181</f>
        <v>2434.165</v>
      </c>
      <c r="R181" s="30">
        <f>F181+апр!J181</f>
        <v>1454.7470000000001</v>
      </c>
    </row>
    <row r="182" spans="1:18" ht="17.25" customHeight="1">
      <c r="A182" s="8" t="s">
        <v>267</v>
      </c>
      <c r="B182" s="9" t="s">
        <v>172</v>
      </c>
      <c r="C182" s="8" t="s">
        <v>4</v>
      </c>
      <c r="D182" s="10">
        <v>89.227999999999994</v>
      </c>
      <c r="E182" s="10">
        <v>89.25</v>
      </c>
      <c r="F182" s="8">
        <v>271.51100000000002</v>
      </c>
      <c r="G182" s="10">
        <f t="shared" si="66"/>
        <v>182.26100000000002</v>
      </c>
      <c r="H182" s="10">
        <f>D182+апр!H182</f>
        <v>446.14</v>
      </c>
      <c r="I182" s="8">
        <f>E182+апр!I182</f>
        <v>446.25</v>
      </c>
      <c r="J182" s="10">
        <f>F182+апр!J182</f>
        <v>271.51100000000002</v>
      </c>
      <c r="K182" s="10">
        <f t="shared" si="68"/>
        <v>-174.73899999999998</v>
      </c>
      <c r="L182" s="16">
        <f t="shared" si="75"/>
        <v>-39.157198879551814</v>
      </c>
      <c r="M182" s="117" t="s">
        <v>300</v>
      </c>
      <c r="N182" s="118"/>
      <c r="P182">
        <f t="shared" si="61"/>
        <v>446.14</v>
      </c>
      <c r="Q182" s="44">
        <f>E182+апр!I182</f>
        <v>446.25</v>
      </c>
      <c r="R182" s="30">
        <f>F182+апр!J182</f>
        <v>271.51100000000002</v>
      </c>
    </row>
    <row r="183" spans="1:18" ht="53.25" customHeight="1">
      <c r="A183" s="8" t="s">
        <v>168</v>
      </c>
      <c r="B183" s="9" t="s">
        <v>174</v>
      </c>
      <c r="C183" s="8" t="s">
        <v>4</v>
      </c>
      <c r="D183" s="10">
        <v>95.709000000000003</v>
      </c>
      <c r="E183" s="8">
        <v>93.167000000000002</v>
      </c>
      <c r="F183" s="8">
        <v>101.556</v>
      </c>
      <c r="G183" s="10">
        <f t="shared" si="66"/>
        <v>8.3889999999999958</v>
      </c>
      <c r="H183" s="10">
        <f>D183+апр!H183</f>
        <v>478.54500000000002</v>
      </c>
      <c r="I183" s="8">
        <f>E183+апр!I183</f>
        <v>465.83500000000004</v>
      </c>
      <c r="J183" s="10">
        <f>F183+апр!J183</f>
        <v>416.23</v>
      </c>
      <c r="K183" s="10">
        <f t="shared" si="68"/>
        <v>-49.605000000000018</v>
      </c>
      <c r="L183" s="16">
        <f t="shared" si="75"/>
        <v>-10.648620219605657</v>
      </c>
      <c r="M183" s="112" t="s">
        <v>303</v>
      </c>
      <c r="N183" s="113"/>
      <c r="P183">
        <f t="shared" si="61"/>
        <v>478.54500000000002</v>
      </c>
      <c r="Q183" s="44">
        <f>E183+апр!I183</f>
        <v>465.83500000000004</v>
      </c>
      <c r="R183" s="30">
        <f>F183+апр!J183</f>
        <v>416.23</v>
      </c>
    </row>
    <row r="184" spans="1:18" ht="33" customHeight="1">
      <c r="A184" s="99" t="s">
        <v>173</v>
      </c>
      <c r="B184" s="6" t="s">
        <v>176</v>
      </c>
      <c r="C184" s="99" t="s">
        <v>4</v>
      </c>
      <c r="D184" s="7">
        <f t="shared" ref="D184:F184" si="82">D185+D186+D187</f>
        <v>50.518000000000001</v>
      </c>
      <c r="E184" s="7">
        <v>50.5</v>
      </c>
      <c r="F184" s="7">
        <f t="shared" si="82"/>
        <v>0</v>
      </c>
      <c r="G184" s="10">
        <f t="shared" si="66"/>
        <v>-50.5</v>
      </c>
      <c r="H184" s="7">
        <f t="shared" ref="H184" si="83">H185+H186+H187</f>
        <v>252.59</v>
      </c>
      <c r="I184" s="8">
        <f>E184+апр!I184</f>
        <v>252.5</v>
      </c>
      <c r="J184" s="7">
        <f t="shared" ref="J184" si="84">J185+J186+J187</f>
        <v>0</v>
      </c>
      <c r="K184" s="10">
        <f t="shared" si="68"/>
        <v>-252.5</v>
      </c>
      <c r="L184" s="16">
        <f t="shared" si="75"/>
        <v>-100</v>
      </c>
      <c r="M184" s="119" t="s">
        <v>293</v>
      </c>
      <c r="N184" s="120"/>
      <c r="O184" s="7">
        <f t="shared" ref="O184" si="85">O185+O186+O187</f>
        <v>343.50800000000004</v>
      </c>
      <c r="P184">
        <f t="shared" si="61"/>
        <v>252.59</v>
      </c>
      <c r="Q184" s="44">
        <f>E184+апр!I184</f>
        <v>252.5</v>
      </c>
      <c r="R184" s="30">
        <f>F184+апр!J184</f>
        <v>0</v>
      </c>
    </row>
    <row r="185" spans="1:18" ht="17.25" customHeight="1">
      <c r="A185" s="8" t="s">
        <v>268</v>
      </c>
      <c r="B185" s="9" t="s">
        <v>177</v>
      </c>
      <c r="C185" s="8" t="s">
        <v>4</v>
      </c>
      <c r="D185" s="10">
        <v>19.254000000000001</v>
      </c>
      <c r="E185" s="8"/>
      <c r="F185" s="10"/>
      <c r="G185" s="10">
        <f t="shared" si="66"/>
        <v>0</v>
      </c>
      <c r="H185" s="10">
        <f>D185+апр!H185</f>
        <v>96.27000000000001</v>
      </c>
      <c r="I185" s="8">
        <f>E185+апр!I185</f>
        <v>0</v>
      </c>
      <c r="J185" s="10">
        <f>F185+апр!J185</f>
        <v>0</v>
      </c>
      <c r="K185" s="10">
        <f t="shared" si="68"/>
        <v>0</v>
      </c>
      <c r="L185" s="16"/>
      <c r="M185" s="110"/>
      <c r="N185" s="111"/>
      <c r="O185" s="10">
        <v>130.12</v>
      </c>
      <c r="P185">
        <f t="shared" si="61"/>
        <v>96.27000000000001</v>
      </c>
      <c r="Q185" s="44">
        <f>E185+апр!I185</f>
        <v>0</v>
      </c>
      <c r="R185" s="30">
        <f>F185+апр!J185</f>
        <v>0</v>
      </c>
    </row>
    <row r="186" spans="1:18" ht="17.25" customHeight="1">
      <c r="A186" s="8" t="s">
        <v>269</v>
      </c>
      <c r="B186" s="9" t="s">
        <v>178</v>
      </c>
      <c r="C186" s="8" t="s">
        <v>4</v>
      </c>
      <c r="D186" s="10">
        <v>8.7639999999999993</v>
      </c>
      <c r="E186" s="8"/>
      <c r="F186" s="8"/>
      <c r="G186" s="10">
        <f t="shared" si="66"/>
        <v>0</v>
      </c>
      <c r="H186" s="10">
        <f>D186+апр!H186</f>
        <v>43.819999999999993</v>
      </c>
      <c r="I186" s="8">
        <f>E186+апр!I186</f>
        <v>0</v>
      </c>
      <c r="J186" s="10">
        <f>F186+апр!J186</f>
        <v>0</v>
      </c>
      <c r="K186" s="10">
        <f t="shared" si="68"/>
        <v>0</v>
      </c>
      <c r="L186" s="16"/>
      <c r="M186" s="110"/>
      <c r="N186" s="111"/>
      <c r="O186" s="8">
        <v>15.369</v>
      </c>
      <c r="P186">
        <f t="shared" si="61"/>
        <v>43.819999999999993</v>
      </c>
      <c r="Q186" s="44">
        <f>E186+апр!I186</f>
        <v>0</v>
      </c>
      <c r="R186" s="30">
        <f>F186+апр!J186</f>
        <v>0</v>
      </c>
    </row>
    <row r="187" spans="1:18" ht="17.25" customHeight="1">
      <c r="A187" s="8" t="s">
        <v>270</v>
      </c>
      <c r="B187" s="9" t="s">
        <v>179</v>
      </c>
      <c r="C187" s="8" t="s">
        <v>4</v>
      </c>
      <c r="D187" s="10">
        <v>22.5</v>
      </c>
      <c r="E187" s="8"/>
      <c r="F187" s="8"/>
      <c r="G187" s="10">
        <f t="shared" si="66"/>
        <v>0</v>
      </c>
      <c r="H187" s="10">
        <f>D187+апр!H187</f>
        <v>112.5</v>
      </c>
      <c r="I187" s="8">
        <f>E187+апр!I187</f>
        <v>0</v>
      </c>
      <c r="J187" s="10">
        <f>F187+апр!J187</f>
        <v>0</v>
      </c>
      <c r="K187" s="10">
        <f t="shared" si="68"/>
        <v>0</v>
      </c>
      <c r="L187" s="16"/>
      <c r="M187" s="110"/>
      <c r="N187" s="111"/>
      <c r="O187" s="8">
        <v>198.01900000000001</v>
      </c>
      <c r="P187">
        <f t="shared" si="61"/>
        <v>112.5</v>
      </c>
      <c r="Q187" s="44">
        <f>E187+апр!I187</f>
        <v>0</v>
      </c>
      <c r="R187" s="30">
        <f>F187+апр!J187</f>
        <v>0</v>
      </c>
    </row>
    <row r="188" spans="1:18" ht="17.25" customHeight="1">
      <c r="A188" s="99" t="s">
        <v>175</v>
      </c>
      <c r="B188" s="6" t="s">
        <v>180</v>
      </c>
      <c r="C188" s="99" t="s">
        <v>4</v>
      </c>
      <c r="D188" s="7">
        <f>D189+D190+D191+D192+D197+D198+D199+D200+D204</f>
        <v>186.78400000000005</v>
      </c>
      <c r="E188" s="7">
        <f>E189+E190+E191+E192+E197+E198+E199+E200+E204</f>
        <v>193.416</v>
      </c>
      <c r="F188" s="7">
        <f>F189+F190+F191+F192+F197+F198+F199+F200+F204</f>
        <v>22.009</v>
      </c>
      <c r="G188" s="10">
        <f t="shared" si="66"/>
        <v>-171.40699999999998</v>
      </c>
      <c r="H188" s="7">
        <f>H189+H190+H191+H192+H197+H198+H199+H200+H204</f>
        <v>933.92000000000019</v>
      </c>
      <c r="I188" s="7">
        <f>I189+I190+I191+I192+I197+I198+I199+I200+I204</f>
        <v>967.07999999999993</v>
      </c>
      <c r="J188" s="7">
        <f>J189+J190+J191+J192+J197+J198+J199+J200+J204</f>
        <v>447.32400000000007</v>
      </c>
      <c r="K188" s="10">
        <f t="shared" si="68"/>
        <v>-519.75599999999986</v>
      </c>
      <c r="L188" s="16">
        <f t="shared" si="75"/>
        <v>-53.744881498945261</v>
      </c>
      <c r="M188" s="116"/>
      <c r="N188" s="111"/>
      <c r="P188">
        <f t="shared" si="61"/>
        <v>933.9200000000003</v>
      </c>
      <c r="Q188" s="44">
        <f>E188+апр!I188</f>
        <v>967.07999999999993</v>
      </c>
      <c r="R188" s="30">
        <f>F188+апр!J188</f>
        <v>447.32400000000001</v>
      </c>
    </row>
    <row r="189" spans="1:18" ht="17.25" customHeight="1">
      <c r="A189" s="18" t="s">
        <v>271</v>
      </c>
      <c r="B189" s="9" t="s">
        <v>181</v>
      </c>
      <c r="C189" s="8" t="s">
        <v>4</v>
      </c>
      <c r="D189" s="10">
        <v>0</v>
      </c>
      <c r="E189" s="8"/>
      <c r="F189" s="8"/>
      <c r="G189" s="10">
        <f t="shared" si="66"/>
        <v>0</v>
      </c>
      <c r="H189" s="10">
        <f>D189+апр!H189</f>
        <v>0</v>
      </c>
      <c r="I189" s="8">
        <f>E189+апр!I189</f>
        <v>0</v>
      </c>
      <c r="J189" s="10">
        <f>F189+апр!J189</f>
        <v>0</v>
      </c>
      <c r="K189" s="10">
        <f t="shared" si="68"/>
        <v>0</v>
      </c>
      <c r="L189" s="16"/>
      <c r="M189" s="110"/>
      <c r="N189" s="111"/>
      <c r="P189">
        <f t="shared" si="61"/>
        <v>0</v>
      </c>
      <c r="Q189" s="44">
        <f>E189+апр!I189</f>
        <v>0</v>
      </c>
      <c r="R189" s="30">
        <f>F189+апр!J189</f>
        <v>0</v>
      </c>
    </row>
    <row r="190" spans="1:18" ht="17.25" customHeight="1">
      <c r="A190" s="18" t="s">
        <v>272</v>
      </c>
      <c r="B190" s="9" t="s">
        <v>182</v>
      </c>
      <c r="C190" s="8" t="s">
        <v>4</v>
      </c>
      <c r="D190" s="10">
        <v>15.651</v>
      </c>
      <c r="E190" s="10">
        <v>22.25</v>
      </c>
      <c r="F190" s="8">
        <v>21.152000000000001</v>
      </c>
      <c r="G190" s="10">
        <f t="shared" si="66"/>
        <v>-1.097999999999999</v>
      </c>
      <c r="H190" s="10">
        <f>D190+апр!H190</f>
        <v>78.254999999999995</v>
      </c>
      <c r="I190" s="8">
        <f>E190+апр!I190</f>
        <v>111.25</v>
      </c>
      <c r="J190" s="10">
        <f>F190+апр!J190</f>
        <v>152.50700000000001</v>
      </c>
      <c r="K190" s="10">
        <f t="shared" si="68"/>
        <v>41.257000000000005</v>
      </c>
      <c r="L190" s="16">
        <f t="shared" si="75"/>
        <v>37.084943820224723</v>
      </c>
      <c r="M190" s="110"/>
      <c r="N190" s="111"/>
      <c r="P190">
        <f t="shared" si="61"/>
        <v>78.254999999999995</v>
      </c>
      <c r="Q190" s="44">
        <f>E190+апр!I190</f>
        <v>111.25</v>
      </c>
      <c r="R190" s="30">
        <f>F190+апр!J190</f>
        <v>152.50700000000001</v>
      </c>
    </row>
    <row r="191" spans="1:18" ht="33.75" customHeight="1">
      <c r="A191" s="18" t="s">
        <v>273</v>
      </c>
      <c r="B191" s="9" t="s">
        <v>237</v>
      </c>
      <c r="C191" s="8" t="s">
        <v>4</v>
      </c>
      <c r="D191" s="10">
        <v>1.4910000000000001</v>
      </c>
      <c r="E191" s="10">
        <v>1.5</v>
      </c>
      <c r="F191" s="10">
        <v>0.5</v>
      </c>
      <c r="G191" s="10">
        <f t="shared" si="66"/>
        <v>-1</v>
      </c>
      <c r="H191" s="10">
        <f>D191+апр!H191</f>
        <v>7.4550000000000001</v>
      </c>
      <c r="I191" s="8">
        <f>E191+апр!I191</f>
        <v>7.5</v>
      </c>
      <c r="J191" s="10">
        <f>F191+апр!J191</f>
        <v>9.59</v>
      </c>
      <c r="K191" s="10">
        <f t="shared" si="68"/>
        <v>2.09</v>
      </c>
      <c r="L191" s="16">
        <f t="shared" si="75"/>
        <v>27.866666666666667</v>
      </c>
      <c r="M191" s="110"/>
      <c r="N191" s="111"/>
      <c r="P191">
        <f t="shared" si="61"/>
        <v>7.4550000000000001</v>
      </c>
      <c r="Q191" s="44">
        <f>E191+апр!I191</f>
        <v>7.5</v>
      </c>
      <c r="R191" s="30">
        <f>F191+апр!J191</f>
        <v>9.59</v>
      </c>
    </row>
    <row r="192" spans="1:18" ht="36.75" customHeight="1">
      <c r="A192" s="18" t="s">
        <v>274</v>
      </c>
      <c r="B192" s="9" t="s">
        <v>183</v>
      </c>
      <c r="C192" s="8" t="s">
        <v>4</v>
      </c>
      <c r="D192" s="10">
        <f t="shared" ref="D192:F192" si="86">D193+D194+D195+D196</f>
        <v>149.55900000000003</v>
      </c>
      <c r="E192" s="10">
        <f t="shared" si="86"/>
        <v>149.583</v>
      </c>
      <c r="F192" s="10">
        <f t="shared" si="86"/>
        <v>0</v>
      </c>
      <c r="G192" s="10">
        <f t="shared" si="66"/>
        <v>-149.583</v>
      </c>
      <c r="H192" s="10">
        <f t="shared" ref="H192:J192" si="87">H193+H194+H195+H196</f>
        <v>747.79500000000007</v>
      </c>
      <c r="I192" s="10">
        <f t="shared" si="87"/>
        <v>747.91499999999996</v>
      </c>
      <c r="J192" s="10">
        <f t="shared" si="87"/>
        <v>274.28100000000001</v>
      </c>
      <c r="K192" s="10">
        <f t="shared" si="68"/>
        <v>-473.63399999999996</v>
      </c>
      <c r="L192" s="16">
        <f t="shared" si="75"/>
        <v>-63.327249754316995</v>
      </c>
      <c r="M192" s="110"/>
      <c r="N192" s="111"/>
      <c r="P192">
        <f t="shared" si="61"/>
        <v>747.79500000000007</v>
      </c>
      <c r="Q192" s="44">
        <f>E192+апр!I192</f>
        <v>747.91499999999996</v>
      </c>
      <c r="R192" s="30">
        <f>F192+апр!J192</f>
        <v>274.28100000000001</v>
      </c>
    </row>
    <row r="193" spans="1:18" ht="74.25" customHeight="1">
      <c r="A193" s="8" t="s">
        <v>275</v>
      </c>
      <c r="B193" s="9" t="s">
        <v>184</v>
      </c>
      <c r="C193" s="8" t="s">
        <v>4</v>
      </c>
      <c r="D193" s="10">
        <v>33.363999999999997</v>
      </c>
      <c r="E193" s="8">
        <v>33.332999999999998</v>
      </c>
      <c r="F193" s="8"/>
      <c r="G193" s="10">
        <f t="shared" si="66"/>
        <v>-33.332999999999998</v>
      </c>
      <c r="H193" s="10">
        <f>D193+апр!H193</f>
        <v>166.82</v>
      </c>
      <c r="I193" s="8">
        <f>E193+апр!I193</f>
        <v>166.66499999999999</v>
      </c>
      <c r="J193" s="10">
        <f>F193+апр!J193</f>
        <v>189.47499999999999</v>
      </c>
      <c r="K193" s="10">
        <f t="shared" si="68"/>
        <v>22.810000000000002</v>
      </c>
      <c r="L193" s="16">
        <f t="shared" si="75"/>
        <v>13.686136861368617</v>
      </c>
      <c r="M193" s="110"/>
      <c r="N193" s="111"/>
      <c r="P193">
        <f t="shared" si="61"/>
        <v>166.82</v>
      </c>
      <c r="Q193" s="44">
        <f>E193+апр!I193</f>
        <v>166.66499999999999</v>
      </c>
      <c r="R193" s="30">
        <f>F193+апр!J193</f>
        <v>189.47499999999999</v>
      </c>
    </row>
    <row r="194" spans="1:18" ht="93" customHeight="1">
      <c r="A194" s="8" t="s">
        <v>276</v>
      </c>
      <c r="B194" s="9" t="s">
        <v>238</v>
      </c>
      <c r="C194" s="8" t="s">
        <v>4</v>
      </c>
      <c r="D194" s="10">
        <v>89.792000000000002</v>
      </c>
      <c r="E194" s="8">
        <v>89.832999999999998</v>
      </c>
      <c r="F194" s="8"/>
      <c r="G194" s="10">
        <f t="shared" si="66"/>
        <v>-89.832999999999998</v>
      </c>
      <c r="H194" s="10">
        <f>D194+апр!H194</f>
        <v>448.96000000000004</v>
      </c>
      <c r="I194" s="8">
        <f>E194+апр!I194</f>
        <v>449.16499999999996</v>
      </c>
      <c r="J194" s="10">
        <f>F194+апр!J194</f>
        <v>0</v>
      </c>
      <c r="K194" s="10">
        <f t="shared" si="68"/>
        <v>-449.16499999999996</v>
      </c>
      <c r="L194" s="16">
        <f t="shared" si="75"/>
        <v>-100</v>
      </c>
      <c r="M194" s="110"/>
      <c r="N194" s="111"/>
      <c r="P194">
        <f t="shared" si="61"/>
        <v>448.96000000000004</v>
      </c>
      <c r="Q194" s="44">
        <f>E194+апр!I194</f>
        <v>449.16499999999996</v>
      </c>
      <c r="R194" s="30">
        <f>F194+апр!J194</f>
        <v>0</v>
      </c>
    </row>
    <row r="195" spans="1:18" ht="90.75" customHeight="1">
      <c r="A195" s="8" t="s">
        <v>277</v>
      </c>
      <c r="B195" s="9" t="s">
        <v>185</v>
      </c>
      <c r="C195" s="8" t="s">
        <v>4</v>
      </c>
      <c r="D195" s="10">
        <v>7.9660000000000002</v>
      </c>
      <c r="E195" s="8">
        <v>8</v>
      </c>
      <c r="F195" s="8"/>
      <c r="G195" s="10">
        <f t="shared" si="66"/>
        <v>-8</v>
      </c>
      <c r="H195" s="10">
        <f>D195+апр!H195</f>
        <v>39.83</v>
      </c>
      <c r="I195" s="8">
        <f>E195+апр!I195</f>
        <v>40</v>
      </c>
      <c r="J195" s="10">
        <f>F195+апр!J195</f>
        <v>15.260999999999999</v>
      </c>
      <c r="K195" s="10">
        <f t="shared" si="68"/>
        <v>-24.739000000000001</v>
      </c>
      <c r="L195" s="16">
        <f t="shared" si="75"/>
        <v>-61.847499999999997</v>
      </c>
      <c r="M195" s="110"/>
      <c r="N195" s="111"/>
      <c r="P195">
        <f t="shared" si="61"/>
        <v>39.83</v>
      </c>
      <c r="Q195" s="44">
        <f>E195+апр!I195</f>
        <v>40</v>
      </c>
      <c r="R195" s="30">
        <f>F195+апр!J195</f>
        <v>15.260999999999999</v>
      </c>
    </row>
    <row r="196" spans="1:18" ht="37.5" customHeight="1">
      <c r="A196" s="8" t="s">
        <v>278</v>
      </c>
      <c r="B196" s="9" t="s">
        <v>186</v>
      </c>
      <c r="C196" s="8" t="s">
        <v>4</v>
      </c>
      <c r="D196" s="10">
        <v>18.437000000000001</v>
      </c>
      <c r="E196" s="8">
        <v>18.417000000000002</v>
      </c>
      <c r="F196" s="8"/>
      <c r="G196" s="10">
        <f t="shared" si="66"/>
        <v>-18.417000000000002</v>
      </c>
      <c r="H196" s="10">
        <f>D196+апр!H196</f>
        <v>92.185000000000002</v>
      </c>
      <c r="I196" s="8">
        <f>E196+апр!I196</f>
        <v>92.085000000000008</v>
      </c>
      <c r="J196" s="10">
        <f>F196+апр!J196</f>
        <v>69.545000000000002</v>
      </c>
      <c r="K196" s="10">
        <f t="shared" si="68"/>
        <v>-22.540000000000006</v>
      </c>
      <c r="L196" s="16">
        <f t="shared" si="75"/>
        <v>-24.477385024705438</v>
      </c>
      <c r="M196" s="110"/>
      <c r="N196" s="111"/>
      <c r="P196">
        <f t="shared" si="61"/>
        <v>92.185000000000002</v>
      </c>
      <c r="Q196" s="44">
        <f>E196+апр!I196</f>
        <v>92.085000000000008</v>
      </c>
      <c r="R196" s="30">
        <f>F196+апр!J196</f>
        <v>69.545000000000002</v>
      </c>
    </row>
    <row r="197" spans="1:18" ht="17.25" customHeight="1">
      <c r="A197" s="18" t="s">
        <v>279</v>
      </c>
      <c r="B197" s="26" t="s">
        <v>187</v>
      </c>
      <c r="C197" s="8" t="s">
        <v>4</v>
      </c>
      <c r="D197" s="10">
        <v>15.818</v>
      </c>
      <c r="E197" s="8">
        <v>15.833</v>
      </c>
      <c r="F197" s="8"/>
      <c r="G197" s="10">
        <f t="shared" si="66"/>
        <v>-15.833</v>
      </c>
      <c r="H197" s="10">
        <f>D197+апр!H197</f>
        <v>79.09</v>
      </c>
      <c r="I197" s="8">
        <f>E197+апр!I197</f>
        <v>79.165000000000006</v>
      </c>
      <c r="J197" s="10">
        <f>F197+апр!J197</f>
        <v>0</v>
      </c>
      <c r="K197" s="10">
        <f t="shared" si="68"/>
        <v>-79.165000000000006</v>
      </c>
      <c r="L197" s="16">
        <f t="shared" si="75"/>
        <v>-100</v>
      </c>
      <c r="M197" s="110"/>
      <c r="N197" s="111"/>
      <c r="P197">
        <f t="shared" si="61"/>
        <v>79.09</v>
      </c>
      <c r="Q197" s="44">
        <f>E197+апр!I197</f>
        <v>79.165000000000006</v>
      </c>
      <c r="R197" s="30">
        <f>F197+апр!J197</f>
        <v>0</v>
      </c>
    </row>
    <row r="198" spans="1:18" ht="17.25" customHeight="1">
      <c r="A198" s="18"/>
      <c r="B198" s="26" t="s">
        <v>125</v>
      </c>
      <c r="C198" s="8" t="s">
        <v>4</v>
      </c>
      <c r="D198" s="10">
        <v>0.34200000000000003</v>
      </c>
      <c r="E198" s="8">
        <v>0.33300000000000002</v>
      </c>
      <c r="F198" s="8"/>
      <c r="G198" s="10">
        <f t="shared" si="66"/>
        <v>-0.33300000000000002</v>
      </c>
      <c r="H198" s="10">
        <f>D198+апр!H198</f>
        <v>1.7100000000000002</v>
      </c>
      <c r="I198" s="8">
        <f>E198+апр!I198</f>
        <v>1.665</v>
      </c>
      <c r="J198" s="10">
        <f>F198+апр!J198</f>
        <v>0</v>
      </c>
      <c r="K198" s="10">
        <f t="shared" si="68"/>
        <v>-1.665</v>
      </c>
      <c r="L198" s="16">
        <f t="shared" si="75"/>
        <v>-100</v>
      </c>
      <c r="M198" s="110"/>
      <c r="N198" s="111"/>
      <c r="P198">
        <f t="shared" si="61"/>
        <v>1.7100000000000002</v>
      </c>
      <c r="Q198" s="44">
        <f>E198+апр!I198</f>
        <v>1.665</v>
      </c>
      <c r="R198" s="30">
        <f>F198+апр!J198</f>
        <v>0</v>
      </c>
    </row>
    <row r="199" spans="1:18" ht="17.25" customHeight="1">
      <c r="A199" s="18" t="s">
        <v>280</v>
      </c>
      <c r="B199" s="26" t="s">
        <v>188</v>
      </c>
      <c r="C199" s="8" t="s">
        <v>4</v>
      </c>
      <c r="D199" s="10">
        <v>0</v>
      </c>
      <c r="E199" s="8"/>
      <c r="F199" s="8"/>
      <c r="G199" s="10">
        <f t="shared" si="66"/>
        <v>0</v>
      </c>
      <c r="H199" s="10">
        <f>D199+апр!H199</f>
        <v>0</v>
      </c>
      <c r="I199" s="8">
        <f>E199+апр!I199</f>
        <v>0</v>
      </c>
      <c r="J199" s="10">
        <f>F199+апр!J199</f>
        <v>0</v>
      </c>
      <c r="K199" s="10">
        <f t="shared" si="68"/>
        <v>0</v>
      </c>
      <c r="L199" s="16"/>
      <c r="M199" s="110"/>
      <c r="N199" s="111"/>
      <c r="P199">
        <f t="shared" si="61"/>
        <v>0</v>
      </c>
      <c r="Q199" s="44">
        <f>E199+апр!I199</f>
        <v>0</v>
      </c>
      <c r="R199" s="30">
        <f>F199+апр!J199</f>
        <v>0</v>
      </c>
    </row>
    <row r="200" spans="1:18" ht="27" customHeight="1">
      <c r="A200" s="18" t="s">
        <v>281</v>
      </c>
      <c r="B200" s="26" t="s">
        <v>189</v>
      </c>
      <c r="C200" s="8" t="s">
        <v>4</v>
      </c>
      <c r="D200" s="10">
        <v>3.923</v>
      </c>
      <c r="E200" s="8">
        <v>3.9169999999999998</v>
      </c>
      <c r="F200" s="10">
        <v>0.35699999999999998</v>
      </c>
      <c r="G200" s="10">
        <f t="shared" si="66"/>
        <v>-3.5599999999999996</v>
      </c>
      <c r="H200" s="10">
        <f>D200+апр!H200</f>
        <v>19.615000000000002</v>
      </c>
      <c r="I200" s="8">
        <f>E200+апр!I200</f>
        <v>19.585000000000001</v>
      </c>
      <c r="J200" s="10">
        <f>F200+апр!J200</f>
        <v>10.946</v>
      </c>
      <c r="K200" s="10">
        <f t="shared" si="68"/>
        <v>-8.6390000000000011</v>
      </c>
      <c r="L200" s="16">
        <f t="shared" si="75"/>
        <v>-44.110288486086297</v>
      </c>
      <c r="M200" s="112" t="s">
        <v>289</v>
      </c>
      <c r="N200" s="113"/>
      <c r="P200">
        <f t="shared" si="61"/>
        <v>19.615000000000002</v>
      </c>
      <c r="Q200" s="44">
        <f>E200+апр!I200</f>
        <v>19.585000000000001</v>
      </c>
      <c r="R200" s="30">
        <f>F200+апр!J200</f>
        <v>10.946</v>
      </c>
    </row>
    <row r="201" spans="1:18" ht="17.25" hidden="1" customHeight="1">
      <c r="A201" s="18" t="s">
        <v>282</v>
      </c>
      <c r="B201" s="26" t="s">
        <v>225</v>
      </c>
      <c r="C201" s="8" t="s">
        <v>4</v>
      </c>
      <c r="D201" s="10">
        <v>0</v>
      </c>
      <c r="E201" s="8"/>
      <c r="F201" s="8"/>
      <c r="G201" s="10">
        <f t="shared" si="66"/>
        <v>0</v>
      </c>
      <c r="H201" s="10">
        <f>D201+апр!H201</f>
        <v>0</v>
      </c>
      <c r="I201" s="8">
        <f>E201+апр!I201</f>
        <v>0</v>
      </c>
      <c r="J201" s="10">
        <f>F201+апр!J201</f>
        <v>0</v>
      </c>
      <c r="K201" s="10">
        <f t="shared" si="68"/>
        <v>0</v>
      </c>
      <c r="L201" s="16" t="e">
        <f t="shared" si="75"/>
        <v>#DIV/0!</v>
      </c>
      <c r="M201" s="112" t="s">
        <v>290</v>
      </c>
      <c r="N201" s="113"/>
      <c r="P201">
        <f t="shared" ref="P201:P218" si="88">D201*5</f>
        <v>0</v>
      </c>
      <c r="Q201" s="44">
        <f>E201+апр!I201</f>
        <v>0</v>
      </c>
      <c r="R201" s="30">
        <f>F201+апр!J201</f>
        <v>0</v>
      </c>
    </row>
    <row r="202" spans="1:18" ht="17.25" hidden="1" customHeight="1">
      <c r="A202" s="18" t="s">
        <v>283</v>
      </c>
      <c r="B202" s="26" t="s">
        <v>228</v>
      </c>
      <c r="C202" s="8" t="s">
        <v>4</v>
      </c>
      <c r="D202" s="10">
        <v>0</v>
      </c>
      <c r="E202" s="8"/>
      <c r="F202" s="8"/>
      <c r="G202" s="10">
        <f t="shared" si="66"/>
        <v>0</v>
      </c>
      <c r="H202" s="10">
        <f>D202+апр!H202</f>
        <v>0</v>
      </c>
      <c r="I202" s="8">
        <f>E202+апр!I202</f>
        <v>0</v>
      </c>
      <c r="J202" s="10">
        <f>F202+апр!J202</f>
        <v>0</v>
      </c>
      <c r="K202" s="10">
        <f t="shared" si="68"/>
        <v>0</v>
      </c>
      <c r="L202" s="16" t="e">
        <f t="shared" si="75"/>
        <v>#DIV/0!</v>
      </c>
      <c r="M202" s="112" t="s">
        <v>290</v>
      </c>
      <c r="N202" s="113"/>
      <c r="P202">
        <f t="shared" si="88"/>
        <v>0</v>
      </c>
      <c r="Q202" s="44">
        <f>E202+апр!I202</f>
        <v>0</v>
      </c>
      <c r="R202" s="30">
        <f>F202+апр!J202</f>
        <v>0</v>
      </c>
    </row>
    <row r="203" spans="1:18" ht="34.5" hidden="1" customHeight="1">
      <c r="A203" s="18" t="s">
        <v>284</v>
      </c>
      <c r="B203" s="26" t="s">
        <v>231</v>
      </c>
      <c r="C203" s="8" t="s">
        <v>4</v>
      </c>
      <c r="D203" s="10">
        <v>0</v>
      </c>
      <c r="E203" s="8"/>
      <c r="F203" s="8"/>
      <c r="G203" s="10">
        <f t="shared" si="66"/>
        <v>0</v>
      </c>
      <c r="H203" s="10">
        <f>D203+апр!H203</f>
        <v>0</v>
      </c>
      <c r="I203" s="8">
        <f>E203+апр!I203</f>
        <v>0</v>
      </c>
      <c r="J203" s="10">
        <f>F203+апр!J203</f>
        <v>0</v>
      </c>
      <c r="K203" s="10">
        <f t="shared" si="68"/>
        <v>0</v>
      </c>
      <c r="L203" s="16" t="e">
        <f t="shared" si="75"/>
        <v>#DIV/0!</v>
      </c>
      <c r="M203" s="112" t="s">
        <v>290</v>
      </c>
      <c r="N203" s="113"/>
      <c r="P203">
        <f t="shared" si="88"/>
        <v>0</v>
      </c>
      <c r="Q203" s="44">
        <f>E203+апр!I203</f>
        <v>0</v>
      </c>
      <c r="R203" s="30">
        <f>F203+апр!J203</f>
        <v>0</v>
      </c>
    </row>
    <row r="204" spans="1:18" ht="17.25" customHeight="1">
      <c r="A204" s="18" t="s">
        <v>282</v>
      </c>
      <c r="B204" s="26" t="s">
        <v>230</v>
      </c>
      <c r="C204" s="8" t="s">
        <v>4</v>
      </c>
      <c r="D204" s="10">
        <v>0</v>
      </c>
      <c r="E204" s="8"/>
      <c r="F204" s="8"/>
      <c r="G204" s="10">
        <f t="shared" si="66"/>
        <v>0</v>
      </c>
      <c r="H204" s="10">
        <f>D204+апр!H204</f>
        <v>0</v>
      </c>
      <c r="I204" s="8">
        <f>E204+апр!I204</f>
        <v>0</v>
      </c>
      <c r="J204" s="10">
        <f>F204+апр!J204</f>
        <v>0</v>
      </c>
      <c r="K204" s="10">
        <f t="shared" si="68"/>
        <v>0</v>
      </c>
      <c r="L204" s="16"/>
      <c r="M204" s="110"/>
      <c r="N204" s="111"/>
      <c r="P204">
        <f t="shared" si="88"/>
        <v>0</v>
      </c>
      <c r="Q204" s="44">
        <f>E204+апр!I204</f>
        <v>0</v>
      </c>
      <c r="R204" s="30">
        <f>F204+апр!J204</f>
        <v>0</v>
      </c>
    </row>
    <row r="205" spans="1:18" ht="21" customHeight="1">
      <c r="A205" s="99" t="s">
        <v>190</v>
      </c>
      <c r="B205" s="6" t="s">
        <v>191</v>
      </c>
      <c r="C205" s="99" t="s">
        <v>4</v>
      </c>
      <c r="D205" s="7">
        <f>D8+D138</f>
        <v>76555.231</v>
      </c>
      <c r="E205" s="21">
        <f>E8+E138</f>
        <v>71086.831999999995</v>
      </c>
      <c r="F205" s="7">
        <f>F8+F138</f>
        <v>81933.885499999989</v>
      </c>
      <c r="G205" s="10">
        <f t="shared" ref="G205:G213" si="89">F205-E205</f>
        <v>10847.053499999995</v>
      </c>
      <c r="H205" s="7">
        <f>H8+H138</f>
        <v>382776.15500000003</v>
      </c>
      <c r="I205" s="7">
        <f>I8+I138</f>
        <v>355432.82699999999</v>
      </c>
      <c r="J205" s="7">
        <f>J8+J138</f>
        <v>364918.53399999999</v>
      </c>
      <c r="K205" s="10">
        <f t="shared" ref="K205:K213" si="90">J205-I205</f>
        <v>9485.7069999999949</v>
      </c>
      <c r="L205" s="16">
        <f t="shared" ref="L205:L213" si="91">K205/I205*100</f>
        <v>2.6687762861025766</v>
      </c>
      <c r="M205" s="110"/>
      <c r="N205" s="111"/>
      <c r="O205" s="30"/>
      <c r="P205">
        <f t="shared" si="88"/>
        <v>382776.15500000003</v>
      </c>
      <c r="Q205" s="44">
        <f>E205+апр!I205</f>
        <v>355434.16</v>
      </c>
      <c r="R205" s="30">
        <f>F205+апр!J205</f>
        <v>364918.53399999987</v>
      </c>
    </row>
    <row r="206" spans="1:18" ht="17.25" customHeight="1">
      <c r="A206" s="99" t="s">
        <v>192</v>
      </c>
      <c r="B206" s="6" t="s">
        <v>193</v>
      </c>
      <c r="C206" s="99" t="s">
        <v>4</v>
      </c>
      <c r="D206" s="7">
        <v>1469.992</v>
      </c>
      <c r="E206" s="99">
        <v>1470.0830000000001</v>
      </c>
      <c r="F206" s="21">
        <f>F209-F205</f>
        <v>17998.946820000012</v>
      </c>
      <c r="G206" s="16">
        <f t="shared" si="89"/>
        <v>16528.863820000013</v>
      </c>
      <c r="H206" s="10">
        <f>D206+апр!H206</f>
        <v>7349.96</v>
      </c>
      <c r="I206" s="8">
        <f>E206+апр!I206</f>
        <v>7350.4150000000009</v>
      </c>
      <c r="J206" s="10">
        <f>F206+апр!J206</f>
        <v>25661.666359999988</v>
      </c>
      <c r="K206" s="10">
        <f t="shared" si="90"/>
        <v>18311.251359999987</v>
      </c>
      <c r="L206" s="16">
        <f t="shared" si="91"/>
        <v>249.11860568416864</v>
      </c>
      <c r="M206" s="110"/>
      <c r="N206" s="111"/>
      <c r="P206">
        <f>D206*5</f>
        <v>7349.96</v>
      </c>
      <c r="Q206" s="44">
        <f>E206+апр!I206</f>
        <v>7350.4150000000009</v>
      </c>
      <c r="R206" s="30">
        <f>F206+апр!J206</f>
        <v>25661.666359999988</v>
      </c>
    </row>
    <row r="207" spans="1:18" ht="17.25" customHeight="1">
      <c r="A207" s="99" t="s">
        <v>194</v>
      </c>
      <c r="B207" s="6" t="s">
        <v>195</v>
      </c>
      <c r="C207" s="99" t="s">
        <v>4</v>
      </c>
      <c r="D207" s="7">
        <f>D205+D206</f>
        <v>78025.222999999998</v>
      </c>
      <c r="E207" s="21">
        <f>E205+E206</f>
        <v>72556.914999999994</v>
      </c>
      <c r="F207" s="7">
        <f>F205+F206</f>
        <v>99932.832320000001</v>
      </c>
      <c r="G207" s="16">
        <f t="shared" si="89"/>
        <v>27375.917320000008</v>
      </c>
      <c r="H207" s="7">
        <f>H205+H206</f>
        <v>390126.11500000005</v>
      </c>
      <c r="I207" s="7">
        <f>I205+I206</f>
        <v>362783.24199999997</v>
      </c>
      <c r="J207" s="7">
        <f>J205+J206</f>
        <v>390580.20035999996</v>
      </c>
      <c r="K207" s="10">
        <f t="shared" si="90"/>
        <v>27796.95835999999</v>
      </c>
      <c r="L207" s="16">
        <f t="shared" si="91"/>
        <v>7.6621395758958428</v>
      </c>
      <c r="M207" s="110"/>
      <c r="N207" s="111"/>
      <c r="P207">
        <f t="shared" si="88"/>
        <v>390126.11499999999</v>
      </c>
      <c r="Q207" s="44">
        <f>E207+апр!I207</f>
        <v>362784.57499999995</v>
      </c>
      <c r="R207" s="30">
        <f>F207+апр!J207</f>
        <v>390580.20035999984</v>
      </c>
    </row>
    <row r="208" spans="1:18" ht="17.25" customHeight="1">
      <c r="A208" s="114" t="s">
        <v>196</v>
      </c>
      <c r="B208" s="115" t="s">
        <v>197</v>
      </c>
      <c r="C208" s="99" t="s">
        <v>114</v>
      </c>
      <c r="D208" s="7">
        <v>559.39200000000005</v>
      </c>
      <c r="E208" s="99">
        <v>523.61</v>
      </c>
      <c r="F208" s="99">
        <v>724.57100000000003</v>
      </c>
      <c r="G208" s="10">
        <f t="shared" si="89"/>
        <v>200.96100000000001</v>
      </c>
      <c r="H208" s="10">
        <f>D208+апр!H208</f>
        <v>2796.96</v>
      </c>
      <c r="I208" s="10">
        <f>E208+апр!I208</f>
        <v>2618.0500000000002</v>
      </c>
      <c r="J208" s="10">
        <f>F208+апр!J208</f>
        <v>2831.933</v>
      </c>
      <c r="K208" s="10">
        <f t="shared" si="90"/>
        <v>213.88299999999981</v>
      </c>
      <c r="L208" s="16">
        <f t="shared" si="91"/>
        <v>8.1695536754454565</v>
      </c>
      <c r="M208" s="110"/>
      <c r="N208" s="111"/>
      <c r="P208">
        <f t="shared" si="88"/>
        <v>2796.96</v>
      </c>
      <c r="Q208" s="44">
        <f>E208+апр!I208</f>
        <v>2618.0500000000002</v>
      </c>
      <c r="R208" s="30">
        <f>F208+апр!J208</f>
        <v>2831.933</v>
      </c>
    </row>
    <row r="209" spans="1:19" ht="17.25" customHeight="1">
      <c r="A209" s="114"/>
      <c r="B209" s="115"/>
      <c r="C209" s="99" t="s">
        <v>4</v>
      </c>
      <c r="D209" s="7">
        <f>D207</f>
        <v>78025.222999999998</v>
      </c>
      <c r="E209" s="21">
        <f>E207</f>
        <v>72556.914999999994</v>
      </c>
      <c r="F209" s="99">
        <f>F213*F208</f>
        <v>99932.832320000001</v>
      </c>
      <c r="G209" s="16">
        <f t="shared" si="89"/>
        <v>27375.917320000008</v>
      </c>
      <c r="H209" s="10">
        <f>D209+апр!H209</f>
        <v>390126.11499999999</v>
      </c>
      <c r="I209" s="7">
        <f>I207</f>
        <v>362783.24199999997</v>
      </c>
      <c r="J209" s="99">
        <f>J213*J208</f>
        <v>390580.20035999996</v>
      </c>
      <c r="K209" s="10">
        <f t="shared" si="90"/>
        <v>27796.95835999999</v>
      </c>
      <c r="L209" s="16">
        <f t="shared" si="91"/>
        <v>7.6621395758958428</v>
      </c>
      <c r="M209" s="110"/>
      <c r="N209" s="111"/>
      <c r="P209">
        <f t="shared" si="88"/>
        <v>390126.11499999999</v>
      </c>
      <c r="Q209" s="44">
        <f>E209+апр!I209</f>
        <v>362784.57499999995</v>
      </c>
      <c r="R209" s="30">
        <f>F209+апр!J209</f>
        <v>390580.20035999984</v>
      </c>
    </row>
    <row r="210" spans="1:19" ht="17.25" customHeight="1">
      <c r="A210" s="99" t="s">
        <v>198</v>
      </c>
      <c r="B210" s="100" t="s">
        <v>199</v>
      </c>
      <c r="C210" s="99" t="s">
        <v>114</v>
      </c>
      <c r="D210" s="7">
        <v>761.69899999999996</v>
      </c>
      <c r="E210" s="21">
        <v>713</v>
      </c>
      <c r="F210" s="7">
        <v>856.43100000000004</v>
      </c>
      <c r="G210" s="10">
        <f t="shared" si="89"/>
        <v>143.43100000000004</v>
      </c>
      <c r="H210" s="10">
        <f>D210+апр!H210</f>
        <v>3808.4949999999999</v>
      </c>
      <c r="I210" s="10">
        <f>E210+апр!I210</f>
        <v>3565</v>
      </c>
      <c r="J210" s="10">
        <f>F210+апр!J210</f>
        <v>3510.1130000000003</v>
      </c>
      <c r="K210" s="10">
        <f t="shared" si="90"/>
        <v>-54.886999999999716</v>
      </c>
      <c r="L210" s="16">
        <f t="shared" si="91"/>
        <v>-1.5396072931276217</v>
      </c>
      <c r="M210" s="110"/>
      <c r="N210" s="111"/>
      <c r="P210">
        <f t="shared" si="88"/>
        <v>3808.4949999999999</v>
      </c>
      <c r="Q210" s="44">
        <f>E210+апр!I210</f>
        <v>3565</v>
      </c>
      <c r="R210" s="30">
        <f>F210+апр!J210</f>
        <v>3510.1130000000003</v>
      </c>
    </row>
    <row r="211" spans="1:19" ht="17.25" customHeight="1">
      <c r="A211" s="114" t="s">
        <v>200</v>
      </c>
      <c r="B211" s="115" t="s">
        <v>201</v>
      </c>
      <c r="C211" s="99" t="s">
        <v>202</v>
      </c>
      <c r="D211" s="21">
        <f>D212/D210*100</f>
        <v>26.559966600980168</v>
      </c>
      <c r="E211" s="21">
        <f>E212/E210*100</f>
        <v>26.562412342215985</v>
      </c>
      <c r="F211" s="21">
        <f>F212/F210*100</f>
        <v>15.396453421233003</v>
      </c>
      <c r="G211" s="10">
        <f t="shared" si="89"/>
        <v>-11.165958920982982</v>
      </c>
      <c r="H211" s="21">
        <f>H212/H210*100</f>
        <v>26.559966600980172</v>
      </c>
      <c r="I211" s="21">
        <f>I212/I210*100</f>
        <v>26.562412342215985</v>
      </c>
      <c r="J211" s="21">
        <f>J212/J210*100</f>
        <v>19.320745514460651</v>
      </c>
      <c r="K211" s="10">
        <f t="shared" si="90"/>
        <v>-7.2416668277553349</v>
      </c>
      <c r="L211" s="16">
        <f t="shared" si="91"/>
        <v>-27.262835673422853</v>
      </c>
      <c r="M211" s="110"/>
      <c r="N211" s="111"/>
      <c r="P211">
        <f t="shared" si="88"/>
        <v>132.79983300490085</v>
      </c>
      <c r="Q211" s="44">
        <f>E211+апр!I211</f>
        <v>53.124824684431971</v>
      </c>
      <c r="R211" s="30">
        <f>F211+апр!J211</f>
        <v>35.983697861222424</v>
      </c>
    </row>
    <row r="212" spans="1:19" ht="17.25" customHeight="1">
      <c r="A212" s="114"/>
      <c r="B212" s="115"/>
      <c r="C212" s="99" t="s">
        <v>114</v>
      </c>
      <c r="D212" s="7">
        <f>D210-D208</f>
        <v>202.3069999999999</v>
      </c>
      <c r="E212" s="7">
        <f>E210-E208</f>
        <v>189.39</v>
      </c>
      <c r="F212" s="7">
        <f>F210-F208</f>
        <v>131.86000000000001</v>
      </c>
      <c r="G212" s="10">
        <f t="shared" si="89"/>
        <v>-57.529999999999973</v>
      </c>
      <c r="H212" s="7">
        <f>H210-H208</f>
        <v>1011.5349999999999</v>
      </c>
      <c r="I212" s="7">
        <f>I210-I208</f>
        <v>946.94999999999982</v>
      </c>
      <c r="J212" s="7">
        <f>J210-J208</f>
        <v>678.18000000000029</v>
      </c>
      <c r="K212" s="10">
        <f t="shared" si="90"/>
        <v>-268.76999999999953</v>
      </c>
      <c r="L212" s="16">
        <f t="shared" si="91"/>
        <v>-28.382702360209048</v>
      </c>
      <c r="M212" s="110"/>
      <c r="N212" s="111"/>
      <c r="P212">
        <f t="shared" si="88"/>
        <v>1011.5349999999995</v>
      </c>
      <c r="Q212" s="44">
        <f>E212+апр!I212</f>
        <v>946.94999999999993</v>
      </c>
      <c r="R212" s="30">
        <f>F212+апр!J212</f>
        <v>678.18000000000018</v>
      </c>
    </row>
    <row r="213" spans="1:19" s="1" customFormat="1" ht="21" customHeight="1">
      <c r="A213" s="99" t="s">
        <v>203</v>
      </c>
      <c r="B213" s="6" t="s">
        <v>204</v>
      </c>
      <c r="C213" s="99" t="s">
        <v>205</v>
      </c>
      <c r="D213" s="21">
        <f>D207/D208</f>
        <v>139.48219316686686</v>
      </c>
      <c r="E213" s="21">
        <f>E209/E208</f>
        <v>138.57052959263572</v>
      </c>
      <c r="F213" s="99">
        <v>137.91999999999999</v>
      </c>
      <c r="G213" s="10">
        <f t="shared" si="89"/>
        <v>-0.65052959263573484</v>
      </c>
      <c r="H213" s="21">
        <f>H207/H208</f>
        <v>139.48219316686689</v>
      </c>
      <c r="I213" s="21">
        <f>I207/I208</f>
        <v>138.57002043505659</v>
      </c>
      <c r="J213" s="21">
        <f>J207/J208</f>
        <v>137.92000035311568</v>
      </c>
      <c r="K213" s="10">
        <f t="shared" si="90"/>
        <v>-0.65002008194090877</v>
      </c>
      <c r="L213" s="16">
        <f t="shared" si="91"/>
        <v>-0.469091423888151</v>
      </c>
      <c r="M213" s="110"/>
      <c r="N213" s="111"/>
      <c r="O213"/>
      <c r="P213">
        <f t="shared" si="88"/>
        <v>697.41096583433432</v>
      </c>
      <c r="Q213" s="44">
        <f>E213+апр!I213</f>
        <v>277.14105918527144</v>
      </c>
      <c r="R213" s="30">
        <f>F213+апр!J213</f>
        <v>275.84000047452685</v>
      </c>
      <c r="S213"/>
    </row>
    <row r="214" spans="1:19" ht="17.25" customHeight="1">
      <c r="A214" s="8"/>
      <c r="B214" s="9" t="s">
        <v>206</v>
      </c>
      <c r="C214" s="8"/>
      <c r="D214" s="21"/>
      <c r="E214" s="8"/>
      <c r="F214" s="8"/>
      <c r="G214" s="8"/>
      <c r="H214" s="21"/>
      <c r="I214" s="8"/>
      <c r="J214" s="8"/>
      <c r="K214" s="8"/>
      <c r="L214" s="16"/>
      <c r="M214" s="110"/>
      <c r="N214" s="111"/>
      <c r="P214">
        <f t="shared" si="88"/>
        <v>0</v>
      </c>
      <c r="Q214" s="44">
        <f>E214+апр!I214</f>
        <v>0</v>
      </c>
      <c r="R214" s="30">
        <f>F214+апр!J214</f>
        <v>0</v>
      </c>
    </row>
    <row r="215" spans="1:19" ht="35.25" customHeight="1">
      <c r="A215" s="8">
        <v>7</v>
      </c>
      <c r="B215" s="9" t="s">
        <v>207</v>
      </c>
      <c r="C215" s="8" t="s">
        <v>208</v>
      </c>
      <c r="D215" s="14">
        <f>D216+D217</f>
        <v>253</v>
      </c>
      <c r="E215" s="14">
        <f t="shared" ref="E215:G215" si="92">E216+E217</f>
        <v>0</v>
      </c>
      <c r="F215" s="14">
        <f t="shared" si="92"/>
        <v>0</v>
      </c>
      <c r="G215" s="14">
        <f t="shared" si="92"/>
        <v>0</v>
      </c>
      <c r="H215" s="14">
        <f>H216+H217</f>
        <v>253</v>
      </c>
      <c r="I215" s="14">
        <f t="shared" ref="I215:K215" si="93">I216+I217</f>
        <v>0</v>
      </c>
      <c r="J215" s="14">
        <f t="shared" si="93"/>
        <v>172</v>
      </c>
      <c r="K215" s="14">
        <f t="shared" si="93"/>
        <v>0</v>
      </c>
      <c r="L215" s="16"/>
      <c r="M215" s="110"/>
      <c r="N215" s="111"/>
      <c r="P215">
        <f t="shared" si="88"/>
        <v>1265</v>
      </c>
      <c r="Q215" s="44">
        <f>E215+апр!I215</f>
        <v>0</v>
      </c>
      <c r="R215" s="30">
        <f>F215+апр!J215</f>
        <v>172</v>
      </c>
    </row>
    <row r="216" spans="1:19" ht="17.25" customHeight="1">
      <c r="A216" s="18" t="s">
        <v>209</v>
      </c>
      <c r="B216" s="9" t="s">
        <v>210</v>
      </c>
      <c r="C216" s="8" t="s">
        <v>208</v>
      </c>
      <c r="D216" s="14">
        <v>236</v>
      </c>
      <c r="E216" s="8"/>
      <c r="F216" s="8"/>
      <c r="G216" s="8"/>
      <c r="H216" s="14">
        <v>236</v>
      </c>
      <c r="I216" s="8"/>
      <c r="J216" s="8">
        <v>164</v>
      </c>
      <c r="K216" s="8"/>
      <c r="L216" s="16"/>
      <c r="M216" s="110"/>
      <c r="N216" s="111"/>
      <c r="P216">
        <f t="shared" si="88"/>
        <v>1180</v>
      </c>
      <c r="Q216" s="44">
        <f>E216+апр!I216</f>
        <v>0</v>
      </c>
      <c r="R216" s="30">
        <f>F216+апр!J216</f>
        <v>164</v>
      </c>
    </row>
    <row r="217" spans="1:19" ht="17.25" customHeight="1">
      <c r="A217" s="18" t="s">
        <v>211</v>
      </c>
      <c r="B217" s="9" t="s">
        <v>212</v>
      </c>
      <c r="C217" s="8" t="s">
        <v>208</v>
      </c>
      <c r="D217" s="14">
        <v>17</v>
      </c>
      <c r="E217" s="8"/>
      <c r="F217" s="8"/>
      <c r="G217" s="8"/>
      <c r="H217" s="14">
        <v>17</v>
      </c>
      <c r="I217" s="8"/>
      <c r="J217" s="8">
        <v>8</v>
      </c>
      <c r="K217" s="8"/>
      <c r="L217" s="16"/>
      <c r="M217" s="110"/>
      <c r="N217" s="111"/>
      <c r="P217">
        <f t="shared" si="88"/>
        <v>85</v>
      </c>
      <c r="Q217" s="44">
        <f>E217+апр!I217</f>
        <v>0</v>
      </c>
      <c r="R217" s="30">
        <f>F217+апр!J217</f>
        <v>8</v>
      </c>
    </row>
    <row r="218" spans="1:19" ht="36" customHeight="1">
      <c r="A218" s="18" t="s">
        <v>213</v>
      </c>
      <c r="B218" s="9" t="s">
        <v>214</v>
      </c>
      <c r="C218" s="8" t="s">
        <v>16</v>
      </c>
      <c r="D218" s="14">
        <f>(D88+D145)/D215*1000</f>
        <v>86746.573122529648</v>
      </c>
      <c r="E218" s="8"/>
      <c r="F218" s="8"/>
      <c r="G218" s="8"/>
      <c r="H218" s="14">
        <f>(H88+H145)/H215*1000/5</f>
        <v>86746.573122529633</v>
      </c>
      <c r="I218" s="8"/>
      <c r="J218" s="14">
        <f>(J88+J145)/J215*1000/5</f>
        <v>114240.17790697674</v>
      </c>
      <c r="K218" s="8"/>
      <c r="L218" s="16"/>
      <c r="M218" s="110"/>
      <c r="N218" s="111"/>
      <c r="P218">
        <f t="shared" si="88"/>
        <v>433732.86561264825</v>
      </c>
      <c r="Q218" s="44">
        <f>E218+апр!I218</f>
        <v>0</v>
      </c>
      <c r="R218" s="30">
        <f>F218+апр!J218</f>
        <v>113361.80523255812</v>
      </c>
    </row>
    <row r="219" spans="1:19" ht="17.25" customHeight="1">
      <c r="A219" s="18" t="s">
        <v>215</v>
      </c>
      <c r="B219" s="9" t="s">
        <v>210</v>
      </c>
      <c r="C219" s="8" t="s">
        <v>16</v>
      </c>
      <c r="D219" s="14">
        <f>D88/D216*1000</f>
        <v>84883.580508474581</v>
      </c>
      <c r="E219" s="8"/>
      <c r="F219" s="8"/>
      <c r="G219" s="8"/>
      <c r="H219" s="14">
        <f>H88/H216*1000/5</f>
        <v>84883.580508474581</v>
      </c>
      <c r="I219" s="8"/>
      <c r="J219" s="14">
        <f>J88/J216*1000/5</f>
        <v>111183.64146341462</v>
      </c>
      <c r="K219" s="8"/>
      <c r="L219" s="16"/>
      <c r="M219" s="110"/>
      <c r="N219" s="111"/>
      <c r="Q219" s="44">
        <f>E219+апр!I219</f>
        <v>0</v>
      </c>
      <c r="R219" s="30">
        <f>F219+апр!J219</f>
        <v>110632.42835365853</v>
      </c>
    </row>
    <row r="220" spans="1:19" ht="17.25" customHeight="1">
      <c r="A220" s="18" t="s">
        <v>216</v>
      </c>
      <c r="B220" s="9" t="s">
        <v>212</v>
      </c>
      <c r="C220" s="8" t="s">
        <v>16</v>
      </c>
      <c r="D220" s="14">
        <f>D145/D217*1000</f>
        <v>112609.29411764705</v>
      </c>
      <c r="E220" s="8"/>
      <c r="F220" s="8"/>
      <c r="G220" s="8"/>
      <c r="H220" s="14">
        <f>H145/H217*1000/5</f>
        <v>112609.29411764706</v>
      </c>
      <c r="I220" s="8"/>
      <c r="J220" s="14">
        <f>J145/J217*1000/5</f>
        <v>176899.17499999999</v>
      </c>
      <c r="K220" s="8"/>
      <c r="L220" s="16"/>
      <c r="M220" s="110"/>
      <c r="N220" s="111"/>
      <c r="Q220" s="44">
        <f>E220+апр!I220</f>
        <v>0</v>
      </c>
      <c r="R220" s="30">
        <f>F220+апр!J220</f>
        <v>169314.03125</v>
      </c>
    </row>
    <row r="221" spans="1:19" ht="18.75">
      <c r="A221" s="29"/>
      <c r="B221" s="29"/>
      <c r="C221" s="29"/>
      <c r="D221" s="29"/>
      <c r="E221" s="29"/>
      <c r="F221" s="29"/>
      <c r="G221" s="29"/>
      <c r="H221" s="29">
        <f>H220*I217*12/1000</f>
        <v>0</v>
      </c>
      <c r="I221" s="29">
        <f>H218*I216*12/1000</f>
        <v>0</v>
      </c>
      <c r="J221" s="29"/>
      <c r="K221" s="29"/>
      <c r="L221" s="29"/>
      <c r="M221" s="29"/>
      <c r="N221" s="29">
        <f>H221+I221</f>
        <v>0</v>
      </c>
    </row>
    <row r="222" spans="1:19" ht="18.75">
      <c r="A222" s="29"/>
      <c r="B222" s="29"/>
      <c r="C222" s="29"/>
      <c r="D222" s="29"/>
      <c r="E222" s="29"/>
      <c r="F222" s="29"/>
      <c r="G222" s="29"/>
      <c r="H222" s="29">
        <v>607.40800000000002</v>
      </c>
      <c r="I222" s="29">
        <v>9999.5409999999993</v>
      </c>
      <c r="J222" s="29"/>
      <c r="K222" s="29"/>
      <c r="L222" s="29"/>
      <c r="M222" s="29"/>
      <c r="N222" s="29"/>
    </row>
    <row r="223" spans="1:19" ht="18.75">
      <c r="A223" s="29"/>
      <c r="B223" s="29"/>
      <c r="C223" s="29"/>
      <c r="D223" s="29"/>
      <c r="E223" s="29"/>
      <c r="F223" s="29"/>
      <c r="G223" s="29"/>
      <c r="H223" s="29">
        <v>953.40200000000004</v>
      </c>
      <c r="I223" s="29">
        <v>10043.467000000001</v>
      </c>
      <c r="J223" s="29"/>
      <c r="K223" s="29"/>
      <c r="L223" s="29"/>
      <c r="M223" s="29"/>
      <c r="N223" s="29"/>
    </row>
    <row r="224" spans="1:19" ht="18.75">
      <c r="A224" s="29"/>
      <c r="B224" s="29"/>
      <c r="C224" s="29"/>
      <c r="D224" s="29"/>
      <c r="E224" s="29"/>
      <c r="F224" s="29"/>
      <c r="G224" s="29"/>
      <c r="H224" s="29"/>
      <c r="I224" s="29">
        <f>888.772+371.175+148.47</f>
        <v>1408.4170000000001</v>
      </c>
      <c r="J224" s="29"/>
      <c r="K224" s="29"/>
      <c r="L224" s="29"/>
      <c r="M224" s="29"/>
      <c r="N224" s="29"/>
    </row>
    <row r="225" spans="1:14" ht="18.75">
      <c r="A225" s="29"/>
      <c r="B225" s="29"/>
      <c r="C225" s="29"/>
      <c r="D225" s="29"/>
      <c r="E225" s="29"/>
      <c r="F225" s="29"/>
      <c r="G225" s="29"/>
      <c r="H225" s="29">
        <f>SUM(H221:H223)</f>
        <v>1560.81</v>
      </c>
      <c r="I225" s="29">
        <f>SUM(I221:I224)</f>
        <v>21451.425000000003</v>
      </c>
      <c r="J225" s="29"/>
      <c r="K225" s="29"/>
      <c r="L225" s="29"/>
      <c r="M225" s="29"/>
      <c r="N225" s="29">
        <f>SUM(H225:M225)</f>
        <v>23012.235000000004</v>
      </c>
    </row>
    <row r="226" spans="1:14" ht="72.75" customHeight="1">
      <c r="A226" s="29"/>
      <c r="B226" s="29" t="s">
        <v>295</v>
      </c>
      <c r="C226" s="29"/>
      <c r="D226" s="29"/>
      <c r="E226" s="29"/>
      <c r="F226" s="29"/>
      <c r="G226" s="29"/>
      <c r="H226" s="29"/>
      <c r="I226" s="29" t="s">
        <v>296</v>
      </c>
      <c r="J226" s="29"/>
      <c r="K226" s="29"/>
      <c r="L226" s="29"/>
      <c r="M226" s="29"/>
      <c r="N226" s="29"/>
    </row>
    <row r="227" spans="1:14" ht="9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52.5" hidden="1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 hidden="1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27" hidden="1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30" customHeight="1">
      <c r="A231" s="29"/>
      <c r="B231" s="29" t="s">
        <v>233</v>
      </c>
      <c r="C231" s="29"/>
      <c r="D231" s="29"/>
      <c r="E231" s="29"/>
      <c r="F231" s="29"/>
      <c r="G231" s="29"/>
      <c r="H231" s="29"/>
      <c r="I231" s="29" t="s">
        <v>234</v>
      </c>
      <c r="J231" s="29"/>
      <c r="K231" s="29"/>
      <c r="L231" s="29"/>
      <c r="M231" s="29"/>
      <c r="N231" s="29"/>
    </row>
    <row r="232" spans="1:14" ht="28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4.5" hidden="1" customHeight="1">
      <c r="B233" s="3" t="s">
        <v>233</v>
      </c>
      <c r="C233" s="3"/>
      <c r="D233" s="3"/>
      <c r="E233" s="3"/>
      <c r="F233" s="3"/>
      <c r="G233" s="3"/>
      <c r="H233" t="s">
        <v>234</v>
      </c>
    </row>
    <row r="234" spans="1:14" ht="16.5" customHeight="1">
      <c r="B234" s="4"/>
      <c r="C234" s="2"/>
      <c r="D234" s="2"/>
      <c r="E234" s="2"/>
      <c r="F234" s="2"/>
      <c r="G234" s="2"/>
    </row>
    <row r="235" spans="1:14" ht="15.75">
      <c r="A235" s="2"/>
      <c r="B235" s="2"/>
      <c r="C235" s="2"/>
      <c r="D235" s="2"/>
      <c r="E235" s="2"/>
      <c r="F235" s="2"/>
      <c r="G235" s="2"/>
    </row>
    <row r="236" spans="1:14" ht="15.75">
      <c r="A236" s="2"/>
      <c r="B236" s="2"/>
      <c r="C236" s="2"/>
      <c r="D236" s="2"/>
      <c r="E236" s="2"/>
      <c r="F236" s="2"/>
      <c r="G236" s="2"/>
    </row>
    <row r="237" spans="1:14" ht="15.75">
      <c r="A237" s="2"/>
      <c r="B237" s="2"/>
      <c r="C237" s="2"/>
      <c r="D237" s="2"/>
      <c r="E237" s="2"/>
      <c r="F237" s="2"/>
      <c r="G237" s="2"/>
    </row>
    <row r="238" spans="1:14" ht="15.75">
      <c r="A238" s="4" t="s">
        <v>235</v>
      </c>
      <c r="B238" s="2"/>
      <c r="C238" s="2"/>
      <c r="D238" s="2"/>
      <c r="E238" s="2"/>
      <c r="F238" s="2"/>
      <c r="G238" s="2"/>
    </row>
    <row r="239" spans="1:14" ht="15.75">
      <c r="A239" s="2"/>
      <c r="B239" s="2"/>
      <c r="C239" s="2"/>
      <c r="D239" s="2"/>
      <c r="E239" s="2"/>
      <c r="F239" s="2"/>
      <c r="G239" s="2"/>
    </row>
  </sheetData>
  <mergeCells count="222">
    <mergeCell ref="E5:E6"/>
    <mergeCell ref="F5:F6"/>
    <mergeCell ref="G5:G6"/>
    <mergeCell ref="H5:H6"/>
    <mergeCell ref="I5:I6"/>
    <mergeCell ref="J5:J6"/>
    <mergeCell ref="A1:N1"/>
    <mergeCell ref="A2:N2"/>
    <mergeCell ref="A3:C3"/>
    <mergeCell ref="A4:A6"/>
    <mergeCell ref="B4:B6"/>
    <mergeCell ref="C4:C6"/>
    <mergeCell ref="D4:G4"/>
    <mergeCell ref="H4:L4"/>
    <mergeCell ref="M4:N6"/>
    <mergeCell ref="D5:D6"/>
    <mergeCell ref="M11:N11"/>
    <mergeCell ref="M12:N12"/>
    <mergeCell ref="M13:N13"/>
    <mergeCell ref="M14:N14"/>
    <mergeCell ref="M15:N15"/>
    <mergeCell ref="M16:N16"/>
    <mergeCell ref="K5:K6"/>
    <mergeCell ref="L5:L6"/>
    <mergeCell ref="M7:N7"/>
    <mergeCell ref="M8:N8"/>
    <mergeCell ref="M9:N9"/>
    <mergeCell ref="M10:N10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48:N48"/>
    <mergeCell ref="M49:N49"/>
    <mergeCell ref="M50:N50"/>
    <mergeCell ref="M51:N51"/>
    <mergeCell ref="M52:N52"/>
    <mergeCell ref="M53:N53"/>
    <mergeCell ref="M41:N41"/>
    <mergeCell ref="M42:N43"/>
    <mergeCell ref="M44:N44"/>
    <mergeCell ref="M45:N45"/>
    <mergeCell ref="M46:N46"/>
    <mergeCell ref="M47:N47"/>
    <mergeCell ref="M62:N62"/>
    <mergeCell ref="M63:N63"/>
    <mergeCell ref="M64:N64"/>
    <mergeCell ref="M65:N65"/>
    <mergeCell ref="M66:N66"/>
    <mergeCell ref="M67:N67"/>
    <mergeCell ref="M54:N54"/>
    <mergeCell ref="M55:N55"/>
    <mergeCell ref="M56:N56"/>
    <mergeCell ref="M57:N58"/>
    <mergeCell ref="M59:N59"/>
    <mergeCell ref="M60:N61"/>
    <mergeCell ref="M75:N75"/>
    <mergeCell ref="M76:N76"/>
    <mergeCell ref="M77:N77"/>
    <mergeCell ref="M78:N78"/>
    <mergeCell ref="M79:N79"/>
    <mergeCell ref="M80:N80"/>
    <mergeCell ref="M68:N68"/>
    <mergeCell ref="M69:N70"/>
    <mergeCell ref="M71:N71"/>
    <mergeCell ref="M72:N72"/>
    <mergeCell ref="M73:N73"/>
    <mergeCell ref="M74:N74"/>
    <mergeCell ref="M88:N88"/>
    <mergeCell ref="M89:N89"/>
    <mergeCell ref="M93:N93"/>
    <mergeCell ref="M94:N94"/>
    <mergeCell ref="M95:N95"/>
    <mergeCell ref="M96:N96"/>
    <mergeCell ref="M81:N81"/>
    <mergeCell ref="M82:N82"/>
    <mergeCell ref="M83:N83"/>
    <mergeCell ref="M84:N85"/>
    <mergeCell ref="M86:N86"/>
    <mergeCell ref="M87:N87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41:N141"/>
    <mergeCell ref="M142:N142"/>
    <mergeCell ref="M143:N143"/>
    <mergeCell ref="M144:N144"/>
    <mergeCell ref="M145:N145"/>
    <mergeCell ref="M146:N146"/>
    <mergeCell ref="M133:N133"/>
    <mergeCell ref="M134:N134"/>
    <mergeCell ref="M135:N135"/>
    <mergeCell ref="M138:N138"/>
    <mergeCell ref="M139:N139"/>
    <mergeCell ref="M140:N140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77:N177"/>
    <mergeCell ref="M179:N179"/>
    <mergeCell ref="M180:N180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205:N205"/>
    <mergeCell ref="M206:N206"/>
    <mergeCell ref="M207:N207"/>
    <mergeCell ref="A208:A209"/>
    <mergeCell ref="B208:B209"/>
    <mergeCell ref="M208:N208"/>
    <mergeCell ref="M209:N209"/>
    <mergeCell ref="M199:N199"/>
    <mergeCell ref="M200:N200"/>
    <mergeCell ref="M201:N201"/>
    <mergeCell ref="M202:N202"/>
    <mergeCell ref="M203:N203"/>
    <mergeCell ref="M204:N204"/>
    <mergeCell ref="M220:N220"/>
    <mergeCell ref="M214:N214"/>
    <mergeCell ref="M215:N215"/>
    <mergeCell ref="M216:N216"/>
    <mergeCell ref="M217:N217"/>
    <mergeCell ref="M218:N218"/>
    <mergeCell ref="M219:N219"/>
    <mergeCell ref="M210:N210"/>
    <mergeCell ref="A211:A212"/>
    <mergeCell ref="B211:B212"/>
    <mergeCell ref="M211:N211"/>
    <mergeCell ref="M212:N212"/>
    <mergeCell ref="M213:N213"/>
  </mergeCells>
  <pageMargins left="0" right="0" top="0.94488188976377963" bottom="0.39370078740157483" header="0.31496062992125984" footer="0.31496062992125984"/>
  <pageSetup paperSize="9"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Лист3</vt:lpstr>
      <vt:lpstr>ян</vt:lpstr>
      <vt:lpstr>фев</vt:lpstr>
      <vt:lpstr>март</vt:lpstr>
      <vt:lpstr>апр</vt:lpstr>
      <vt:lpstr>май</vt:lpstr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2018-06-15T04:05:52Z</cp:lastPrinted>
  <dcterms:created xsi:type="dcterms:W3CDTF">2016-02-24T04:13:12Z</dcterms:created>
  <dcterms:modified xsi:type="dcterms:W3CDTF">2018-06-15T06:21:35Z</dcterms:modified>
</cp:coreProperties>
</file>