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400" windowHeight="11010" firstSheet="6" activeTab="6"/>
  </bookViews>
  <sheets>
    <sheet name="Акшым-Кызан" sheetId="1" r:id="rId1"/>
    <sheet name="Акж-Сынгырлау" sheetId="2" r:id="rId2"/>
    <sheet name="Беки-Баскудык" sheetId="3" r:id="rId3"/>
    <sheet name="Акшым2" sheetId="4" r:id="rId4"/>
    <sheet name="Акж-Сынг2" sheetId="5" r:id="rId5"/>
    <sheet name="ПД Акш-Кызан" sheetId="6" r:id="rId6"/>
    <sheet name="ТС-2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25725"/>
</workbook>
</file>

<file path=xl/calcChain.xml><?xml version="1.0" encoding="utf-8"?>
<calcChain xmlns="http://schemas.openxmlformats.org/spreadsheetml/2006/main">
  <c r="G75" i="10"/>
  <c r="E75"/>
  <c r="F75"/>
  <c r="D75"/>
  <c r="G77"/>
  <c r="F77"/>
  <c r="E77"/>
  <c r="F74"/>
  <c r="I24" l="1"/>
  <c r="I15"/>
  <c r="I8"/>
  <c r="I57"/>
  <c r="I52"/>
  <c r="E57"/>
  <c r="D57"/>
  <c r="H9"/>
  <c r="H10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1"/>
  <c r="H53"/>
  <c r="H56"/>
  <c r="H58"/>
  <c r="H59"/>
  <c r="H60"/>
  <c r="H61"/>
  <c r="H62"/>
  <c r="H63"/>
  <c r="H64"/>
  <c r="H65"/>
  <c r="H66"/>
  <c r="H67"/>
  <c r="H68"/>
  <c r="H69"/>
  <c r="H70"/>
  <c r="H71"/>
  <c r="H72"/>
  <c r="H73"/>
  <c r="H76"/>
  <c r="H83"/>
  <c r="H84"/>
  <c r="H85"/>
  <c r="G15"/>
  <c r="G8"/>
  <c r="I50" l="1"/>
  <c r="I49" s="1"/>
  <c r="I7"/>
  <c r="H57"/>
  <c r="G7"/>
  <c r="G74" s="1"/>
  <c r="I74" l="1"/>
  <c r="E81"/>
  <c r="D81" s="1"/>
  <c r="H81" s="1"/>
  <c r="E15"/>
  <c r="F81"/>
  <c r="F15"/>
  <c r="F8"/>
  <c r="E55"/>
  <c r="E54"/>
  <c r="E8"/>
  <c r="E7" l="1"/>
  <c r="E52"/>
  <c r="E50" s="1"/>
  <c r="E49" s="1"/>
  <c r="F7"/>
  <c r="D77"/>
  <c r="H77" s="1"/>
  <c r="D55"/>
  <c r="H55" s="1"/>
  <c r="D54"/>
  <c r="H54" s="1"/>
  <c r="D91" i="6"/>
  <c r="G61"/>
  <c r="H61"/>
  <c r="I61"/>
  <c r="G60"/>
  <c r="H60"/>
  <c r="I60"/>
  <c r="F61"/>
  <c r="F60"/>
  <c r="D55"/>
  <c r="D35"/>
  <c r="D44"/>
  <c r="D45"/>
  <c r="D46"/>
  <c r="D47"/>
  <c r="D48"/>
  <c r="D49"/>
  <c r="D50"/>
  <c r="D51"/>
  <c r="D52"/>
  <c r="D53"/>
  <c r="D54"/>
  <c r="D34"/>
  <c r="D37"/>
  <c r="D40"/>
  <c r="D39"/>
  <c r="G23"/>
  <c r="D20"/>
  <c r="E74" i="10" l="1"/>
  <c r="D52"/>
  <c r="D15"/>
  <c r="H15" s="1"/>
  <c r="D8"/>
  <c r="H8" s="1"/>
  <c r="M19" i="6"/>
  <c r="N19"/>
  <c r="O19"/>
  <c r="P19"/>
  <c r="L19"/>
  <c r="L27"/>
  <c r="M27"/>
  <c r="N27"/>
  <c r="O27"/>
  <c r="K27"/>
  <c r="D50" i="10" l="1"/>
  <c r="D49" s="1"/>
  <c r="H49" s="1"/>
  <c r="H52"/>
  <c r="H75"/>
  <c r="D7"/>
  <c r="D95" i="6"/>
  <c r="D94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5"/>
  <c r="D64"/>
  <c r="I63"/>
  <c r="I57" s="1"/>
  <c r="I56" s="1"/>
  <c r="H63"/>
  <c r="H57" s="1"/>
  <c r="H56" s="1"/>
  <c r="G63"/>
  <c r="G57" s="1"/>
  <c r="G56" s="1"/>
  <c r="F63"/>
  <c r="F57" s="1"/>
  <c r="F56" s="1"/>
  <c r="E63"/>
  <c r="D62"/>
  <c r="D60"/>
  <c r="D59"/>
  <c r="D43"/>
  <c r="D42"/>
  <c r="D41"/>
  <c r="D38"/>
  <c r="D32"/>
  <c r="I30"/>
  <c r="H30"/>
  <c r="G30"/>
  <c r="F30"/>
  <c r="E30"/>
  <c r="D29"/>
  <c r="D27" s="1"/>
  <c r="D26"/>
  <c r="F21"/>
  <c r="E21"/>
  <c r="D19"/>
  <c r="D18"/>
  <c r="D17"/>
  <c r="D16"/>
  <c r="D15"/>
  <c r="I13"/>
  <c r="H13"/>
  <c r="G13"/>
  <c r="F13"/>
  <c r="E13"/>
  <c r="G46" i="2"/>
  <c r="G47"/>
  <c r="G48"/>
  <c r="G49"/>
  <c r="G41"/>
  <c r="G42"/>
  <c r="G43"/>
  <c r="G44"/>
  <c r="G40"/>
  <c r="G32"/>
  <c r="G30"/>
  <c r="G29"/>
  <c r="G28"/>
  <c r="G27"/>
  <c r="G26"/>
  <c r="G18"/>
  <c r="G19"/>
  <c r="G20"/>
  <c r="G17"/>
  <c r="G16"/>
  <c r="G87" i="1"/>
  <c r="G88"/>
  <c r="G89"/>
  <c r="G90"/>
  <c r="G91"/>
  <c r="G92"/>
  <c r="G93"/>
  <c r="G94"/>
  <c r="G95"/>
  <c r="G96"/>
  <c r="G97"/>
  <c r="G86"/>
  <c r="G76"/>
  <c r="G78"/>
  <c r="G80"/>
  <c r="G74"/>
  <c r="G75"/>
  <c r="G73"/>
  <c r="I102"/>
  <c r="K55" i="2"/>
  <c r="I55"/>
  <c r="H55"/>
  <c r="H50" i="10" l="1"/>
  <c r="D74"/>
  <c r="H74" s="1"/>
  <c r="H7"/>
  <c r="D63" i="6"/>
  <c r="H23"/>
  <c r="G21"/>
  <c r="D13"/>
  <c r="G12"/>
  <c r="G90" s="1"/>
  <c r="G93" s="1"/>
  <c r="G98" s="1"/>
  <c r="D30"/>
  <c r="E12"/>
  <c r="F12"/>
  <c r="F90" s="1"/>
  <c r="F93" s="1"/>
  <c r="F98" s="1"/>
  <c r="H102" i="1"/>
  <c r="G102" s="1"/>
  <c r="G68"/>
  <c r="G66"/>
  <c r="G65"/>
  <c r="G61"/>
  <c r="G60"/>
  <c r="G22"/>
  <c r="G18"/>
  <c r="G16" s="1"/>
  <c r="F38"/>
  <c r="E38"/>
  <c r="L67"/>
  <c r="K38"/>
  <c r="F108"/>
  <c r="F67"/>
  <c r="F58" s="1"/>
  <c r="F57" s="1"/>
  <c r="F24"/>
  <c r="F16"/>
  <c r="F15" s="1"/>
  <c r="D106"/>
  <c r="H21" i="6" l="1"/>
  <c r="H12" s="1"/>
  <c r="H90" s="1"/>
  <c r="H93" s="1"/>
  <c r="H98" s="1"/>
  <c r="I23"/>
  <c r="F101" i="1"/>
  <c r="F104" s="1"/>
  <c r="F62" i="2"/>
  <c r="F56" s="1"/>
  <c r="F55" s="1"/>
  <c r="F33"/>
  <c r="F30"/>
  <c r="F21"/>
  <c r="F14"/>
  <c r="E14"/>
  <c r="L95" i="5"/>
  <c r="K95"/>
  <c r="J95"/>
  <c r="I95"/>
  <c r="H95"/>
  <c r="L91"/>
  <c r="K91"/>
  <c r="J91"/>
  <c r="I91"/>
  <c r="H91"/>
  <c r="H25"/>
  <c r="L88"/>
  <c r="K88"/>
  <c r="J88"/>
  <c r="I88"/>
  <c r="H88"/>
  <c r="E88"/>
  <c r="D88"/>
  <c r="F87"/>
  <c r="E86"/>
  <c r="G85"/>
  <c r="F85"/>
  <c r="G80"/>
  <c r="G79"/>
  <c r="H78"/>
  <c r="I78" s="1"/>
  <c r="J78" s="1"/>
  <c r="H77"/>
  <c r="I77" s="1"/>
  <c r="J77" s="1"/>
  <c r="H76"/>
  <c r="I76" s="1"/>
  <c r="J76" s="1"/>
  <c r="H75"/>
  <c r="I75" s="1"/>
  <c r="J75" s="1"/>
  <c r="H74"/>
  <c r="I74" s="1"/>
  <c r="J74" s="1"/>
  <c r="I73"/>
  <c r="J73" s="1"/>
  <c r="K73" s="1"/>
  <c r="L73" s="1"/>
  <c r="H72"/>
  <c r="I72" s="1"/>
  <c r="J72" s="1"/>
  <c r="K72" s="1"/>
  <c r="L72" s="1"/>
  <c r="G71"/>
  <c r="G70"/>
  <c r="F69"/>
  <c r="H69" s="1"/>
  <c r="G68"/>
  <c r="H67"/>
  <c r="I67" s="1"/>
  <c r="J67" s="1"/>
  <c r="K67" s="1"/>
  <c r="L67" s="1"/>
  <c r="H66"/>
  <c r="I66" s="1"/>
  <c r="J66" s="1"/>
  <c r="K66" s="1"/>
  <c r="L66" s="1"/>
  <c r="I65"/>
  <c r="J65" s="1"/>
  <c r="K65" s="1"/>
  <c r="H64"/>
  <c r="I64" s="1"/>
  <c r="J64" s="1"/>
  <c r="G63"/>
  <c r="H62"/>
  <c r="I62" s="1"/>
  <c r="J62" s="1"/>
  <c r="K62" s="1"/>
  <c r="L62" s="1"/>
  <c r="F62"/>
  <c r="E62"/>
  <c r="H61"/>
  <c r="I61" s="1"/>
  <c r="J61" s="1"/>
  <c r="K61" s="1"/>
  <c r="L61" s="1"/>
  <c r="H60"/>
  <c r="I60" s="1"/>
  <c r="J60" s="1"/>
  <c r="K60" s="1"/>
  <c r="L60" s="1"/>
  <c r="F59"/>
  <c r="E59"/>
  <c r="E54" s="1"/>
  <c r="I58"/>
  <c r="J58" s="1"/>
  <c r="K58" s="1"/>
  <c r="H57"/>
  <c r="I57" s="1"/>
  <c r="J57" s="1"/>
  <c r="H56"/>
  <c r="I56" s="1"/>
  <c r="J56" s="1"/>
  <c r="H55"/>
  <c r="I55" s="1"/>
  <c r="J55" s="1"/>
  <c r="D54"/>
  <c r="D48" s="1"/>
  <c r="D47" s="1"/>
  <c r="F53"/>
  <c r="E53"/>
  <c r="H53" s="1"/>
  <c r="I53" s="1"/>
  <c r="J53" s="1"/>
  <c r="K53" s="1"/>
  <c r="L53" s="1"/>
  <c r="I50"/>
  <c r="G46"/>
  <c r="H45"/>
  <c r="I45" s="1"/>
  <c r="J45" s="1"/>
  <c r="F45"/>
  <c r="F32" s="1"/>
  <c r="E45"/>
  <c r="H44"/>
  <c r="I44" s="1"/>
  <c r="J44" s="1"/>
  <c r="H43"/>
  <c r="I43" s="1"/>
  <c r="J43" s="1"/>
  <c r="H42"/>
  <c r="I42" s="1"/>
  <c r="J42" s="1"/>
  <c r="I41"/>
  <c r="J41" s="1"/>
  <c r="K41" s="1"/>
  <c r="L41" s="1"/>
  <c r="H40"/>
  <c r="I40" s="1"/>
  <c r="I39"/>
  <c r="J39" s="1"/>
  <c r="K39" s="1"/>
  <c r="H38"/>
  <c r="I38" s="1"/>
  <c r="J38" s="1"/>
  <c r="H37"/>
  <c r="I37" s="1"/>
  <c r="J37" s="1"/>
  <c r="H36"/>
  <c r="I36" s="1"/>
  <c r="J36" s="1"/>
  <c r="G35"/>
  <c r="G34"/>
  <c r="D32"/>
  <c r="G31"/>
  <c r="G29" s="1"/>
  <c r="L29"/>
  <c r="K29"/>
  <c r="J29"/>
  <c r="I29"/>
  <c r="H29"/>
  <c r="F29"/>
  <c r="E29"/>
  <c r="D29"/>
  <c r="H28"/>
  <c r="I28" s="1"/>
  <c r="J28" s="1"/>
  <c r="K28" s="1"/>
  <c r="L28" s="1"/>
  <c r="F28"/>
  <c r="E28"/>
  <c r="I25"/>
  <c r="F23"/>
  <c r="E23"/>
  <c r="D23"/>
  <c r="L21"/>
  <c r="K21"/>
  <c r="J21"/>
  <c r="I21"/>
  <c r="G21" s="1"/>
  <c r="H21"/>
  <c r="G20"/>
  <c r="H19"/>
  <c r="I19" s="1"/>
  <c r="J19" s="1"/>
  <c r="K19" s="1"/>
  <c r="L19" s="1"/>
  <c r="L18"/>
  <c r="K18"/>
  <c r="J18"/>
  <c r="I18"/>
  <c r="H18"/>
  <c r="F17"/>
  <c r="F15" s="1"/>
  <c r="E15"/>
  <c r="D15"/>
  <c r="H25" i="4"/>
  <c r="I25" s="1"/>
  <c r="J25" s="1"/>
  <c r="H50"/>
  <c r="H52" s="1"/>
  <c r="L95"/>
  <c r="K95"/>
  <c r="J95"/>
  <c r="I95"/>
  <c r="H95"/>
  <c r="J91"/>
  <c r="K91"/>
  <c r="L91"/>
  <c r="I91"/>
  <c r="H91"/>
  <c r="L88"/>
  <c r="K88"/>
  <c r="J88"/>
  <c r="I88"/>
  <c r="I18" s="1"/>
  <c r="H88"/>
  <c r="H18" s="1"/>
  <c r="E88"/>
  <c r="D88"/>
  <c r="E86"/>
  <c r="G85"/>
  <c r="F85"/>
  <c r="F88" s="1"/>
  <c r="G80"/>
  <c r="G79"/>
  <c r="H78"/>
  <c r="I78" s="1"/>
  <c r="J78" s="1"/>
  <c r="H77"/>
  <c r="I77" s="1"/>
  <c r="J77" s="1"/>
  <c r="H76"/>
  <c r="I76" s="1"/>
  <c r="J76" s="1"/>
  <c r="G75"/>
  <c r="H74"/>
  <c r="I74" s="1"/>
  <c r="J74" s="1"/>
  <c r="K74" s="1"/>
  <c r="L74" s="1"/>
  <c r="J73"/>
  <c r="K73" s="1"/>
  <c r="H73"/>
  <c r="F73"/>
  <c r="G72"/>
  <c r="G71"/>
  <c r="G70"/>
  <c r="F69"/>
  <c r="H69" s="1"/>
  <c r="G68"/>
  <c r="H67"/>
  <c r="I67" s="1"/>
  <c r="J67" s="1"/>
  <c r="H66"/>
  <c r="I66" s="1"/>
  <c r="J66" s="1"/>
  <c r="G65"/>
  <c r="H64"/>
  <c r="I64" s="1"/>
  <c r="J64" s="1"/>
  <c r="K64" s="1"/>
  <c r="L64" s="1"/>
  <c r="G63"/>
  <c r="H62"/>
  <c r="I62" s="1"/>
  <c r="F62"/>
  <c r="E62"/>
  <c r="H61"/>
  <c r="I61" s="1"/>
  <c r="H60"/>
  <c r="I60" s="1"/>
  <c r="J60" s="1"/>
  <c r="K60" s="1"/>
  <c r="L60" s="1"/>
  <c r="F59"/>
  <c r="H59" s="1"/>
  <c r="E59"/>
  <c r="E54" s="1"/>
  <c r="G58"/>
  <c r="H57"/>
  <c r="I57" s="1"/>
  <c r="J57" s="1"/>
  <c r="H56"/>
  <c r="I56" s="1"/>
  <c r="H55"/>
  <c r="I55" s="1"/>
  <c r="J55" s="1"/>
  <c r="D54"/>
  <c r="D48" s="1"/>
  <c r="D47" s="1"/>
  <c r="F53"/>
  <c r="E53"/>
  <c r="G46"/>
  <c r="H45"/>
  <c r="I45" s="1"/>
  <c r="J45" s="1"/>
  <c r="F45"/>
  <c r="E45"/>
  <c r="E32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F40"/>
  <c r="H39"/>
  <c r="I39" s="1"/>
  <c r="J39" s="1"/>
  <c r="K39" s="1"/>
  <c r="L39" s="1"/>
  <c r="H38"/>
  <c r="I38" s="1"/>
  <c r="J38" s="1"/>
  <c r="K38" s="1"/>
  <c r="L38" s="1"/>
  <c r="H37"/>
  <c r="I37" s="1"/>
  <c r="J37" s="1"/>
  <c r="K37" s="1"/>
  <c r="L37" s="1"/>
  <c r="H36"/>
  <c r="I36" s="1"/>
  <c r="J36" s="1"/>
  <c r="K36" s="1"/>
  <c r="L36" s="1"/>
  <c r="H35"/>
  <c r="I35" s="1"/>
  <c r="F35"/>
  <c r="G34"/>
  <c r="D32"/>
  <c r="G31"/>
  <c r="L29"/>
  <c r="K29"/>
  <c r="J29"/>
  <c r="I29"/>
  <c r="H29"/>
  <c r="G29"/>
  <c r="F29"/>
  <c r="E29"/>
  <c r="D29"/>
  <c r="H28"/>
  <c r="I28" s="1"/>
  <c r="H27"/>
  <c r="F23"/>
  <c r="E23"/>
  <c r="D23"/>
  <c r="L21"/>
  <c r="K21"/>
  <c r="J21"/>
  <c r="I21"/>
  <c r="H21"/>
  <c r="F21"/>
  <c r="G20"/>
  <c r="F20"/>
  <c r="F19"/>
  <c r="H19" s="1"/>
  <c r="I19" s="1"/>
  <c r="J19" s="1"/>
  <c r="K19" s="1"/>
  <c r="L19" s="1"/>
  <c r="E19"/>
  <c r="L18"/>
  <c r="K18"/>
  <c r="J18"/>
  <c r="F18"/>
  <c r="E18"/>
  <c r="F17"/>
  <c r="H17" s="1"/>
  <c r="D17"/>
  <c r="D15" s="1"/>
  <c r="D14" s="1"/>
  <c r="G55" i="3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J88"/>
  <c r="K88"/>
  <c r="L88"/>
  <c r="I88"/>
  <c r="H88"/>
  <c r="E88"/>
  <c r="E86"/>
  <c r="F85"/>
  <c r="F86" s="1"/>
  <c r="E15" i="4" l="1"/>
  <c r="F88" i="5"/>
  <c r="D24" i="6"/>
  <c r="D25"/>
  <c r="D23"/>
  <c r="F13" i="2"/>
  <c r="F32" i="4"/>
  <c r="F15"/>
  <c r="E14"/>
  <c r="E48"/>
  <c r="E47" s="1"/>
  <c r="F54"/>
  <c r="F48" s="1"/>
  <c r="F47" s="1"/>
  <c r="F14" i="5"/>
  <c r="E48"/>
  <c r="E47" s="1"/>
  <c r="F95" i="2"/>
  <c r="D14" i="5"/>
  <c r="D81" s="1"/>
  <c r="D86" s="1"/>
  <c r="H32" i="4"/>
  <c r="G18" i="5"/>
  <c r="F54"/>
  <c r="F48" s="1"/>
  <c r="F47" s="1"/>
  <c r="F81" s="1"/>
  <c r="G21" i="4"/>
  <c r="H53"/>
  <c r="I53" s="1"/>
  <c r="J53" s="1"/>
  <c r="K53" s="1"/>
  <c r="L53" s="1"/>
  <c r="E14" i="5"/>
  <c r="E81" s="1"/>
  <c r="J28" i="4"/>
  <c r="D81"/>
  <c r="D84" s="1"/>
  <c r="J40" i="5"/>
  <c r="K40" s="1"/>
  <c r="L40" s="1"/>
  <c r="I32"/>
  <c r="J50"/>
  <c r="J25"/>
  <c r="J32"/>
  <c r="K36"/>
  <c r="K37"/>
  <c r="L37" s="1"/>
  <c r="K38"/>
  <c r="L38" s="1"/>
  <c r="L39"/>
  <c r="G39" s="1"/>
  <c r="K42"/>
  <c r="L42" s="1"/>
  <c r="K43"/>
  <c r="L43" s="1"/>
  <c r="K44"/>
  <c r="L44" s="1"/>
  <c r="K45"/>
  <c r="L45" s="1"/>
  <c r="K55"/>
  <c r="K56"/>
  <c r="L56" s="1"/>
  <c r="K57"/>
  <c r="L57" s="1"/>
  <c r="L58"/>
  <c r="G58" s="1"/>
  <c r="K64"/>
  <c r="L64" s="1"/>
  <c r="L65"/>
  <c r="G65" s="1"/>
  <c r="I69"/>
  <c r="J69" s="1"/>
  <c r="K69" s="1"/>
  <c r="L69" s="1"/>
  <c r="K74"/>
  <c r="L74" s="1"/>
  <c r="K75"/>
  <c r="L75" s="1"/>
  <c r="K76"/>
  <c r="L76" s="1"/>
  <c r="K77"/>
  <c r="L77" s="1"/>
  <c r="K78"/>
  <c r="L78" s="1"/>
  <c r="H17"/>
  <c r="H26"/>
  <c r="H27"/>
  <c r="H51"/>
  <c r="H52"/>
  <c r="H59"/>
  <c r="F86"/>
  <c r="G19"/>
  <c r="G28"/>
  <c r="H32"/>
  <c r="G40"/>
  <c r="G41"/>
  <c r="G53"/>
  <c r="G60"/>
  <c r="G61"/>
  <c r="G62"/>
  <c r="G66"/>
  <c r="G67"/>
  <c r="G72"/>
  <c r="G73"/>
  <c r="G18" i="4"/>
  <c r="I27"/>
  <c r="J27" s="1"/>
  <c r="K27" s="1"/>
  <c r="L27" s="1"/>
  <c r="J35"/>
  <c r="I32"/>
  <c r="J56"/>
  <c r="K56" s="1"/>
  <c r="L56" s="1"/>
  <c r="K57"/>
  <c r="L57" s="1"/>
  <c r="J62"/>
  <c r="K62" s="1"/>
  <c r="L62" s="1"/>
  <c r="H15"/>
  <c r="I17"/>
  <c r="K25"/>
  <c r="K40"/>
  <c r="L40" s="1"/>
  <c r="K41"/>
  <c r="L41" s="1"/>
  <c r="K42"/>
  <c r="L42" s="1"/>
  <c r="K43"/>
  <c r="L43" s="1"/>
  <c r="K44"/>
  <c r="L44" s="1"/>
  <c r="K45"/>
  <c r="L45" s="1"/>
  <c r="I52"/>
  <c r="J52" s="1"/>
  <c r="K52" s="1"/>
  <c r="L52" s="1"/>
  <c r="K55"/>
  <c r="I59"/>
  <c r="J59" s="1"/>
  <c r="K59" s="1"/>
  <c r="L59" s="1"/>
  <c r="H54"/>
  <c r="J61"/>
  <c r="K61" s="1"/>
  <c r="L61" s="1"/>
  <c r="K66"/>
  <c r="L66" s="1"/>
  <c r="K67"/>
  <c r="L67" s="1"/>
  <c r="I69"/>
  <c r="J69" s="1"/>
  <c r="K69" s="1"/>
  <c r="L69" s="1"/>
  <c r="L73"/>
  <c r="G73" s="1"/>
  <c r="K76"/>
  <c r="L76" s="1"/>
  <c r="K77"/>
  <c r="L77" s="1"/>
  <c r="K78"/>
  <c r="L78" s="1"/>
  <c r="K28"/>
  <c r="L28" s="1"/>
  <c r="H26"/>
  <c r="G36"/>
  <c r="G37"/>
  <c r="G38"/>
  <c r="G39"/>
  <c r="I50"/>
  <c r="G53"/>
  <c r="G60"/>
  <c r="H51"/>
  <c r="G64"/>
  <c r="G74"/>
  <c r="F86"/>
  <c r="F88" i="3"/>
  <c r="D21" i="6" l="1"/>
  <c r="D12" s="1"/>
  <c r="I21"/>
  <c r="I12" s="1"/>
  <c r="I90" s="1"/>
  <c r="I93" s="1"/>
  <c r="I98" s="1"/>
  <c r="G45" i="5"/>
  <c r="G44"/>
  <c r="G43"/>
  <c r="G42"/>
  <c r="G38"/>
  <c r="G37"/>
  <c r="F14" i="4"/>
  <c r="F81" s="1"/>
  <c r="F84" s="1"/>
  <c r="E81"/>
  <c r="E84" s="1"/>
  <c r="G78"/>
  <c r="G76"/>
  <c r="G69"/>
  <c r="G66"/>
  <c r="G45"/>
  <c r="G43"/>
  <c r="G62"/>
  <c r="G77"/>
  <c r="G67"/>
  <c r="G61"/>
  <c r="G44"/>
  <c r="G57"/>
  <c r="I52" i="5"/>
  <c r="J52" s="1"/>
  <c r="K52" s="1"/>
  <c r="L52" s="1"/>
  <c r="I27"/>
  <c r="J27" s="1"/>
  <c r="K27" s="1"/>
  <c r="L27" s="1"/>
  <c r="I17"/>
  <c r="H15"/>
  <c r="L55"/>
  <c r="I59"/>
  <c r="H54"/>
  <c r="I51"/>
  <c r="I26"/>
  <c r="H23"/>
  <c r="L36"/>
  <c r="K32"/>
  <c r="K25"/>
  <c r="K50"/>
  <c r="H48"/>
  <c r="H47" s="1"/>
  <c r="G78"/>
  <c r="G77"/>
  <c r="G76"/>
  <c r="G75"/>
  <c r="G74"/>
  <c r="G69"/>
  <c r="G64"/>
  <c r="G57"/>
  <c r="G56"/>
  <c r="G55"/>
  <c r="G52" i="4"/>
  <c r="I26"/>
  <c r="H23"/>
  <c r="L25"/>
  <c r="J17"/>
  <c r="I15"/>
  <c r="J32"/>
  <c r="K35"/>
  <c r="G42"/>
  <c r="G41"/>
  <c r="G40"/>
  <c r="G56"/>
  <c r="G28"/>
  <c r="H48"/>
  <c r="H47" s="1"/>
  <c r="I51"/>
  <c r="J51" s="1"/>
  <c r="K51" s="1"/>
  <c r="L51" s="1"/>
  <c r="J50"/>
  <c r="K54"/>
  <c r="L55"/>
  <c r="G59"/>
  <c r="J54"/>
  <c r="H14"/>
  <c r="I54"/>
  <c r="I48" s="1"/>
  <c r="I47" s="1"/>
  <c r="G27"/>
  <c r="I38" i="3"/>
  <c r="J38" s="1"/>
  <c r="K38" s="1"/>
  <c r="L38" s="1"/>
  <c r="I39"/>
  <c r="J39" s="1"/>
  <c r="K39" s="1"/>
  <c r="L39" s="1"/>
  <c r="I40"/>
  <c r="J40" s="1"/>
  <c r="K40" s="1"/>
  <c r="L40" s="1"/>
  <c r="I41"/>
  <c r="J41" s="1"/>
  <c r="K41" s="1"/>
  <c r="L41" s="1"/>
  <c r="I42"/>
  <c r="J42" s="1"/>
  <c r="K42" s="1"/>
  <c r="L42" s="1"/>
  <c r="I43"/>
  <c r="J43" s="1"/>
  <c r="K43" s="1"/>
  <c r="L43" s="1"/>
  <c r="I44"/>
  <c r="J44" s="1"/>
  <c r="K44" s="1"/>
  <c r="L44" s="1"/>
  <c r="F45"/>
  <c r="H45" s="1"/>
  <c r="I45" s="1"/>
  <c r="J45" s="1"/>
  <c r="K45" s="1"/>
  <c r="L45" s="1"/>
  <c r="E45"/>
  <c r="H25"/>
  <c r="I25" s="1"/>
  <c r="J25" s="1"/>
  <c r="K25" s="1"/>
  <c r="L25" s="1"/>
  <c r="H19"/>
  <c r="I19" s="1"/>
  <c r="J19" s="1"/>
  <c r="K19" s="1"/>
  <c r="L19" s="1"/>
  <c r="H17"/>
  <c r="I17" s="1"/>
  <c r="J17" s="1"/>
  <c r="K17" s="1"/>
  <c r="L17" s="1"/>
  <c r="H37"/>
  <c r="I37" s="1"/>
  <c r="J37" s="1"/>
  <c r="K37" s="1"/>
  <c r="L37" s="1"/>
  <c r="D17"/>
  <c r="I105" i="2"/>
  <c r="J105"/>
  <c r="K105"/>
  <c r="L105"/>
  <c r="H105"/>
  <c r="I87"/>
  <c r="J87" s="1"/>
  <c r="K87" s="1"/>
  <c r="L87" s="1"/>
  <c r="I76"/>
  <c r="J66"/>
  <c r="I45"/>
  <c r="J45" s="1"/>
  <c r="K45" s="1"/>
  <c r="L45" s="1"/>
  <c r="H75"/>
  <c r="H77" i="1"/>
  <c r="G77" s="1"/>
  <c r="I67"/>
  <c r="H72"/>
  <c r="H67" i="2"/>
  <c r="H77"/>
  <c r="G51" i="4" l="1"/>
  <c r="I62" i="2"/>
  <c r="J76"/>
  <c r="K76" s="1"/>
  <c r="L76" s="1"/>
  <c r="H26" i="3"/>
  <c r="I26" s="1"/>
  <c r="J26" s="1"/>
  <c r="K26" s="1"/>
  <c r="L26" s="1"/>
  <c r="G27" i="5"/>
  <c r="J26"/>
  <c r="I23"/>
  <c r="J51"/>
  <c r="J17"/>
  <c r="I15"/>
  <c r="H14"/>
  <c r="H81" s="1"/>
  <c r="H84" s="1"/>
  <c r="H89" s="1"/>
  <c r="L50"/>
  <c r="G50" s="1"/>
  <c r="L25"/>
  <c r="G25" s="1"/>
  <c r="L32"/>
  <c r="G36"/>
  <c r="G32" s="1"/>
  <c r="J59"/>
  <c r="I54"/>
  <c r="I48" s="1"/>
  <c r="I47" s="1"/>
  <c r="G52"/>
  <c r="L54" i="4"/>
  <c r="G55"/>
  <c r="G54" s="1"/>
  <c r="L35"/>
  <c r="L32" s="1"/>
  <c r="K32"/>
  <c r="G25"/>
  <c r="I23"/>
  <c r="I14" s="1"/>
  <c r="I81" s="1"/>
  <c r="I84" s="1"/>
  <c r="I89" s="1"/>
  <c r="I86" s="1"/>
  <c r="J26"/>
  <c r="H81"/>
  <c r="H84" s="1"/>
  <c r="H89" s="1"/>
  <c r="J48"/>
  <c r="J47" s="1"/>
  <c r="K50"/>
  <c r="J15"/>
  <c r="K17"/>
  <c r="H27" i="3"/>
  <c r="I27" s="1"/>
  <c r="J27" s="1"/>
  <c r="K27" s="1"/>
  <c r="L27" s="1"/>
  <c r="H68" i="2"/>
  <c r="H62" s="1"/>
  <c r="E108" i="1"/>
  <c r="I14" i="5" l="1"/>
  <c r="I81" s="1"/>
  <c r="I84" s="1"/>
  <c r="I89" s="1"/>
  <c r="I86" s="1"/>
  <c r="G35" i="4"/>
  <c r="G32" s="1"/>
  <c r="H86" i="5"/>
  <c r="K17"/>
  <c r="J15"/>
  <c r="K51"/>
  <c r="K26"/>
  <c r="K23" s="1"/>
  <c r="J23"/>
  <c r="K59"/>
  <c r="J54"/>
  <c r="J48" s="1"/>
  <c r="J47" s="1"/>
  <c r="L17" i="4"/>
  <c r="L15" s="1"/>
  <c r="K15"/>
  <c r="H86"/>
  <c r="L50"/>
  <c r="K48"/>
  <c r="K47" s="1"/>
  <c r="K26"/>
  <c r="J23"/>
  <c r="J14" s="1"/>
  <c r="J81" s="1"/>
  <c r="J84" s="1"/>
  <c r="J89" s="1"/>
  <c r="G17" l="1"/>
  <c r="G15" s="1"/>
  <c r="L51" i="5"/>
  <c r="J14"/>
  <c r="J81" s="1"/>
  <c r="J84" s="1"/>
  <c r="J89" s="1"/>
  <c r="L59"/>
  <c r="K54"/>
  <c r="K48" s="1"/>
  <c r="K47" s="1"/>
  <c r="L26"/>
  <c r="L17"/>
  <c r="K15"/>
  <c r="K14" s="1"/>
  <c r="J86" i="4"/>
  <c r="L26"/>
  <c r="L23" s="1"/>
  <c r="L14" s="1"/>
  <c r="K23"/>
  <c r="G26"/>
  <c r="G23" s="1"/>
  <c r="L48"/>
  <c r="L47" s="1"/>
  <c r="G50"/>
  <c r="G48" s="1"/>
  <c r="G47" s="1"/>
  <c r="K14"/>
  <c r="K81" s="1"/>
  <c r="K84" s="1"/>
  <c r="K89" s="1"/>
  <c r="G14" l="1"/>
  <c r="K81" i="5"/>
  <c r="K84" s="1"/>
  <c r="K89" s="1"/>
  <c r="K86" s="1"/>
  <c r="J86"/>
  <c r="L15"/>
  <c r="G17"/>
  <c r="G15" s="1"/>
  <c r="L23"/>
  <c r="G26"/>
  <c r="G23" s="1"/>
  <c r="L54"/>
  <c r="L48" s="1"/>
  <c r="L47" s="1"/>
  <c r="G59"/>
  <c r="G54" s="1"/>
  <c r="G51"/>
  <c r="K86" i="4"/>
  <c r="G81"/>
  <c r="L81"/>
  <c r="L84" s="1"/>
  <c r="L89" s="1"/>
  <c r="L86" s="1"/>
  <c r="K108" i="1"/>
  <c r="L108"/>
  <c r="H108"/>
  <c r="H79"/>
  <c r="G79" s="1"/>
  <c r="G48" i="5" l="1"/>
  <c r="G47" s="1"/>
  <c r="L14"/>
  <c r="L81" s="1"/>
  <c r="L84" s="1"/>
  <c r="L89" s="1"/>
  <c r="G14"/>
  <c r="G89" i="4"/>
  <c r="D18" i="1"/>
  <c r="L86" i="5" l="1"/>
  <c r="G89"/>
  <c r="G81"/>
  <c r="G80" i="3" l="1"/>
  <c r="G94" i="2"/>
  <c r="G55" s="1"/>
  <c r="G85" i="1"/>
  <c r="G71"/>
  <c r="G56"/>
  <c r="G40"/>
  <c r="E67"/>
  <c r="E58" s="1"/>
  <c r="E57" s="1"/>
  <c r="D67"/>
  <c r="D58" s="1"/>
  <c r="D57" s="1"/>
  <c r="G36" i="2"/>
  <c r="G35"/>
  <c r="G51" i="3"/>
  <c r="G52"/>
  <c r="G53"/>
  <c r="G50"/>
  <c r="G26"/>
  <c r="G27"/>
  <c r="G25"/>
  <c r="G31"/>
  <c r="G35"/>
  <c r="G36"/>
  <c r="G37"/>
  <c r="G38"/>
  <c r="G39"/>
  <c r="G40"/>
  <c r="G41"/>
  <c r="G42"/>
  <c r="G43"/>
  <c r="G44"/>
  <c r="G45"/>
  <c r="G46"/>
  <c r="G34"/>
  <c r="D54"/>
  <c r="D48" s="1"/>
  <c r="G74" i="2"/>
  <c r="G76"/>
  <c r="G79"/>
  <c r="G81"/>
  <c r="G85"/>
  <c r="G87"/>
  <c r="G93"/>
  <c r="E62"/>
  <c r="E56" s="1"/>
  <c r="E55" s="1"/>
  <c r="D62"/>
  <c r="G17" i="3"/>
  <c r="G18"/>
  <c r="D14" i="2"/>
  <c r="E54" i="3"/>
  <c r="E48" s="1"/>
  <c r="E47" s="1"/>
  <c r="F54"/>
  <c r="F48" s="1"/>
  <c r="F47" s="1"/>
  <c r="H54"/>
  <c r="H48" s="1"/>
  <c r="H47" s="1"/>
  <c r="I54"/>
  <c r="I48" s="1"/>
  <c r="I47" s="1"/>
  <c r="J54"/>
  <c r="J48" s="1"/>
  <c r="J47" s="1"/>
  <c r="K54"/>
  <c r="K48" s="1"/>
  <c r="K47" s="1"/>
  <c r="L54"/>
  <c r="L48" s="1"/>
  <c r="L47" s="1"/>
  <c r="D38" i="1"/>
  <c r="D16"/>
  <c r="G54" i="3" l="1"/>
  <c r="G48" s="1"/>
  <c r="G47" s="1"/>
  <c r="H38" i="1"/>
  <c r="D47" i="3"/>
  <c r="E15"/>
  <c r="F15"/>
  <c r="D15"/>
  <c r="I38" i="1" l="1"/>
  <c r="L21" i="3"/>
  <c r="L15" s="1"/>
  <c r="K21"/>
  <c r="K15" s="1"/>
  <c r="J21"/>
  <c r="I21"/>
  <c r="I15" s="1"/>
  <c r="H21"/>
  <c r="H15" s="1"/>
  <c r="G20"/>
  <c r="G21" l="1"/>
  <c r="F28"/>
  <c r="E28"/>
  <c r="E16" i="1"/>
  <c r="E24" l="1"/>
  <c r="E15" s="1"/>
  <c r="E101" s="1"/>
  <c r="G24"/>
  <c r="H24"/>
  <c r="I24"/>
  <c r="J24"/>
  <c r="K24"/>
  <c r="L24"/>
  <c r="E32" i="3"/>
  <c r="F32"/>
  <c r="G32"/>
  <c r="H32"/>
  <c r="I32"/>
  <c r="J32"/>
  <c r="K32"/>
  <c r="L32"/>
  <c r="E29"/>
  <c r="F29"/>
  <c r="G29"/>
  <c r="H29"/>
  <c r="I29"/>
  <c r="J29"/>
  <c r="K29"/>
  <c r="L29"/>
  <c r="E23"/>
  <c r="F23"/>
  <c r="G23"/>
  <c r="H23"/>
  <c r="I23"/>
  <c r="J23"/>
  <c r="K23"/>
  <c r="L23"/>
  <c r="E33" i="2"/>
  <c r="I33"/>
  <c r="J33"/>
  <c r="E30"/>
  <c r="E21"/>
  <c r="H21"/>
  <c r="I14"/>
  <c r="J14"/>
  <c r="L14"/>
  <c r="H14"/>
  <c r="G33" l="1"/>
  <c r="H13"/>
  <c r="E14" i="3"/>
  <c r="E13" i="2"/>
  <c r="K14"/>
  <c r="G14" s="1"/>
  <c r="F14" i="3"/>
  <c r="H95" i="2" l="1"/>
  <c r="H96" s="1"/>
  <c r="G96" s="1"/>
  <c r="I16" i="1"/>
  <c r="J16"/>
  <c r="K16"/>
  <c r="L16"/>
  <c r="D105" i="2"/>
  <c r="D108" i="1"/>
  <c r="H67" l="1"/>
  <c r="H58" s="1"/>
  <c r="H57" s="1"/>
  <c r="H16"/>
  <c r="H15" s="1"/>
  <c r="L15"/>
  <c r="J62" i="2" l="1"/>
  <c r="J56" s="1"/>
  <c r="J55" s="1"/>
  <c r="J15" i="1"/>
  <c r="I15"/>
  <c r="K15"/>
  <c r="J106" l="1"/>
  <c r="D88" i="3"/>
  <c r="H28"/>
  <c r="D29"/>
  <c r="G85"/>
  <c r="F81"/>
  <c r="E81"/>
  <c r="D32"/>
  <c r="D23"/>
  <c r="D33" i="2"/>
  <c r="H106"/>
  <c r="E95"/>
  <c r="E104" i="1"/>
  <c r="D24"/>
  <c r="D15" l="1"/>
  <c r="D101" s="1"/>
  <c r="D104" s="1"/>
  <c r="I28" i="3"/>
  <c r="J28" s="1"/>
  <c r="K28" s="1"/>
  <c r="L28" s="1"/>
  <c r="H103" i="2"/>
  <c r="H106" i="1"/>
  <c r="H14" i="3"/>
  <c r="H81" s="1"/>
  <c r="D14"/>
  <c r="D13" i="2"/>
  <c r="I14" i="3" l="1"/>
  <c r="L62" i="2"/>
  <c r="L56" s="1"/>
  <c r="L55" s="1"/>
  <c r="L106" i="1"/>
  <c r="D81" i="3"/>
  <c r="D84" s="1"/>
  <c r="D86" s="1"/>
  <c r="D95" i="2"/>
  <c r="D103" s="1"/>
  <c r="I81" i="3" l="1"/>
  <c r="I84" s="1"/>
  <c r="G62" i="2"/>
  <c r="K14" i="3"/>
  <c r="L14"/>
  <c r="I89" l="1"/>
  <c r="I86" s="1"/>
  <c r="L81"/>
  <c r="L84" s="1"/>
  <c r="L89" s="1"/>
  <c r="L86" s="1"/>
  <c r="K81"/>
  <c r="K84" s="1"/>
  <c r="K89" s="1"/>
  <c r="K86" s="1"/>
  <c r="G28"/>
  <c r="K67" i="1"/>
  <c r="K58" s="1"/>
  <c r="K57" s="1"/>
  <c r="K101" s="1"/>
  <c r="I58"/>
  <c r="I57" s="1"/>
  <c r="K104" l="1"/>
  <c r="K106" s="1"/>
  <c r="G101"/>
  <c r="I106"/>
  <c r="I21" i="2"/>
  <c r="I13" l="1"/>
  <c r="L21"/>
  <c r="L13" s="1"/>
  <c r="L95" s="1"/>
  <c r="K21"/>
  <c r="K13" s="1"/>
  <c r="K95" s="1"/>
  <c r="J21"/>
  <c r="J13" s="1"/>
  <c r="J95" s="1"/>
  <c r="G21" l="1"/>
  <c r="I95"/>
  <c r="G13"/>
  <c r="J101"/>
  <c r="J106" s="1"/>
  <c r="L101"/>
  <c r="L106" s="1"/>
  <c r="L103" s="1"/>
  <c r="K101"/>
  <c r="K106" s="1"/>
  <c r="K103" s="1"/>
  <c r="G95"/>
  <c r="J15" i="3"/>
  <c r="J14" s="1"/>
  <c r="G19"/>
  <c r="G15" s="1"/>
  <c r="G14" s="1"/>
  <c r="G81" s="1"/>
  <c r="H84"/>
  <c r="J81" l="1"/>
  <c r="J84" s="1"/>
  <c r="J89" s="1"/>
  <c r="J86" s="1"/>
  <c r="J104" i="1" l="1"/>
  <c r="I101" i="2"/>
  <c r="I106" s="1"/>
  <c r="I103" s="1"/>
  <c r="E57" i="6"/>
  <c r="E56" s="1"/>
  <c r="E90" s="1"/>
  <c r="E93" s="1"/>
  <c r="E98" s="1"/>
  <c r="D61"/>
  <c r="D57" s="1"/>
  <c r="D56" s="1"/>
  <c r="D90" l="1"/>
  <c r="D93" s="1"/>
  <c r="D98" s="1"/>
  <c r="H86" i="3"/>
  <c r="H89"/>
  <c r="G89"/>
</calcChain>
</file>

<file path=xl/comments1.xml><?xml version="1.0" encoding="utf-8"?>
<comments xmlns="http://schemas.openxmlformats.org/spreadsheetml/2006/main">
  <authors>
    <author>KazVodHoz1</author>
  </authors>
  <commentLis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KazVodHoz1: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<sst xmlns="http://schemas.openxmlformats.org/spreadsheetml/2006/main" count="1961" uniqueCount="276">
  <si>
    <t>Наименование показателей*</t>
  </si>
  <si>
    <t>I</t>
  </si>
  <si>
    <t>тыс. тенге</t>
  </si>
  <si>
    <t>Материальные затраты, всего </t>
  </si>
  <si>
    <t>в том числе:</t>
  </si>
  <si>
    <t>-//-</t>
  </si>
  <si>
    <t>энергия</t>
  </si>
  <si>
    <t>Затраты на оплату труда, всего</t>
  </si>
  <si>
    <t>заработная плата</t>
  </si>
  <si>
    <t>социальный налог</t>
  </si>
  <si>
    <t>Амортизация</t>
  </si>
  <si>
    <t>Ремонт, всего</t>
  </si>
  <si>
    <t>капитальный ремонт, не приводящий к увеличению стоимости основных средств</t>
  </si>
  <si>
    <t>Прочие затраты, всего</t>
  </si>
  <si>
    <t>выплаты, в случаях, когда постоянная работа протекает в пути или имеет разъездной характер</t>
  </si>
  <si>
    <t>затраты на биомелиорацию</t>
  </si>
  <si>
    <t>затраты на поверку и аттестацию приборов учета, лабораторий, обслед. энергооборудования</t>
  </si>
  <si>
    <t>дератизационные, дезинфекционные, дезинсекционные работы</t>
  </si>
  <si>
    <t>охрана труда и техника безопасности</t>
  </si>
  <si>
    <t>услуги связи</t>
  </si>
  <si>
    <t>другие затраты (необходимо расшифровать)</t>
  </si>
  <si>
    <t>II</t>
  </si>
  <si>
    <t>Расходы периода, всего</t>
  </si>
  <si>
    <t>Общие и административные, всего</t>
  </si>
  <si>
    <t>заработная плата административного персонала</t>
  </si>
  <si>
    <t>услуги банка</t>
  </si>
  <si>
    <t>амортизация</t>
  </si>
  <si>
    <t>расходы на содержание и обслуживание технических средств управления, узлов связи, вычислительной техники и т.д.</t>
  </si>
  <si>
    <t>коммунальные услуги</t>
  </si>
  <si>
    <t>услуги сторонних организаций</t>
  </si>
  <si>
    <t>командировочные расходы</t>
  </si>
  <si>
    <t>представительские расходы, связь, периодическая печать и т.д.</t>
  </si>
  <si>
    <t>аренда основных средств общехозяйственного назначения</t>
  </si>
  <si>
    <t>налоги</t>
  </si>
  <si>
    <t>плата за пользование водными ресурсами поверхностных источников</t>
  </si>
  <si>
    <t>платежи в фонд охраны природы</t>
  </si>
  <si>
    <t>другие расходы (необходимо расшифровать)</t>
  </si>
  <si>
    <t>Расходы на выплату вознаграждений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</si>
  <si>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</si>
  <si>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</si>
  <si>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</si>
  <si>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</si>
  <si>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</si>
  <si>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</si>
  <si>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</si>
  <si>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VII</t>
  </si>
  <si>
    <t>%</t>
  </si>
  <si>
    <t>VIII</t>
  </si>
  <si>
    <t>Тариф (без НДС)</t>
  </si>
  <si>
    <t>Справочно:</t>
  </si>
  <si>
    <t>Среднесписочная численность работников, всего</t>
  </si>
  <si>
    <t>человек</t>
  </si>
  <si>
    <t>производственного персонала</t>
  </si>
  <si>
    <t>административного персонала</t>
  </si>
  <si>
    <t>Среднемесячная заработная плата, всего</t>
  </si>
  <si>
    <t>тенге</t>
  </si>
  <si>
    <t>Капитальный ремонт, приводящий к увеличению стоимости основных средств</t>
  </si>
  <si>
    <t>Затраты, осуществляемые за счет прибыли (необходимо расшифровать)</t>
  </si>
  <si>
    <t>Текущий (планово-предупредительный) ремонт, выполняемый хозяйственным способом</t>
  </si>
  <si>
    <t>материалы на ремонт</t>
  </si>
  <si>
    <t>Коммерческие (сверхнормативные) потери</t>
  </si>
  <si>
    <t>  *- затраты при необходимости могут быть расширены или дополнены</t>
  </si>
  <si>
    <t>Подпись ______________________________________________ </t>
  </si>
  <si>
    <t>       (Руководитель субъекта естественной монополии)</t>
  </si>
  <si>
    <t>М.П.</t>
  </si>
  <si>
    <t>N п/п</t>
  </si>
  <si>
    <t>1.1</t>
  </si>
  <si>
    <t>2</t>
  </si>
  <si>
    <t>2.1</t>
  </si>
  <si>
    <t>2.2</t>
  </si>
  <si>
    <t>3</t>
  </si>
  <si>
    <t>4</t>
  </si>
  <si>
    <t>4.1</t>
  </si>
  <si>
    <t>5</t>
  </si>
  <si>
    <t>5.1</t>
  </si>
  <si>
    <t>5.2</t>
  </si>
  <si>
    <t>5.3</t>
  </si>
  <si>
    <t>5.4</t>
  </si>
  <si>
    <t>5.5</t>
  </si>
  <si>
    <t>5.6</t>
  </si>
  <si>
    <t>5.7</t>
  </si>
  <si>
    <t>6</t>
  </si>
  <si>
    <t>6.1</t>
  </si>
  <si>
    <t>6.2</t>
  </si>
  <si>
    <t>6.3</t>
  </si>
  <si>
    <t>6.4</t>
  </si>
  <si>
    <t>7</t>
  </si>
  <si>
    <t>8</t>
  </si>
  <si>
    <t>8.1</t>
  </si>
  <si>
    <t>8.2</t>
  </si>
  <si>
    <t>9</t>
  </si>
  <si>
    <t>9.1</t>
  </si>
  <si>
    <t>9.2</t>
  </si>
  <si>
    <t>10</t>
  </si>
  <si>
    <t>11</t>
  </si>
  <si>
    <t>12</t>
  </si>
  <si>
    <t>12.1</t>
  </si>
  <si>
    <t>12.2</t>
  </si>
  <si>
    <t>12.3</t>
  </si>
  <si>
    <t>13</t>
  </si>
  <si>
    <r>
      <t>тыс. м </t>
    </r>
    <r>
      <rPr>
        <b/>
        <vertAlign val="superscript"/>
        <sz val="12"/>
        <color rgb="FF000000"/>
        <rFont val="Times New Roman"/>
        <family val="1"/>
        <charset val="204"/>
      </rPr>
      <t>3</t>
    </r>
  </si>
  <si>
    <r>
      <t>тенге/м </t>
    </r>
    <r>
      <rPr>
        <b/>
        <vertAlign val="superscript"/>
        <sz val="12"/>
        <color rgb="FF000000"/>
        <rFont val="Times New Roman"/>
        <family val="1"/>
        <charset val="204"/>
      </rPr>
      <t>3</t>
    </r>
  </si>
  <si>
    <r>
      <t>тыс. м 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</si>
  <si>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Тарифная смета</t>
  </si>
  <si>
    <t>Ед. изм.</t>
  </si>
  <si>
    <t>Принято в действующей тарифной смете</t>
  </si>
  <si>
    <t>Фактические показатели  за предшествующий законченный год</t>
  </si>
  <si>
    <t>Фактические показатели  за предшествующие 4  законченных квартала</t>
  </si>
  <si>
    <t>Проект  тарифной сметы субъекта</t>
  </si>
  <si>
    <t xml:space="preserve">за весь период реализации проекта, в т.ч. </t>
  </si>
  <si>
    <t>1-ый (базовый) год реализации проекта</t>
  </si>
  <si>
    <t>2-ой год реализации проекта</t>
  </si>
  <si>
    <t>3-й год реализации проекта</t>
  </si>
  <si>
    <t>4-й год реализации проекта</t>
  </si>
  <si>
    <t>5-й год реализации проекта</t>
  </si>
  <si>
    <t xml:space="preserve">к Правилам утверждения предельного </t>
  </si>
  <si>
    <t xml:space="preserve"> уровня тарифов (цен, ставок, сборов)</t>
  </si>
  <si>
    <t xml:space="preserve">и тарифных смет на регулируемые услуги  </t>
  </si>
  <si>
    <t xml:space="preserve"> (товары, работы) СЕМ</t>
  </si>
  <si>
    <t xml:space="preserve">Мангистауского филиала РГП "Казводхоз" по подаче питьевой воды </t>
  </si>
  <si>
    <r>
      <t xml:space="preserve">распределительными сетями аулов </t>
    </r>
    <r>
      <rPr>
        <b/>
        <sz val="12"/>
        <color rgb="FFC00000"/>
        <rFont val="Times New Roman"/>
        <family val="1"/>
        <charset val="204"/>
      </rPr>
      <t>Акшымырау и Кызан</t>
    </r>
    <r>
      <rPr>
        <sz val="12"/>
        <color theme="1"/>
        <rFont val="Times New Roman"/>
        <family val="1"/>
        <charset val="204"/>
      </rPr>
      <t xml:space="preserve"> на 2016-2020 годы</t>
    </r>
  </si>
  <si>
    <t>2.3</t>
  </si>
  <si>
    <t>социальное отчисление</t>
  </si>
  <si>
    <t>5.8</t>
  </si>
  <si>
    <t>5.9</t>
  </si>
  <si>
    <t>санитарно-гигиеничесикие исследования</t>
  </si>
  <si>
    <t>аренда транспорта</t>
  </si>
  <si>
    <t>5.10</t>
  </si>
  <si>
    <t>5.11</t>
  </si>
  <si>
    <t>5.12</t>
  </si>
  <si>
    <t>страхование</t>
  </si>
  <si>
    <t>соблюдение пожарной безопасности</t>
  </si>
  <si>
    <t>консультационные услуги</t>
  </si>
  <si>
    <t>аудиторские услуги</t>
  </si>
  <si>
    <t>6.2.1</t>
  </si>
  <si>
    <r>
      <t xml:space="preserve">распределительными сетями аулов </t>
    </r>
    <r>
      <rPr>
        <b/>
        <sz val="12"/>
        <color rgb="FFC00000"/>
        <rFont val="Times New Roman"/>
        <family val="1"/>
        <charset val="204"/>
      </rPr>
      <t>Ақжігіт, Сыңғырлау, Тәжен, Ақшымырау</t>
    </r>
    <r>
      <rPr>
        <sz val="12"/>
        <color theme="1"/>
        <rFont val="Times New Roman"/>
        <family val="1"/>
        <charset val="204"/>
      </rPr>
      <t xml:space="preserve"> на 2016-2020 годы</t>
    </r>
  </si>
  <si>
    <t>5.13</t>
  </si>
  <si>
    <t>канц. товары</t>
  </si>
  <si>
    <t>технические услуги</t>
  </si>
  <si>
    <t>информационные услуги</t>
  </si>
  <si>
    <r>
      <t xml:space="preserve">распределительными сетями аулов </t>
    </r>
    <r>
      <rPr>
        <b/>
        <sz val="12"/>
        <color rgb="FFC00000"/>
        <rFont val="Times New Roman"/>
        <family val="1"/>
        <charset val="204"/>
      </rPr>
      <t>Басқұдық, Бекі</t>
    </r>
    <r>
      <rPr>
        <sz val="12"/>
        <color theme="1"/>
        <rFont val="Times New Roman"/>
        <family val="1"/>
        <charset val="204"/>
      </rPr>
      <t xml:space="preserve"> на 2016-2020 годы</t>
    </r>
  </si>
  <si>
    <t>Приложение 3</t>
  </si>
  <si>
    <t xml:space="preserve">от 17 июля 2013 года № 213-ОД </t>
  </si>
  <si>
    <t>Затраты на производство товаров и предоставление услуг, всего</t>
  </si>
  <si>
    <t>сырье и материалы</t>
  </si>
  <si>
    <t>1.2</t>
  </si>
  <si>
    <t>1.3</t>
  </si>
  <si>
    <t>ГСМ</t>
  </si>
  <si>
    <t>1.4</t>
  </si>
  <si>
    <t xml:space="preserve">топливо </t>
  </si>
  <si>
    <t>1.5</t>
  </si>
  <si>
    <t>Расходы на оплату труда, всего</t>
  </si>
  <si>
    <t>заработная плата производственного перс</t>
  </si>
  <si>
    <t>Прочие затраты (расшифровать), всего</t>
  </si>
  <si>
    <t>Налоги</t>
  </si>
  <si>
    <t>Прочие расходы (расшифровать)</t>
  </si>
  <si>
    <t>Всего затрат на услуги</t>
  </si>
  <si>
    <t>IX</t>
  </si>
  <si>
    <t>Среднесписочная численность персонала, всего</t>
  </si>
  <si>
    <t xml:space="preserve">производственного </t>
  </si>
  <si>
    <t xml:space="preserve">административного </t>
  </si>
  <si>
    <t>Текущий (планово-предупредительный) ремонт, выполняемый хозяйственным способом, всего</t>
  </si>
  <si>
    <t>покупные изделия - вода</t>
  </si>
  <si>
    <t>покупные изделия -вода</t>
  </si>
  <si>
    <t>Общие и административные расх, всего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</si>
  <si>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</si>
  <si>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</si>
  <si>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</si>
  <si>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</si>
  <si>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</si>
  <si>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</si>
  <si>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</si>
  <si>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</si>
  <si>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</si>
  <si>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</si>
  <si>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</si>
  <si>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</si>
  <si>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</si>
  <si>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6.4.14</t>
  </si>
  <si>
    <t>6.4.15</t>
  </si>
  <si>
    <t>6.4.16</t>
  </si>
  <si>
    <t>6.4.17</t>
  </si>
  <si>
    <t>6.4.18</t>
  </si>
  <si>
    <t>6.4.19</t>
  </si>
  <si>
    <t>топливо</t>
  </si>
  <si>
    <t>запчасти</t>
  </si>
  <si>
    <t>эл/энергия</t>
  </si>
  <si>
    <t>6.4.20</t>
  </si>
  <si>
    <t>6.4.21</t>
  </si>
  <si>
    <t>6.4.22</t>
  </si>
  <si>
    <t>6.4.23</t>
  </si>
  <si>
    <t>Нормативно - технические потери</t>
  </si>
  <si>
    <t>6.4.24</t>
  </si>
  <si>
    <t>6.4.25</t>
  </si>
  <si>
    <t>канцелярские товары</t>
  </si>
  <si>
    <t>затраты на биомелиорацию (обсл техсостояния водопровода)</t>
  </si>
  <si>
    <r>
      <t xml:space="preserve">консультационные услуги </t>
    </r>
    <r>
      <rPr>
        <b/>
        <i/>
        <sz val="12"/>
        <color rgb="FF0070C0"/>
        <rFont val="Times New Roman"/>
        <family val="1"/>
        <charset val="204"/>
      </rPr>
      <t>(экспертизы)</t>
    </r>
  </si>
  <si>
    <t xml:space="preserve">Доход </t>
  </si>
  <si>
    <t>Регулируемая база задейств актив</t>
  </si>
  <si>
    <t xml:space="preserve">плата за пользование водными ресурсами поверхностных источников </t>
  </si>
  <si>
    <t>Доходы</t>
  </si>
  <si>
    <t>Нормативно-технические потери</t>
  </si>
  <si>
    <t>санитарно-гигиенические исследования</t>
  </si>
  <si>
    <t xml:space="preserve">ПРОГНОЗНЫЕ ТАРИФНЫЕ СМЕТЫ С УЧЕТОМ РЕАЛИЗАЦИИ МЕРОПРИЯТИЙ ИНВЕСТИЦИОННОЙ ПРОГРАММЫ НА </t>
  </si>
  <si>
    <t>2016-2020 ГГ. ПО ВИДАМ РЕГУЛИРУЕМЫХ УСЛУГ</t>
  </si>
  <si>
    <t>Фактические показатели  за предшествующие 4  законченных квартала (принимаем за 2015год)</t>
  </si>
  <si>
    <t>ПРИЛОЖЕНИЕ 3</t>
  </si>
  <si>
    <t>Прогнозная тарифная смета</t>
  </si>
  <si>
    <t xml:space="preserve"> </t>
  </si>
  <si>
    <t>зап.части</t>
  </si>
  <si>
    <t>переоценка</t>
  </si>
  <si>
    <t>водоснабжение и канализация</t>
  </si>
  <si>
    <t>заключение э\экспертизы</t>
  </si>
  <si>
    <t>консультационные услуги (экспертизы)</t>
  </si>
  <si>
    <t>повышение квалификации</t>
  </si>
  <si>
    <t>заключение фин\экспертизы</t>
  </si>
  <si>
    <t>тех.экспертизы</t>
  </si>
  <si>
    <t>составление инв.программы</t>
  </si>
  <si>
    <t>методика раздельного учета</t>
  </si>
  <si>
    <t>услуги по договорам ГПХ</t>
  </si>
  <si>
    <t>5.14</t>
  </si>
  <si>
    <t>5,1</t>
  </si>
  <si>
    <t>5,2</t>
  </si>
  <si>
    <t>5,3</t>
  </si>
  <si>
    <t>5,4</t>
  </si>
  <si>
    <t>5,5</t>
  </si>
  <si>
    <t>5,6</t>
  </si>
  <si>
    <t>5,7</t>
  </si>
  <si>
    <t>5,8</t>
  </si>
  <si>
    <t>5,9</t>
  </si>
  <si>
    <t>5,10</t>
  </si>
  <si>
    <t>аренда автотранспорта</t>
  </si>
  <si>
    <t>заключение фин.экспертизы</t>
  </si>
  <si>
    <t>тех.экспертиза</t>
  </si>
  <si>
    <t>Прочие материалы</t>
  </si>
  <si>
    <t>5,11</t>
  </si>
  <si>
    <t>5,12</t>
  </si>
  <si>
    <t>5,13</t>
  </si>
  <si>
    <t>5,14</t>
  </si>
  <si>
    <t>5,15</t>
  </si>
  <si>
    <t>5,16</t>
  </si>
  <si>
    <t>5,17</t>
  </si>
  <si>
    <t>5,18</t>
  </si>
  <si>
    <t>5,19</t>
  </si>
  <si>
    <t>5,20</t>
  </si>
  <si>
    <t>5,21</t>
  </si>
  <si>
    <t>Среднесписочная численность</t>
  </si>
  <si>
    <t>Г/В Акжигит-Майлы</t>
  </si>
  <si>
    <t>Г/В Казба-Кызан-Акшымырау</t>
  </si>
  <si>
    <t>Г/В Баскудук-Беки</t>
  </si>
  <si>
    <t>М/В Акшукур-С.Шапагатов</t>
  </si>
  <si>
    <r>
      <t>тыс. м 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</si>
  <si>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r>
      <t>тенге/м 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</si>
  <si>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Утвержденная тарифная смета на 2018г</t>
  </si>
  <si>
    <t>Мангистауского филиала РГП "Казводхоз"</t>
  </si>
  <si>
    <t>персонала, всего</t>
  </si>
  <si>
    <t>5,22</t>
  </si>
  <si>
    <t>5,23</t>
  </si>
  <si>
    <t>5,24</t>
  </si>
  <si>
    <t>Директор</t>
  </si>
  <si>
    <t>Батрышев Г.М.</t>
  </si>
  <si>
    <t>Экономист</t>
  </si>
  <si>
    <t>Бихасимова Е.Т.</t>
  </si>
  <si>
    <t>утвержденная тарифная смета на 2018 год (25.10.2016г )</t>
  </si>
  <si>
    <t>Отклонение</t>
  </si>
  <si>
    <t>Причины отклонение</t>
  </si>
  <si>
    <t>по штату</t>
  </si>
  <si>
    <t>ведутся работы</t>
  </si>
  <si>
    <t>введен ОСМС</t>
  </si>
  <si>
    <t>отменен</t>
  </si>
  <si>
    <t>пересчитана</t>
  </si>
  <si>
    <t>по штатному расписанию</t>
  </si>
  <si>
    <t>по плану</t>
  </si>
  <si>
    <t>по договору на 2018г.</t>
  </si>
  <si>
    <t>Факт за 5 месяцев</t>
  </si>
  <si>
    <t xml:space="preserve">Исполнение тарифной сметы по регулируемой услуге за 2 полугодие 2018 года 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</si>
</sst>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b/>
      <i/>
      <sz val="12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/>
    <xf numFmtId="2" fontId="2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3" fillId="0" borderId="0" xfId="0" applyFont="1"/>
    <xf numFmtId="0" fontId="2" fillId="0" borderId="1" xfId="0" applyFont="1" applyFill="1" applyBorder="1" applyAlignment="1">
      <alignment vertical="center"/>
    </xf>
    <xf numFmtId="0" fontId="14" fillId="0" borderId="0" xfId="0" applyFont="1"/>
    <xf numFmtId="2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0" fontId="15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2" fontId="17" fillId="0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2" fontId="1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21" fillId="0" borderId="0" xfId="0" applyFont="1"/>
    <xf numFmtId="4" fontId="2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0" xfId="0" applyFont="1" applyAlignment="1">
      <alignment wrapText="1"/>
    </xf>
    <xf numFmtId="0" fontId="26" fillId="2" borderId="1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vertical="center"/>
    </xf>
    <xf numFmtId="4" fontId="17" fillId="5" borderId="1" xfId="0" applyNumberFormat="1" applyFont="1" applyFill="1" applyBorder="1" applyAlignment="1">
      <alignment vertical="center"/>
    </xf>
    <xf numFmtId="0" fontId="0" fillId="4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16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right" vertical="center" wrapText="1"/>
    </xf>
    <xf numFmtId="2" fontId="18" fillId="7" borderId="1" xfId="0" applyNumberFormat="1" applyFont="1" applyFill="1" applyBorder="1" applyAlignment="1">
      <alignment vertical="center"/>
    </xf>
    <xf numFmtId="2" fontId="10" fillId="7" borderId="1" xfId="0" applyNumberFormat="1" applyFont="1" applyFill="1" applyBorder="1" applyAlignment="1">
      <alignment vertical="center"/>
    </xf>
    <xf numFmtId="0" fontId="0" fillId="7" borderId="0" xfId="0" applyFill="1"/>
    <xf numFmtId="0" fontId="15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0" fillId="8" borderId="0" xfId="0" applyFill="1"/>
    <xf numFmtId="0" fontId="2" fillId="8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top" wrapText="1"/>
    </xf>
    <xf numFmtId="2" fontId="16" fillId="8" borderId="2" xfId="0" applyNumberFormat="1" applyFont="1" applyFill="1" applyBorder="1" applyAlignment="1">
      <alignment horizontal="right" vertical="center" wrapText="1"/>
    </xf>
    <xf numFmtId="2" fontId="4" fillId="8" borderId="2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vertical="center" wrapText="1"/>
    </xf>
    <xf numFmtId="2" fontId="4" fillId="8" borderId="1" xfId="0" applyNumberFormat="1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center" wrapText="1"/>
    </xf>
    <xf numFmtId="2" fontId="17" fillId="8" borderId="1" xfId="0" applyNumberFormat="1" applyFont="1" applyFill="1" applyBorder="1" applyAlignment="1">
      <alignment horizontal="right" vertical="center" wrapText="1"/>
    </xf>
    <xf numFmtId="2" fontId="18" fillId="8" borderId="1" xfId="0" applyNumberFormat="1" applyFont="1" applyFill="1" applyBorder="1" applyAlignment="1">
      <alignment horizontal="right" vertical="center" wrapText="1"/>
    </xf>
    <xf numFmtId="2" fontId="18" fillId="8" borderId="1" xfId="0" applyNumberFormat="1" applyFont="1" applyFill="1" applyBorder="1" applyAlignment="1">
      <alignment vertical="center"/>
    </xf>
    <xf numFmtId="2" fontId="20" fillId="8" borderId="1" xfId="0" applyNumberFormat="1" applyFont="1" applyFill="1" applyBorder="1" applyAlignment="1">
      <alignment horizontal="right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right" vertical="center" wrapText="1"/>
    </xf>
    <xf numFmtId="2" fontId="2" fillId="8" borderId="0" xfId="0" applyNumberFormat="1" applyFont="1" applyFill="1"/>
    <xf numFmtId="2" fontId="17" fillId="8" borderId="1" xfId="0" applyNumberFormat="1" applyFont="1" applyFill="1" applyBorder="1" applyAlignment="1">
      <alignment vertical="center"/>
    </xf>
    <xf numFmtId="2" fontId="16" fillId="8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2" fontId="4" fillId="8" borderId="1" xfId="0" applyNumberFormat="1" applyFont="1" applyFill="1" applyBorder="1" applyAlignment="1">
      <alignment horizontal="right" vertical="center" wrapText="1"/>
    </xf>
    <xf numFmtId="2" fontId="20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right" vertical="center" wrapText="1"/>
    </xf>
    <xf numFmtId="0" fontId="20" fillId="8" borderId="1" xfId="0" applyFont="1" applyFill="1" applyBorder="1" applyAlignment="1">
      <alignment vertical="center"/>
    </xf>
    <xf numFmtId="2" fontId="16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top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right" vertical="center" wrapText="1"/>
    </xf>
    <xf numFmtId="0" fontId="24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center"/>
    </xf>
    <xf numFmtId="2" fontId="25" fillId="8" borderId="1" xfId="0" applyNumberFormat="1" applyFont="1" applyFill="1" applyBorder="1" applyAlignment="1">
      <alignment vertical="center"/>
    </xf>
    <xf numFmtId="2" fontId="24" fillId="8" borderId="1" xfId="0" applyNumberFormat="1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4" fontId="26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right" vertical="center" wrapText="1"/>
    </xf>
    <xf numFmtId="2" fontId="10" fillId="8" borderId="2" xfId="0" applyNumberFormat="1" applyFont="1" applyFill="1" applyBorder="1" applyAlignment="1">
      <alignment horizontal="right" vertical="center" wrapText="1"/>
    </xf>
    <xf numFmtId="2" fontId="10" fillId="8" borderId="1" xfId="0" applyNumberFormat="1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right" vertical="center" wrapText="1"/>
    </xf>
    <xf numFmtId="2" fontId="10" fillId="8" borderId="1" xfId="0" applyNumberFormat="1" applyFont="1" applyFill="1" applyBorder="1" applyAlignment="1">
      <alignment horizontal="right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" fontId="18" fillId="8" borderId="1" xfId="0" applyNumberFormat="1" applyFont="1" applyFill="1" applyBorder="1" applyAlignment="1">
      <alignment vertical="center"/>
    </xf>
    <xf numFmtId="1" fontId="18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 wrapText="1"/>
    </xf>
    <xf numFmtId="0" fontId="1" fillId="8" borderId="0" xfId="0" applyFont="1" applyFill="1"/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2" fontId="18" fillId="8" borderId="0" xfId="0" applyNumberFormat="1" applyFont="1" applyFill="1"/>
    <xf numFmtId="0" fontId="28" fillId="8" borderId="1" xfId="0" applyFont="1" applyFill="1" applyBorder="1" applyAlignment="1">
      <alignment horizontal="right" vertical="center" wrapText="1"/>
    </xf>
    <xf numFmtId="0" fontId="28" fillId="8" borderId="1" xfId="0" applyFont="1" applyFill="1" applyBorder="1" applyAlignment="1">
      <alignment vertical="center"/>
    </xf>
    <xf numFmtId="2" fontId="28" fillId="8" borderId="1" xfId="0" applyNumberFormat="1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horizontal="right" vertical="center" wrapText="1"/>
    </xf>
    <xf numFmtId="0" fontId="14" fillId="8" borderId="0" xfId="0" applyFont="1" applyFill="1"/>
    <xf numFmtId="0" fontId="8" fillId="8" borderId="0" xfId="0" applyFont="1" applyFill="1"/>
    <xf numFmtId="0" fontId="29" fillId="8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2" fontId="18" fillId="8" borderId="5" xfId="0" applyNumberFormat="1" applyFont="1" applyFill="1" applyBorder="1" applyAlignment="1">
      <alignment vertical="center"/>
    </xf>
    <xf numFmtId="49" fontId="1" fillId="8" borderId="3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vertical="top" wrapText="1"/>
    </xf>
    <xf numFmtId="0" fontId="1" fillId="8" borderId="3" xfId="0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right" vertical="center" wrapText="1"/>
    </xf>
    <xf numFmtId="2" fontId="18" fillId="8" borderId="3" xfId="0" applyNumberFormat="1" applyFont="1" applyFill="1" applyBorder="1" applyAlignment="1">
      <alignment vertical="center"/>
    </xf>
    <xf numFmtId="0" fontId="18" fillId="8" borderId="3" xfId="0" applyFont="1" applyFill="1" applyBorder="1" applyAlignment="1">
      <alignment horizontal="right" vertical="center" wrapText="1"/>
    </xf>
    <xf numFmtId="0" fontId="18" fillId="8" borderId="3" xfId="0" applyFont="1" applyFill="1" applyBorder="1" applyAlignment="1">
      <alignment vertical="center"/>
    </xf>
    <xf numFmtId="49" fontId="1" fillId="8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right" vertical="center" wrapText="1"/>
    </xf>
    <xf numFmtId="0" fontId="18" fillId="8" borderId="6" xfId="0" applyFont="1" applyFill="1" applyBorder="1" applyAlignment="1">
      <alignment vertical="center"/>
    </xf>
    <xf numFmtId="2" fontId="18" fillId="8" borderId="6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1" fillId="8" borderId="0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top" wrapText="1"/>
    </xf>
    <xf numFmtId="0" fontId="1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right" vertical="center" wrapText="1"/>
    </xf>
    <xf numFmtId="0" fontId="18" fillId="8" borderId="0" xfId="0" applyFont="1" applyFill="1" applyBorder="1" applyAlignment="1">
      <alignment vertical="center"/>
    </xf>
    <xf numFmtId="2" fontId="18" fillId="8" borderId="0" xfId="0" applyNumberFormat="1" applyFont="1" applyFill="1" applyBorder="1" applyAlignment="1">
      <alignment vertical="center"/>
    </xf>
    <xf numFmtId="2" fontId="18" fillId="8" borderId="6" xfId="0" applyNumberFormat="1" applyFont="1" applyFill="1" applyBorder="1" applyAlignment="1">
      <alignment horizontal="right" vertical="center" wrapText="1"/>
    </xf>
    <xf numFmtId="49" fontId="1" fillId="8" borderId="3" xfId="0" applyNumberFormat="1" applyFont="1" applyFill="1" applyBorder="1" applyAlignment="1">
      <alignment horizontal="right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2" fontId="10" fillId="8" borderId="3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8" fillId="8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30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8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/>
    </xf>
    <xf numFmtId="2" fontId="18" fillId="2" borderId="1" xfId="0" applyNumberFormat="1" applyFont="1" applyFill="1" applyBorder="1" applyAlignment="1">
      <alignment vertical="center"/>
    </xf>
    <xf numFmtId="0" fontId="0" fillId="2" borderId="5" xfId="0" applyFill="1" applyBorder="1"/>
    <xf numFmtId="0" fontId="3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0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164" fontId="3" fillId="8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0" fillId="2" borderId="0" xfId="0" applyFill="1" applyBorder="1"/>
    <xf numFmtId="0" fontId="0" fillId="3" borderId="5" xfId="0" applyFill="1" applyBorder="1"/>
    <xf numFmtId="0" fontId="24" fillId="0" borderId="0" xfId="0" applyFont="1"/>
    <xf numFmtId="0" fontId="24" fillId="0" borderId="1" xfId="0" applyFont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5" fillId="0" borderId="7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vertical="top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8" fillId="8" borderId="1" xfId="0" applyFont="1" applyFill="1" applyBorder="1" applyAlignment="1">
      <alignment vertical="top" wrapText="1"/>
    </xf>
    <xf numFmtId="0" fontId="33" fillId="0" borderId="1" xfId="0" applyFont="1" applyBorder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9" fontId="35" fillId="8" borderId="1" xfId="0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vertical="top" wrapText="1"/>
    </xf>
    <xf numFmtId="0" fontId="38" fillId="8" borderId="1" xfId="0" applyFont="1" applyFill="1" applyBorder="1" applyAlignment="1">
      <alignment horizontal="center" vertical="center" wrapText="1"/>
    </xf>
    <xf numFmtId="2" fontId="35" fillId="8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right" vertical="center" wrapText="1"/>
    </xf>
    <xf numFmtId="49" fontId="38" fillId="8" borderId="1" xfId="0" applyNumberFormat="1" applyFont="1" applyFill="1" applyBorder="1" applyAlignment="1">
      <alignment horizontal="center" vertical="center" wrapText="1"/>
    </xf>
    <xf numFmtId="2" fontId="35" fillId="8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2" fontId="33" fillId="0" borderId="1" xfId="0" applyNumberFormat="1" applyFont="1" applyFill="1" applyBorder="1" applyAlignment="1">
      <alignment vertical="center"/>
    </xf>
    <xf numFmtId="49" fontId="39" fillId="8" borderId="1" xfId="0" applyNumberFormat="1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49" fontId="33" fillId="8" borderId="1" xfId="0" applyNumberFormat="1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/>
    </xf>
    <xf numFmtId="164" fontId="33" fillId="8" borderId="1" xfId="0" applyNumberFormat="1" applyFont="1" applyFill="1" applyBorder="1" applyAlignment="1">
      <alignment horizontal="center" vertical="center"/>
    </xf>
    <xf numFmtId="164" fontId="36" fillId="8" borderId="1" xfId="0" applyNumberFormat="1" applyFont="1" applyFill="1" applyBorder="1" applyAlignment="1">
      <alignment horizontal="center" vertical="center"/>
    </xf>
    <xf numFmtId="164" fontId="39" fillId="8" borderId="4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36" fillId="8" borderId="1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vertical="center"/>
    </xf>
    <xf numFmtId="0" fontId="35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 wrapText="1"/>
    </xf>
    <xf numFmtId="0" fontId="36" fillId="8" borderId="1" xfId="0" applyFont="1" applyFill="1" applyBorder="1" applyAlignment="1">
      <alignment horizontal="right" vertical="center" wrapText="1"/>
    </xf>
    <xf numFmtId="0" fontId="34" fillId="8" borderId="1" xfId="0" applyFont="1" applyFill="1" applyBorder="1" applyAlignment="1"/>
    <xf numFmtId="2" fontId="35" fillId="8" borderId="1" xfId="0" applyNumberFormat="1" applyFont="1" applyFill="1" applyBorder="1" applyAlignment="1">
      <alignment vertical="center"/>
    </xf>
    <xf numFmtId="0" fontId="38" fillId="8" borderId="1" xfId="0" applyFont="1" applyFill="1" applyBorder="1" applyAlignment="1">
      <alignment horizontal="left" vertical="top" wrapText="1"/>
    </xf>
    <xf numFmtId="2" fontId="33" fillId="8" borderId="1" xfId="0" applyNumberFormat="1" applyFont="1" applyFill="1" applyBorder="1" applyAlignment="1">
      <alignment vertical="center"/>
    </xf>
    <xf numFmtId="0" fontId="40" fillId="0" borderId="1" xfId="0" applyFont="1" applyBorder="1"/>
    <xf numFmtId="0" fontId="33" fillId="0" borderId="1" xfId="0" applyFont="1" applyBorder="1" applyAlignment="1">
      <alignment horizontal="center"/>
    </xf>
    <xf numFmtId="0" fontId="38" fillId="8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vertical="center"/>
    </xf>
    <xf numFmtId="0" fontId="40" fillId="0" borderId="0" xfId="0" applyFont="1"/>
    <xf numFmtId="2" fontId="34" fillId="8" borderId="1" xfId="0" applyNumberFormat="1" applyFont="1" applyFill="1" applyBorder="1" applyAlignment="1">
      <alignment vertical="center"/>
    </xf>
    <xf numFmtId="2" fontId="33" fillId="8" borderId="1" xfId="0" applyNumberFormat="1" applyFont="1" applyFill="1" applyBorder="1" applyAlignment="1">
      <alignment horizontal="center" vertical="center"/>
    </xf>
    <xf numFmtId="164" fontId="34" fillId="8" borderId="1" xfId="0" applyNumberFormat="1" applyFont="1" applyFill="1" applyBorder="1" applyAlignment="1">
      <alignment horizontal="center" vertical="center"/>
    </xf>
    <xf numFmtId="49" fontId="38" fillId="8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39" fillId="8" borderId="1" xfId="0" applyFont="1" applyFill="1" applyBorder="1" applyAlignment="1">
      <alignment horizontal="left" vertical="center" wrapText="1"/>
    </xf>
    <xf numFmtId="0" fontId="34" fillId="0" borderId="1" xfId="0" applyFont="1" applyBorder="1"/>
    <xf numFmtId="0" fontId="33" fillId="0" borderId="3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1" xfId="0" applyFont="1" applyBorder="1" applyAlignment="1"/>
    <xf numFmtId="0" fontId="40" fillId="0" borderId="1" xfId="0" applyFont="1" applyBorder="1" applyAlignment="1">
      <alignment horizontal="center"/>
    </xf>
    <xf numFmtId="0" fontId="33" fillId="0" borderId="2" xfId="0" applyFont="1" applyBorder="1" applyAlignment="1"/>
    <xf numFmtId="4" fontId="40" fillId="0" borderId="3" xfId="0" applyNumberFormat="1" applyFont="1" applyBorder="1" applyAlignment="1"/>
    <xf numFmtId="0" fontId="40" fillId="0" borderId="2" xfId="0" applyFont="1" applyBorder="1" applyAlignment="1"/>
    <xf numFmtId="0" fontId="40" fillId="0" borderId="3" xfId="0" applyFont="1" applyBorder="1" applyAlignment="1"/>
    <xf numFmtId="49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34" fillId="2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4" fillId="0" borderId="0" xfId="0" applyFont="1" applyFill="1" applyBorder="1"/>
    <xf numFmtId="0" fontId="33" fillId="2" borderId="1" xfId="0" applyFont="1" applyFill="1" applyBorder="1"/>
    <xf numFmtId="0" fontId="33" fillId="0" borderId="3" xfId="0" applyFont="1" applyBorder="1"/>
    <xf numFmtId="0" fontId="34" fillId="0" borderId="3" xfId="0" applyFont="1" applyBorder="1"/>
    <xf numFmtId="0" fontId="34" fillId="0" borderId="2" xfId="0" applyFont="1" applyBorder="1"/>
    <xf numFmtId="0" fontId="39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8" borderId="0" xfId="0" applyFont="1" applyFill="1" applyAlignment="1">
      <alignment horizontal="center"/>
    </xf>
    <xf numFmtId="0" fontId="1" fillId="8" borderId="0" xfId="0" applyFont="1" applyFill="1" applyAlignment="1">
      <alignment horizontal="right" vertical="center"/>
    </xf>
    <xf numFmtId="0" fontId="1" fillId="8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8" borderId="1" xfId="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top" wrapText="1"/>
    </xf>
    <xf numFmtId="0" fontId="37" fillId="8" borderId="8" xfId="0" applyFont="1" applyFill="1" applyBorder="1" applyAlignment="1">
      <alignment horizontal="center" vertical="top" wrapText="1"/>
    </xf>
    <xf numFmtId="0" fontId="37" fillId="8" borderId="7" xfId="0" applyFont="1" applyFill="1" applyBorder="1" applyAlignment="1">
      <alignment horizontal="center" vertical="top" wrapText="1"/>
    </xf>
    <xf numFmtId="0" fontId="39" fillId="8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vertical="center" wrapText="1"/>
    </xf>
    <xf numFmtId="0" fontId="37" fillId="8" borderId="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right" vertical="center"/>
    </xf>
    <xf numFmtId="1" fontId="3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0;&#1084;&#1086;&#1088;&#1090;&#1080;&#1079;&#1072;&#1094;&#1080;&#1103;/&#1042;&#1077;&#1076;&#1086;&#1084;&#1086;&#1089;&#1090;&#1100;%20&#1072;&#1084;&#1086;&#1088;&#1090;&#1080;&#1079;&#1072;&#1094;&#1080;&#1080;%202014&#10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87;&#1088;&#1080;&#1083;&#1086;&#1078;&#1077;&#1085;&#1080;&#1077;%20&#1055;&#1086;&#1082;&#1091;&#1087;&#1082;&#1072;%20&#1074;&#1086;&#1076;&#1099;/&#1054;&#1057;&#1042;%20&#1079;&#1072;&#1082;&#1086;&#1085;&#1095;&#1077;&#1085;&#1085;&#1099;&#1081;%20%204%20&#1082;&#1074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58;&#1040;&#1056;&#1048;&#1060;&#1067;/&#1044;&#1083;&#1103;%20&#1090;&#1072;&#1088;&#1080;&#1092;&#1072;%202016-2020/&#1055;&#1088;&#1086;&#1077;&#1082;&#1090;%20&#1058;&#1040;&#1056;&#1048;&#1060;&#1040;/&#1053;&#1054;&#1042;&#1040;&#1071;%20&#1092;&#1086;&#1088;&#1084;&#1072;%20&#1090;&#1072;&#1088;&#1080;&#1092;&#1072;/&#1050;&#1099;&#1079;&#1072;&#1085;%20&#1040;&#1082;&#1096;&#1099;&#1084;%20&#1087;&#1088;&#1080;&#1083;&#1086;&#1078;%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3;&#1057;&#1052;%20&#1080;%20&#1090;&#1086;&#1087;&#1083;&#1080;&#1074;&#1086;/&#1043;&#1057;&#1052;%202015/&#1050;&#1072;&#1088;&#1090;&#1089;&#1095;%207010%20&#1079;&#1072;%20&#1071;&#1085;&#1074;%20-%20&#1057;&#1077;&#1085;&#1090;%202015%20&#1075;.%20&#1043;&#1057;&#105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53;&#1072;&#1083;&#1086;&#1075;&#1080;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47;&#1072;%209%20&#1084;&#1077;&#1089;%202015%20&#1075;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54;&#1057;%20&#1079;&#1072;%20&#1057;&#1077;&#1085;&#1090;%202015%20&#1075;.%20&#1076;&#1083;&#1103;%20&#1074;&#1099;&#1095;&#1080;&#1089;%20&#1085;&#1072;&#1083;&#1086;&#1075;&#1072;%20&#1085;&#1072;%20&#1080;&#1084;&#1091;&#1097;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2;&#1072;&#1090;&#1077;&#1088;%20&#1079;&#1072;&#1090;&#1088;%20&#1080;%20&#1091;&#1089;&#1083;&#1091;&#1075;&#1072;%20&#1101;&#1083;&#1101;&#1085;&#1077;&#1088;&#1075;&#1080;&#1103;/&#1059;&#1089;&#1083;&#1091;&#1075;&#1080;/7.%20&#1101;&#1083;&#1101;&#1085;&#1077;&#1088;&#1075;%20&#1054;&#1057;&#1042;%20&#1089;&#1095;%207210%20&#1079;&#1072;%202014%20&#1075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2;&#1072;&#1090;&#1077;&#1088;%20&#1079;&#1072;&#1090;&#1088;%20&#1080;%20&#1091;&#1089;&#1083;&#1091;&#1075;&#1072;%20&#1101;&#1083;&#1101;&#1085;&#1077;&#1088;&#1075;&#1080;&#1103;/&#1059;&#1089;&#1083;&#1091;&#1075;&#1080;/&#1054;&#1057;&#1042;%207210%20&#1079;&#1072;%20&#1087;&#1077;&#1088;&#1080;&#1086;&#1076;%20&#1086;&#1082;&#1090;&#1103;&#1073;&#1088;&#1100;2014-&#1089;&#1077;&#1085;&#1090;%20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0;&#1084;&#1086;&#1088;&#1090;&#1080;&#1079;&#1072;&#1094;&#1080;&#1103;/&#1086;&#1090;%20&#1045;&#1088;&#1082;&#1077;&#1096;%20&#1040;&#1084;&#1086;&#1088;%20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0;&#1088;&#1077;&#1085;&#1076;&#1072;/&#1054;&#1057;&#1042;%20&#1089;&#1095;%207210%20&#1079;&#1072;%20&#1054;&#1082;&#1090;&#1103;&#1073;&#1088;&#1100;%202014%20&#1075;.%20-%20&#1057;&#1077;&#1085;&#1090;&#1103;&#1073;&#1088;&#1100;%202015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0;&#1084;&#1086;&#1088;&#1090;&#1080;&#1079;&#1072;&#1094;&#1080;&#1103;/&#1042;&#1077;&#1076;&#1086;&#1084;&#1086;&#1089;&#1090;&#1100;%20&#1072;&#1084;&#1086;&#1088;&#1090;&#1080;&#1079;&#1072;&#1094;&#1080;&#1080;%20&#1079;&#1072;%204%20&#1082;&#1074;&#1072;&#1088;&#1090;&#1072;&#108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4-&#1081;%20&#1082;&#1074;%20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54;&#1057;%20&#1079;&#1072;%20&#1057;&#1077;&#1085;&#1090;%202015%20&#1075;.%20&#1076;&#1083;&#1103;%20&#1074;&#1099;&#1095;&#1080;&#1089;%20&#1085;&#1072;&#1083;&#1086;&#1075;&#1072;%20&#1085;&#1072;%20&#1080;&#1084;&#1091;&#1097;%20&#1085;&#1072;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40;&#1084;&#1086;&#1088;&#1090;&#1080;&#1079;&#1072;&#1094;&#1080;&#1103;/&#1042;&#1077;&#1076;&#1086;&#1084;%20&#1072;&#1084;&#1086;&#1088;&#1090;%20&#1079;&#1072;%20&#1057;&#1077;&#1085;&#1090;&#1103;&#1073;&#1088;&#1100;%202015%20&#1075;.%20&#1076;&#1083;&#1103;%20&#1080;&#1089;&#1095;&#1080;&#1089;&#1083;%20&#1085;&#1072;%202016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53;&#1072;&#1083;&#1086;&#1075;&#1080;%20&#1054;&#1089;&#1085;%20&#1087;&#1088;%20&#1080;%20&#1040;&#1059;&#1055;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3;&#1072;&#1083;&#1086;&#1075;&#1080;/&#1047;&#1072;%209%20&#1084;&#1077;&#1089;%202015%20&#1080;%204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57;&#1059;&#1041;&#1057;&#1048;&#1044;&#1048;&#1071;/&#1057;&#1091;&#1073;&#1089;&#1080;&#1076;&#1080;&#1103;%20&#1053;&#1091;&#1088;&#1085;&#1080;&#1103;&#1079;/2015/&#1057;&#1042;&#1054;&#1044;&#1053;&#1067;&#1049;%20&#1056;&#1040;&#1057;&#1063;&#1045;&#1058;%20&#1047;&#1040;%20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57;&#1059;&#1041;&#1057;&#1048;&#1044;&#1048;&#1071;/&#1057;&#1091;&#1073;&#1089;&#1080;&#1076;&#1080;&#1103;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52;&#1072;&#1090;&#1077;&#1088;%20&#1079;&#1072;&#1090;&#1088;%20&#1080;%20&#1091;&#1089;&#1083;&#1091;&#1075;&#1072;%20&#1101;&#1083;&#1101;&#1085;&#1077;&#1088;&#1075;&#1080;&#1103;/&#1052;&#1072;&#1090;&#1077;&#1088;&#1080;&#1072;&#1083;&#1100;&#1085;&#1099;&#1077;/3.%20&#1052;&#1072;&#1090;&#1077;&#1088;%20&#1074;&#1077;&#1076;&#1086;&#1084;%201310%20&#1079;&#1072;%209%20&#1084;&#1077;&#1089;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XP/Application%20Data/Microsoft/Excel/&#1087;&#1088;&#1080;&#1083;&#1086;&#1078;&#1077;&#1085;&#1080;&#1077;%20&#1055;&#1086;&#1082;&#1091;&#1087;&#1082;&#1072;%20&#1074;&#1086;&#1076;&#1099;/&#1054;&#1057;&#1042;%20&#1079;&#1072;%202014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5">
          <cell r="H115">
            <v>3182290.87</v>
          </cell>
        </row>
        <row r="232">
          <cell r="H232">
            <v>9166638.5700000003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3">
          <cell r="G13">
            <v>1552822.88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83">
          <cell r="L83">
            <v>441.68953096758253</v>
          </cell>
        </row>
        <row r="84">
          <cell r="L84">
            <v>278.96180903215736</v>
          </cell>
          <cell r="M84">
            <v>757.2539224256443</v>
          </cell>
        </row>
        <row r="98">
          <cell r="M98">
            <v>3241.4333799999999</v>
          </cell>
        </row>
        <row r="104">
          <cell r="M104">
            <v>192.48633223668614</v>
          </cell>
          <cell r="N104">
            <v>203.26866160481194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J30">
            <v>534809.89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43">
          <cell r="I43">
            <v>164214.06</v>
          </cell>
          <cell r="J43">
            <v>164214.06</v>
          </cell>
        </row>
        <row r="45">
          <cell r="H45">
            <v>214848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F30">
            <v>71694</v>
          </cell>
        </row>
        <row r="41">
          <cell r="I41">
            <v>153561.5</v>
          </cell>
          <cell r="J41">
            <v>153561.5</v>
          </cell>
        </row>
        <row r="51">
          <cell r="F51">
            <v>60790</v>
          </cell>
        </row>
        <row r="54">
          <cell r="F54">
            <v>74169</v>
          </cell>
          <cell r="I54">
            <v>234184</v>
          </cell>
        </row>
        <row r="56">
          <cell r="F56">
            <v>621742</v>
          </cell>
          <cell r="I56">
            <v>1249237.46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293">
          <cell r="O293">
            <v>407830.70829000004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92">
          <cell r="F92">
            <v>808.96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8">
          <cell r="F118">
            <v>399996.91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22">
          <cell r="E22">
            <v>1242230.71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">
          <cell r="F11">
            <v>3392032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5">
          <cell r="H115">
            <v>3248838.5</v>
          </cell>
        </row>
        <row r="138">
          <cell r="H138">
            <v>1257090.2</v>
          </cell>
        </row>
        <row r="265">
          <cell r="H265">
            <v>2871772.74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8">
          <cell r="F18">
            <v>23899</v>
          </cell>
        </row>
        <row r="33">
          <cell r="F33">
            <v>316393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4">
          <cell r="O114">
            <v>144833.92462999999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5">
          <cell r="D115">
            <v>217444752.02000001</v>
          </cell>
        </row>
        <row r="170">
          <cell r="D170">
            <v>29553662.510000002</v>
          </cell>
        </row>
        <row r="274">
          <cell r="D274">
            <v>395145912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47">
          <cell r="H47">
            <v>671746.46</v>
          </cell>
        </row>
        <row r="49">
          <cell r="H49">
            <v>206261.89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58">
          <cell r="I58">
            <v>382739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Лист2"/>
      <sheetName val="Лист3"/>
      <sheetName val="Лист4"/>
      <sheetName val="Лист5"/>
      <sheetName val="Лист6"/>
      <sheetName val="Лист7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 "/>
      <sheetName val="октябрь"/>
      <sheetName val="ноябрь"/>
      <sheetName val="декабрь"/>
      <sheetName val="доп свод"/>
      <sheetName val="ДОП СВОД 2014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5">
          <cell r="D25">
            <v>6198.835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Лист2"/>
      <sheetName val="Лист3"/>
      <sheetName val="Лист4"/>
      <sheetName val="Лист5"/>
      <sheetName val="Лист6"/>
      <sheetName val="Лист7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 "/>
      <sheetName val="октябрь"/>
      <sheetName val="ноябрь"/>
      <sheetName val="декабрь"/>
      <sheetName val="доп свод"/>
      <sheetName val="ДОП СВОД 2014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7">
          <cell r="E17">
            <v>5.0199999999999996</v>
          </cell>
        </row>
        <row r="21">
          <cell r="E21">
            <v>4.5839999999999996</v>
          </cell>
        </row>
        <row r="25">
          <cell r="E25">
            <v>0.50900000000000001</v>
          </cell>
        </row>
      </sheetData>
      <sheetData sheetId="16" refreshError="1">
        <row r="17">
          <cell r="E17">
            <v>4.0600000000000005</v>
          </cell>
        </row>
        <row r="21">
          <cell r="E21">
            <v>4.2309999999999999</v>
          </cell>
        </row>
        <row r="25">
          <cell r="E25">
            <v>0.51900000000000002</v>
          </cell>
        </row>
      </sheetData>
      <sheetData sheetId="17" refreshError="1">
        <row r="17">
          <cell r="E17">
            <v>1.5737999999999999</v>
          </cell>
        </row>
        <row r="21">
          <cell r="E21">
            <v>3.8890000000000002</v>
          </cell>
        </row>
        <row r="25">
          <cell r="E25">
            <v>0.51900000000000002</v>
          </cell>
        </row>
      </sheetData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70">
          <cell r="T170">
            <v>1467.5285100000001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7">
          <cell r="G17">
            <v>1427419.84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6"/>
  <sheetViews>
    <sheetView workbookViewId="0">
      <selection activeCell="D109" sqref="D109"/>
    </sheetView>
  </sheetViews>
  <sheetFormatPr defaultRowHeight="15"/>
  <cols>
    <col min="1" max="1" width="6.85546875" customWidth="1"/>
    <col min="2" max="2" width="33.42578125" customWidth="1"/>
    <col min="3" max="3" width="9.140625" customWidth="1"/>
    <col min="4" max="4" width="9.28515625" customWidth="1"/>
    <col min="5" max="5" width="10.28515625" customWidth="1"/>
    <col min="6" max="6" width="10" customWidth="1"/>
    <col min="7" max="7" width="11.7109375" customWidth="1"/>
    <col min="8" max="8" width="10.42578125" style="99" customWidth="1"/>
    <col min="9" max="9" width="10.5703125" customWidth="1"/>
    <col min="10" max="10" width="11" customWidth="1"/>
    <col min="11" max="12" width="10.85546875" customWidth="1"/>
    <col min="13" max="13" width="5.85546875" customWidth="1"/>
    <col min="14" max="14" width="9.7109375" customWidth="1"/>
  </cols>
  <sheetData>
    <row r="2" spans="1:14" ht="1.5" customHeight="1"/>
    <row r="3" spans="1:14" hidden="1"/>
    <row r="5" spans="1:14" ht="15.75">
      <c r="A5" s="2"/>
      <c r="J5" s="376" t="s">
        <v>206</v>
      </c>
      <c r="K5" s="376"/>
      <c r="L5" s="376"/>
      <c r="M5" s="3"/>
    </row>
    <row r="6" spans="1:14" ht="15.75">
      <c r="A6" s="2"/>
      <c r="B6" s="378" t="s">
        <v>203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4"/>
      <c r="N6" s="4"/>
    </row>
    <row r="7" spans="1:14" ht="15.75">
      <c r="A7" s="2"/>
      <c r="B7" s="378" t="s">
        <v>204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4"/>
      <c r="N7" s="4"/>
    </row>
    <row r="8" spans="1:14" ht="16.5" customHeight="1">
      <c r="A8" s="377" t="s">
        <v>207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</row>
    <row r="9" spans="1:14" ht="16.5" customHeight="1">
      <c r="A9" s="374" t="s">
        <v>119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</row>
    <row r="10" spans="1:14" ht="16.5" customHeight="1">
      <c r="A10" s="375" t="s">
        <v>120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</row>
    <row r="11" spans="1:14" ht="9.75" customHeight="1">
      <c r="A11" s="191"/>
      <c r="B11" s="100"/>
      <c r="C11" s="100"/>
      <c r="D11" s="100"/>
      <c r="E11" s="99"/>
      <c r="F11" s="99"/>
      <c r="G11" s="99"/>
      <c r="I11" s="99"/>
      <c r="J11" s="99"/>
      <c r="K11" s="99"/>
      <c r="L11" s="99"/>
    </row>
    <row r="12" spans="1:14" ht="24.75" customHeight="1">
      <c r="A12" s="365" t="s">
        <v>65</v>
      </c>
      <c r="B12" s="367" t="s">
        <v>0</v>
      </c>
      <c r="C12" s="367" t="s">
        <v>104</v>
      </c>
      <c r="D12" s="362" t="s">
        <v>105</v>
      </c>
      <c r="E12" s="362" t="s">
        <v>106</v>
      </c>
      <c r="F12" s="362" t="s">
        <v>107</v>
      </c>
      <c r="G12" s="368" t="s">
        <v>108</v>
      </c>
      <c r="H12" s="368"/>
      <c r="I12" s="368"/>
      <c r="J12" s="368"/>
      <c r="K12" s="368"/>
      <c r="L12" s="368"/>
      <c r="N12" s="10"/>
    </row>
    <row r="13" spans="1:14" ht="135" customHeight="1">
      <c r="A13" s="365"/>
      <c r="B13" s="367"/>
      <c r="C13" s="367"/>
      <c r="D13" s="362"/>
      <c r="E13" s="362"/>
      <c r="F13" s="362"/>
      <c r="G13" s="188" t="s">
        <v>109</v>
      </c>
      <c r="H13" s="200" t="s">
        <v>110</v>
      </c>
      <c r="I13" s="188" t="s">
        <v>111</v>
      </c>
      <c r="J13" s="188" t="s">
        <v>112</v>
      </c>
      <c r="K13" s="188" t="s">
        <v>113</v>
      </c>
      <c r="L13" s="188" t="s">
        <v>114</v>
      </c>
    </row>
    <row r="14" spans="1:14" ht="15.75">
      <c r="A14" s="102">
        <v>1</v>
      </c>
      <c r="B14" s="102">
        <v>2</v>
      </c>
      <c r="C14" s="102">
        <v>3</v>
      </c>
      <c r="D14" s="102">
        <v>4</v>
      </c>
      <c r="E14" s="102">
        <v>5</v>
      </c>
      <c r="F14" s="102">
        <v>6</v>
      </c>
      <c r="G14" s="102">
        <v>7</v>
      </c>
      <c r="H14" s="102">
        <v>8</v>
      </c>
      <c r="I14" s="102">
        <v>9</v>
      </c>
      <c r="J14" s="102">
        <v>10</v>
      </c>
      <c r="K14" s="102">
        <v>11</v>
      </c>
      <c r="L14" s="102">
        <v>12</v>
      </c>
    </row>
    <row r="15" spans="1:14" ht="47.25">
      <c r="A15" s="189" t="s">
        <v>1</v>
      </c>
      <c r="B15" s="104" t="s">
        <v>143</v>
      </c>
      <c r="C15" s="189" t="s">
        <v>2</v>
      </c>
      <c r="D15" s="176">
        <f>D16+D24+D34+D35+D38+195</f>
        <v>24854</v>
      </c>
      <c r="E15" s="176">
        <f>E16+E24+E34+E35+E38</f>
        <v>27657</v>
      </c>
      <c r="F15" s="176">
        <f>F16+F24+F34+F35+F38</f>
        <v>27658</v>
      </c>
      <c r="G15" s="176">
        <v>292943</v>
      </c>
      <c r="H15" s="176">
        <f t="shared" ref="H15:L15" si="0">H16+H24+H34+H35+H38</f>
        <v>48632</v>
      </c>
      <c r="I15" s="176">
        <f t="shared" si="0"/>
        <v>52397</v>
      </c>
      <c r="J15" s="176">
        <f t="shared" si="0"/>
        <v>57819</v>
      </c>
      <c r="K15" s="176">
        <f t="shared" si="0"/>
        <v>63848</v>
      </c>
      <c r="L15" s="176">
        <f t="shared" si="0"/>
        <v>70247</v>
      </c>
    </row>
    <row r="16" spans="1:14" ht="24.75" customHeight="1">
      <c r="A16" s="371">
        <v>1</v>
      </c>
      <c r="B16" s="107" t="s">
        <v>3</v>
      </c>
      <c r="C16" s="108" t="s">
        <v>5</v>
      </c>
      <c r="D16" s="177">
        <f>D18+D19+D20+D21+D22</f>
        <v>4828</v>
      </c>
      <c r="E16" s="177">
        <f t="shared" ref="E16:L16" si="1">E18+E19+E20+E21+E22</f>
        <v>7553</v>
      </c>
      <c r="F16" s="177">
        <f t="shared" ref="F16" si="2">F18+F19+F20+F21+F22</f>
        <v>7553</v>
      </c>
      <c r="G16" s="177">
        <f>G18+G19+G20+G21+G22</f>
        <v>62120</v>
      </c>
      <c r="H16" s="177">
        <f t="shared" si="1"/>
        <v>9705</v>
      </c>
      <c r="I16" s="177">
        <f t="shared" si="1"/>
        <v>11088</v>
      </c>
      <c r="J16" s="177">
        <f t="shared" si="1"/>
        <v>12267</v>
      </c>
      <c r="K16" s="177">
        <f t="shared" si="1"/>
        <v>12990</v>
      </c>
      <c r="L16" s="177">
        <f t="shared" si="1"/>
        <v>16071</v>
      </c>
    </row>
    <row r="17" spans="1:21" ht="15.75">
      <c r="A17" s="372"/>
      <c r="B17" s="111" t="s">
        <v>4</v>
      </c>
      <c r="C17" s="187"/>
      <c r="D17" s="178"/>
      <c r="E17" s="174"/>
      <c r="F17" s="174"/>
      <c r="G17" s="174"/>
      <c r="H17" s="174"/>
      <c r="I17" s="174"/>
      <c r="J17" s="174"/>
      <c r="K17" s="174"/>
      <c r="L17" s="174"/>
    </row>
    <row r="18" spans="1:21" ht="15.75">
      <c r="A18" s="115" t="s">
        <v>66</v>
      </c>
      <c r="B18" s="116" t="s">
        <v>144</v>
      </c>
      <c r="C18" s="117" t="s">
        <v>5</v>
      </c>
      <c r="D18" s="119">
        <f>478+185</f>
        <v>663</v>
      </c>
      <c r="E18" s="119">
        <v>1467</v>
      </c>
      <c r="F18" s="119">
        <v>1467</v>
      </c>
      <c r="G18" s="120">
        <f>H18+I18+J18+K18+L18</f>
        <v>8846</v>
      </c>
      <c r="H18" s="119">
        <v>1570</v>
      </c>
      <c r="I18" s="119">
        <v>1680</v>
      </c>
      <c r="J18" s="119">
        <v>1781</v>
      </c>
      <c r="K18" s="119">
        <v>1870</v>
      </c>
      <c r="L18" s="119">
        <v>1945</v>
      </c>
      <c r="M18" s="15"/>
    </row>
    <row r="19" spans="1:21" s="1" customFormat="1" ht="15.75">
      <c r="A19" s="186" t="s">
        <v>145</v>
      </c>
      <c r="B19" s="111" t="s">
        <v>162</v>
      </c>
      <c r="C19" s="187" t="s">
        <v>5</v>
      </c>
      <c r="D19" s="119">
        <v>1675</v>
      </c>
      <c r="E19" s="174">
        <v>1553</v>
      </c>
      <c r="F19" s="174">
        <v>1553</v>
      </c>
      <c r="G19" s="120">
        <v>13822</v>
      </c>
      <c r="H19" s="120">
        <v>2220</v>
      </c>
      <c r="I19" s="120">
        <v>2496</v>
      </c>
      <c r="J19" s="120">
        <v>2596</v>
      </c>
      <c r="K19" s="120">
        <v>2700</v>
      </c>
      <c r="L19" s="120">
        <v>3810</v>
      </c>
      <c r="M19" s="99"/>
      <c r="N19" s="99"/>
      <c r="O19" s="99"/>
      <c r="P19" s="99"/>
      <c r="Q19" s="99"/>
      <c r="R19" s="99"/>
      <c r="S19" s="99"/>
      <c r="T19" s="99"/>
      <c r="U19" s="99"/>
    </row>
    <row r="20" spans="1:21" s="19" customFormat="1" ht="15.75">
      <c r="A20" s="186" t="s">
        <v>146</v>
      </c>
      <c r="B20" s="111" t="s">
        <v>147</v>
      </c>
      <c r="C20" s="187" t="s">
        <v>5</v>
      </c>
      <c r="D20" s="119"/>
      <c r="E20" s="182">
        <v>757</v>
      </c>
      <c r="F20" s="182">
        <v>757</v>
      </c>
      <c r="G20" s="174">
        <v>4565</v>
      </c>
      <c r="H20" s="120">
        <v>810</v>
      </c>
      <c r="I20" s="120">
        <v>867</v>
      </c>
      <c r="J20" s="120">
        <v>919</v>
      </c>
      <c r="K20" s="120">
        <v>965</v>
      </c>
      <c r="L20" s="120">
        <v>1004</v>
      </c>
    </row>
    <row r="21" spans="1:21" s="19" customFormat="1" ht="15.75">
      <c r="A21" s="186" t="s">
        <v>148</v>
      </c>
      <c r="B21" s="111" t="s">
        <v>149</v>
      </c>
      <c r="C21" s="187" t="s">
        <v>5</v>
      </c>
      <c r="D21" s="119">
        <v>860</v>
      </c>
      <c r="E21" s="174">
        <v>535</v>
      </c>
      <c r="F21" s="174">
        <v>535</v>
      </c>
      <c r="G21" s="174">
        <v>14503</v>
      </c>
      <c r="H21" s="120">
        <v>2522</v>
      </c>
      <c r="I21" s="174">
        <v>2699</v>
      </c>
      <c r="J21" s="174">
        <v>2887</v>
      </c>
      <c r="K21" s="174">
        <v>3090</v>
      </c>
      <c r="L21" s="174">
        <v>3306</v>
      </c>
      <c r="M21" s="12"/>
    </row>
    <row r="22" spans="1:21" s="19" customFormat="1" ht="15.75">
      <c r="A22" s="186" t="s">
        <v>150</v>
      </c>
      <c r="B22" s="111" t="s">
        <v>186</v>
      </c>
      <c r="C22" s="202"/>
      <c r="D22" s="119">
        <v>1630</v>
      </c>
      <c r="E22" s="174">
        <v>3241</v>
      </c>
      <c r="F22" s="174">
        <v>3241</v>
      </c>
      <c r="G22" s="120">
        <f>H22+I22+J22+K22+L22</f>
        <v>20384</v>
      </c>
      <c r="H22" s="120">
        <v>2583</v>
      </c>
      <c r="I22" s="120">
        <v>3346</v>
      </c>
      <c r="J22" s="120">
        <v>4084</v>
      </c>
      <c r="K22" s="120">
        <v>4365</v>
      </c>
      <c r="L22" s="120">
        <v>6006</v>
      </c>
      <c r="M22" s="15"/>
    </row>
    <row r="23" spans="1:21" s="19" customFormat="1" ht="15.75">
      <c r="A23" s="186"/>
      <c r="B23" s="111"/>
      <c r="C23" s="202"/>
      <c r="D23" s="119"/>
      <c r="E23" s="174"/>
      <c r="F23" s="174"/>
      <c r="G23" s="120"/>
      <c r="H23" s="174"/>
      <c r="I23" s="174"/>
      <c r="J23" s="174"/>
      <c r="K23" s="174"/>
      <c r="L23" s="174"/>
    </row>
    <row r="24" spans="1:21" ht="31.5">
      <c r="A24" s="190" t="s">
        <v>67</v>
      </c>
      <c r="B24" s="107" t="s">
        <v>151</v>
      </c>
      <c r="C24" s="108" t="s">
        <v>5</v>
      </c>
      <c r="D24" s="175">
        <f>D26+D27+D28</f>
        <v>14128</v>
      </c>
      <c r="E24" s="175">
        <f t="shared" ref="E24:L24" si="3">E26+E27+E28</f>
        <v>13773</v>
      </c>
      <c r="F24" s="175">
        <f t="shared" ref="F24" si="4">F26+F27+F28</f>
        <v>13773</v>
      </c>
      <c r="G24" s="175">
        <f t="shared" si="3"/>
        <v>149155</v>
      </c>
      <c r="H24" s="175">
        <f t="shared" si="3"/>
        <v>26476</v>
      </c>
      <c r="I24" s="175">
        <f t="shared" si="3"/>
        <v>28329</v>
      </c>
      <c r="J24" s="175">
        <f t="shared" si="3"/>
        <v>30029</v>
      </c>
      <c r="K24" s="175">
        <f t="shared" si="3"/>
        <v>31531</v>
      </c>
      <c r="L24" s="175">
        <f t="shared" si="3"/>
        <v>32791</v>
      </c>
      <c r="N24" t="s">
        <v>208</v>
      </c>
    </row>
    <row r="25" spans="1:21" ht="15.75">
      <c r="A25" s="131"/>
      <c r="B25" s="111" t="s">
        <v>4</v>
      </c>
      <c r="C25" s="200"/>
      <c r="D25" s="179"/>
      <c r="E25" s="174"/>
      <c r="F25" s="174"/>
      <c r="G25" s="174"/>
      <c r="H25" s="174"/>
      <c r="I25" s="174"/>
      <c r="J25" s="174"/>
      <c r="K25" s="174"/>
      <c r="L25" s="174"/>
    </row>
    <row r="26" spans="1:21" ht="15.75">
      <c r="A26" s="186" t="s">
        <v>68</v>
      </c>
      <c r="B26" s="111" t="s">
        <v>8</v>
      </c>
      <c r="C26" s="202" t="s">
        <v>5</v>
      </c>
      <c r="D26" s="179">
        <v>12890</v>
      </c>
      <c r="E26" s="192">
        <v>12533</v>
      </c>
      <c r="F26" s="192">
        <v>12533</v>
      </c>
      <c r="G26" s="120">
        <v>135734</v>
      </c>
      <c r="H26" s="120">
        <v>24093</v>
      </c>
      <c r="I26" s="174">
        <v>25780</v>
      </c>
      <c r="J26" s="120">
        <v>27327</v>
      </c>
      <c r="K26" s="174">
        <v>28693</v>
      </c>
      <c r="L26" s="174">
        <v>29841</v>
      </c>
    </row>
    <row r="27" spans="1:21" ht="15.75">
      <c r="A27" s="186" t="s">
        <v>69</v>
      </c>
      <c r="B27" s="111" t="s">
        <v>9</v>
      </c>
      <c r="C27" s="202" t="s">
        <v>5</v>
      </c>
      <c r="D27" s="179">
        <v>696</v>
      </c>
      <c r="E27" s="174">
        <v>677</v>
      </c>
      <c r="F27" s="174">
        <v>677</v>
      </c>
      <c r="G27" s="120">
        <v>7321</v>
      </c>
      <c r="H27" s="120">
        <v>1299</v>
      </c>
      <c r="I27" s="174">
        <v>1390</v>
      </c>
      <c r="J27" s="120">
        <v>1474</v>
      </c>
      <c r="K27" s="120">
        <v>1548</v>
      </c>
      <c r="L27" s="174">
        <v>1609</v>
      </c>
    </row>
    <row r="28" spans="1:21" ht="15.75">
      <c r="A28" s="206" t="s">
        <v>121</v>
      </c>
      <c r="B28" s="208" t="s">
        <v>122</v>
      </c>
      <c r="C28" s="209"/>
      <c r="D28" s="212">
        <v>542</v>
      </c>
      <c r="E28" s="213">
        <v>563</v>
      </c>
      <c r="F28" s="213">
        <v>563</v>
      </c>
      <c r="G28" s="211">
        <v>6100</v>
      </c>
      <c r="H28" s="211">
        <v>1084</v>
      </c>
      <c r="I28" s="211">
        <v>1159</v>
      </c>
      <c r="J28" s="211">
        <v>1228</v>
      </c>
      <c r="K28" s="211">
        <v>1290</v>
      </c>
      <c r="L28" s="211">
        <v>1341</v>
      </c>
    </row>
    <row r="29" spans="1:21" ht="15.75">
      <c r="A29" s="222"/>
      <c r="B29" s="223"/>
      <c r="C29" s="224"/>
      <c r="D29" s="225"/>
      <c r="E29" s="226"/>
      <c r="F29" s="226"/>
      <c r="G29" s="227"/>
      <c r="H29" s="227"/>
      <c r="I29" s="227"/>
      <c r="J29" s="227"/>
      <c r="K29" s="227"/>
      <c r="L29" s="227"/>
    </row>
    <row r="30" spans="1:21" ht="37.5" customHeight="1" thickBot="1">
      <c r="A30" s="214"/>
      <c r="B30" s="215"/>
      <c r="C30" s="216"/>
      <c r="D30" s="217"/>
      <c r="E30" s="218"/>
      <c r="F30" s="218"/>
      <c r="G30" s="219"/>
      <c r="H30" s="219"/>
      <c r="I30" s="219"/>
      <c r="J30" s="219"/>
      <c r="K30" s="219"/>
      <c r="L30" s="219"/>
    </row>
    <row r="31" spans="1:21" ht="15.75">
      <c r="A31" s="364" t="s">
        <v>65</v>
      </c>
      <c r="B31" s="366" t="s">
        <v>0</v>
      </c>
      <c r="C31" s="366" t="s">
        <v>104</v>
      </c>
      <c r="D31" s="361" t="s">
        <v>105</v>
      </c>
      <c r="E31" s="361" t="s">
        <v>106</v>
      </c>
      <c r="F31" s="361" t="s">
        <v>107</v>
      </c>
      <c r="G31" s="363" t="s">
        <v>108</v>
      </c>
      <c r="H31" s="363"/>
      <c r="I31" s="363"/>
      <c r="J31" s="363"/>
      <c r="K31" s="363"/>
      <c r="L31" s="363"/>
    </row>
    <row r="32" spans="1:21" ht="156.75" customHeight="1">
      <c r="A32" s="365"/>
      <c r="B32" s="367"/>
      <c r="C32" s="367"/>
      <c r="D32" s="362"/>
      <c r="E32" s="362"/>
      <c r="F32" s="362"/>
      <c r="G32" s="200" t="s">
        <v>109</v>
      </c>
      <c r="H32" s="200" t="s">
        <v>110</v>
      </c>
      <c r="I32" s="200" t="s">
        <v>111</v>
      </c>
      <c r="J32" s="200" t="s">
        <v>112</v>
      </c>
      <c r="K32" s="200" t="s">
        <v>113</v>
      </c>
      <c r="L32" s="200" t="s">
        <v>114</v>
      </c>
    </row>
    <row r="33" spans="1:14" ht="24" customHeight="1">
      <c r="A33" s="102">
        <v>1</v>
      </c>
      <c r="B33" s="102">
        <v>2</v>
      </c>
      <c r="C33" s="102">
        <v>3</v>
      </c>
      <c r="D33" s="102">
        <v>4</v>
      </c>
      <c r="E33" s="102">
        <v>5</v>
      </c>
      <c r="F33" s="102">
        <v>6</v>
      </c>
      <c r="G33" s="102">
        <v>7</v>
      </c>
      <c r="H33" s="102">
        <v>8</v>
      </c>
      <c r="I33" s="102">
        <v>9</v>
      </c>
      <c r="J33" s="102">
        <v>10</v>
      </c>
      <c r="K33" s="102">
        <v>11</v>
      </c>
      <c r="L33" s="102">
        <v>12</v>
      </c>
    </row>
    <row r="34" spans="1:14" ht="15.75">
      <c r="A34" s="190" t="s">
        <v>70</v>
      </c>
      <c r="B34" s="107" t="s">
        <v>10</v>
      </c>
      <c r="C34" s="108" t="s">
        <v>5</v>
      </c>
      <c r="D34" s="180">
        <v>2112</v>
      </c>
      <c r="E34" s="137">
        <v>3948</v>
      </c>
      <c r="F34" s="137">
        <v>3948</v>
      </c>
      <c r="G34" s="139">
        <v>40215</v>
      </c>
      <c r="H34" s="139">
        <v>5663</v>
      </c>
      <c r="I34" s="139">
        <v>5663</v>
      </c>
      <c r="J34" s="139">
        <v>7379</v>
      </c>
      <c r="K34" s="139">
        <v>10755</v>
      </c>
      <c r="L34" s="139">
        <v>10755</v>
      </c>
      <c r="M34" s="14"/>
    </row>
    <row r="35" spans="1:14" ht="15.75">
      <c r="A35" s="190" t="s">
        <v>71</v>
      </c>
      <c r="B35" s="107" t="s">
        <v>11</v>
      </c>
      <c r="C35" s="108" t="s">
        <v>5</v>
      </c>
      <c r="D35" s="175">
        <v>1517</v>
      </c>
      <c r="E35" s="175">
        <v>1517</v>
      </c>
      <c r="F35" s="175">
        <v>1517</v>
      </c>
      <c r="G35" s="175">
        <v>32612</v>
      </c>
      <c r="H35" s="175">
        <v>5279</v>
      </c>
      <c r="I35" s="175">
        <v>5702</v>
      </c>
      <c r="J35" s="175">
        <v>6272</v>
      </c>
      <c r="K35" s="175">
        <v>6774</v>
      </c>
      <c r="L35" s="175">
        <v>8585</v>
      </c>
    </row>
    <row r="36" spans="1:14" ht="15.75">
      <c r="A36" s="131"/>
      <c r="B36" s="111" t="s">
        <v>4</v>
      </c>
      <c r="C36" s="200"/>
      <c r="D36" s="179"/>
      <c r="E36" s="174"/>
      <c r="F36" s="174"/>
      <c r="G36" s="174"/>
      <c r="H36" s="174"/>
      <c r="I36" s="174"/>
      <c r="J36" s="174"/>
      <c r="K36" s="174"/>
      <c r="L36" s="174"/>
    </row>
    <row r="37" spans="1:14" ht="46.5" customHeight="1">
      <c r="A37" s="186" t="s">
        <v>72</v>
      </c>
      <c r="B37" s="140" t="s">
        <v>12</v>
      </c>
      <c r="C37" s="202" t="s">
        <v>5</v>
      </c>
      <c r="D37" s="179">
        <v>1517</v>
      </c>
      <c r="E37" s="174">
        <v>1517</v>
      </c>
      <c r="F37" s="174">
        <v>1517</v>
      </c>
      <c r="G37" s="174">
        <v>32612</v>
      </c>
      <c r="H37" s="174">
        <v>5279</v>
      </c>
      <c r="I37" s="174">
        <v>5702</v>
      </c>
      <c r="J37" s="174">
        <v>6272</v>
      </c>
      <c r="K37" s="174">
        <v>6774</v>
      </c>
      <c r="L37" s="174">
        <v>8585</v>
      </c>
    </row>
    <row r="38" spans="1:14" ht="15.75">
      <c r="A38" s="190" t="s">
        <v>73</v>
      </c>
      <c r="B38" s="107" t="s">
        <v>13</v>
      </c>
      <c r="C38" s="108" t="s">
        <v>5</v>
      </c>
      <c r="D38" s="180">
        <f t="shared" ref="D38:I38" si="5">D40+D41+D42+D43+D47+D49+D50+D51+D52+D53+D54+D55+D56</f>
        <v>2074</v>
      </c>
      <c r="E38" s="180">
        <f t="shared" si="5"/>
        <v>866</v>
      </c>
      <c r="F38" s="180">
        <f t="shared" si="5"/>
        <v>867</v>
      </c>
      <c r="G38" s="180">
        <v>8839</v>
      </c>
      <c r="H38" s="180">
        <f t="shared" si="5"/>
        <v>1509</v>
      </c>
      <c r="I38" s="180">
        <f t="shared" si="5"/>
        <v>1615</v>
      </c>
      <c r="J38" s="180">
        <v>1872</v>
      </c>
      <c r="K38" s="180">
        <f>K40+K41+K42+K43+K47+K49+K50+K51+K52+K53+K54+K55+K56</f>
        <v>1798</v>
      </c>
      <c r="L38" s="180">
        <v>2045</v>
      </c>
    </row>
    <row r="39" spans="1:14" ht="15.75">
      <c r="A39" s="131"/>
      <c r="B39" s="111" t="s">
        <v>4</v>
      </c>
      <c r="C39" s="200"/>
      <c r="D39" s="179"/>
      <c r="E39" s="174"/>
      <c r="F39" s="174"/>
      <c r="G39" s="174"/>
      <c r="H39" s="174"/>
      <c r="I39" s="174"/>
      <c r="J39" s="174"/>
      <c r="K39" s="174"/>
      <c r="L39" s="174"/>
    </row>
    <row r="40" spans="1:14" ht="66" customHeight="1">
      <c r="A40" s="186" t="s">
        <v>74</v>
      </c>
      <c r="B40" s="111" t="s">
        <v>14</v>
      </c>
      <c r="C40" s="202" t="s">
        <v>5</v>
      </c>
      <c r="D40" s="119"/>
      <c r="E40" s="120"/>
      <c r="F40" s="120"/>
      <c r="G40" s="120">
        <f>H40+I40+J40+K40+L40</f>
        <v>0</v>
      </c>
      <c r="H40" s="120"/>
      <c r="I40" s="120"/>
      <c r="J40" s="120"/>
      <c r="K40" s="120"/>
      <c r="L40" s="120"/>
    </row>
    <row r="41" spans="1:14" ht="47.25">
      <c r="A41" s="186" t="s">
        <v>75</v>
      </c>
      <c r="B41" s="111" t="s">
        <v>195</v>
      </c>
      <c r="C41" s="202" t="s">
        <v>5</v>
      </c>
      <c r="D41" s="119"/>
      <c r="E41" s="120">
        <v>192</v>
      </c>
      <c r="F41" s="120">
        <v>192</v>
      </c>
      <c r="G41" s="120">
        <v>1145</v>
      </c>
      <c r="H41" s="120">
        <v>203</v>
      </c>
      <c r="I41" s="120">
        <v>217</v>
      </c>
      <c r="J41" s="120">
        <v>231</v>
      </c>
      <c r="K41" s="120">
        <v>242</v>
      </c>
      <c r="L41" s="120">
        <v>252</v>
      </c>
      <c r="M41" s="38"/>
      <c r="N41" s="39"/>
    </row>
    <row r="42" spans="1:14" ht="46.5" customHeight="1">
      <c r="A42" s="186" t="s">
        <v>76</v>
      </c>
      <c r="B42" s="111" t="s">
        <v>16</v>
      </c>
      <c r="C42" s="202" t="s">
        <v>5</v>
      </c>
      <c r="D42" s="119"/>
      <c r="E42" s="120">
        <v>20</v>
      </c>
      <c r="F42" s="120">
        <v>20</v>
      </c>
      <c r="G42" s="120">
        <v>294</v>
      </c>
      <c r="H42" s="120">
        <v>52</v>
      </c>
      <c r="I42" s="120">
        <v>56</v>
      </c>
      <c r="J42" s="120">
        <v>59</v>
      </c>
      <c r="K42" s="120">
        <v>62</v>
      </c>
      <c r="L42" s="120">
        <v>65</v>
      </c>
      <c r="M42" s="38"/>
      <c r="N42" s="39"/>
    </row>
    <row r="43" spans="1:14" ht="54.75" customHeight="1">
      <c r="A43" s="206" t="s">
        <v>77</v>
      </c>
      <c r="B43" s="208" t="s">
        <v>17</v>
      </c>
      <c r="C43" s="209" t="s">
        <v>5</v>
      </c>
      <c r="D43" s="210">
        <v>350</v>
      </c>
      <c r="E43" s="211">
        <v>80</v>
      </c>
      <c r="F43" s="211">
        <v>80</v>
      </c>
      <c r="G43" s="211">
        <v>508</v>
      </c>
      <c r="H43" s="211">
        <v>90</v>
      </c>
      <c r="I43" s="211">
        <v>96</v>
      </c>
      <c r="J43" s="211">
        <v>102</v>
      </c>
      <c r="K43" s="211">
        <v>107</v>
      </c>
      <c r="L43" s="211">
        <v>112</v>
      </c>
    </row>
    <row r="44" spans="1:14" ht="32.25" customHeight="1" thickBot="1">
      <c r="A44" s="214"/>
      <c r="B44" s="215"/>
      <c r="C44" s="216"/>
      <c r="D44" s="228"/>
      <c r="E44" s="219"/>
      <c r="F44" s="219"/>
      <c r="G44" s="219"/>
      <c r="H44" s="219"/>
      <c r="I44" s="219"/>
      <c r="J44" s="219"/>
      <c r="K44" s="219"/>
      <c r="L44" s="219"/>
    </row>
    <row r="45" spans="1:14" ht="30.75" customHeight="1">
      <c r="A45" s="364" t="s">
        <v>65</v>
      </c>
      <c r="B45" s="366" t="s">
        <v>0</v>
      </c>
      <c r="C45" s="366" t="s">
        <v>104</v>
      </c>
      <c r="D45" s="361" t="s">
        <v>105</v>
      </c>
      <c r="E45" s="361" t="s">
        <v>106</v>
      </c>
      <c r="F45" s="361" t="s">
        <v>107</v>
      </c>
      <c r="G45" s="363" t="s">
        <v>108</v>
      </c>
      <c r="H45" s="363"/>
      <c r="I45" s="363"/>
      <c r="J45" s="363"/>
      <c r="K45" s="363"/>
      <c r="L45" s="363"/>
    </row>
    <row r="46" spans="1:14" ht="81.75" customHeight="1">
      <c r="A46" s="365"/>
      <c r="B46" s="367"/>
      <c r="C46" s="367"/>
      <c r="D46" s="362"/>
      <c r="E46" s="362"/>
      <c r="F46" s="362"/>
      <c r="G46" s="200" t="s">
        <v>109</v>
      </c>
      <c r="H46" s="200" t="s">
        <v>110</v>
      </c>
      <c r="I46" s="200" t="s">
        <v>111</v>
      </c>
      <c r="J46" s="200" t="s">
        <v>112</v>
      </c>
      <c r="K46" s="200" t="s">
        <v>113</v>
      </c>
      <c r="L46" s="200" t="s">
        <v>114</v>
      </c>
    </row>
    <row r="47" spans="1:14" ht="30.75" customHeight="1">
      <c r="A47" s="207">
        <v>1</v>
      </c>
      <c r="B47" s="207">
        <v>2</v>
      </c>
      <c r="C47" s="207">
        <v>3</v>
      </c>
      <c r="D47" s="207">
        <v>4</v>
      </c>
      <c r="E47" s="207">
        <v>5</v>
      </c>
      <c r="F47" s="207">
        <v>6</v>
      </c>
      <c r="G47" s="102">
        <v>7</v>
      </c>
      <c r="H47" s="102">
        <v>8</v>
      </c>
      <c r="I47" s="102">
        <v>9</v>
      </c>
      <c r="J47" s="102">
        <v>10</v>
      </c>
      <c r="K47" s="102">
        <v>11</v>
      </c>
      <c r="L47" s="102">
        <v>12</v>
      </c>
    </row>
    <row r="48" spans="1:14" ht="30.75" customHeight="1">
      <c r="A48" s="204" t="s">
        <v>78</v>
      </c>
      <c r="B48" s="232" t="s">
        <v>18</v>
      </c>
      <c r="C48" s="202" t="s">
        <v>5</v>
      </c>
      <c r="D48" s="233">
        <v>254</v>
      </c>
      <c r="E48" s="207"/>
      <c r="F48" s="207"/>
      <c r="G48" s="234">
        <v>844</v>
      </c>
      <c r="H48" s="234">
        <v>150</v>
      </c>
      <c r="I48" s="234">
        <v>160</v>
      </c>
      <c r="J48" s="234">
        <v>170</v>
      </c>
      <c r="K48" s="234">
        <v>178</v>
      </c>
      <c r="L48" s="234">
        <v>186</v>
      </c>
    </row>
    <row r="49" spans="1:13" ht="15.75">
      <c r="A49" s="204" t="s">
        <v>79</v>
      </c>
      <c r="B49" s="111" t="s">
        <v>19</v>
      </c>
      <c r="C49" s="202" t="s">
        <v>5</v>
      </c>
      <c r="D49" s="119"/>
      <c r="E49" s="120"/>
      <c r="F49" s="120"/>
      <c r="G49" s="120">
        <v>744</v>
      </c>
      <c r="H49" s="120">
        <v>132</v>
      </c>
      <c r="I49" s="120">
        <v>142</v>
      </c>
      <c r="J49" s="120">
        <v>150</v>
      </c>
      <c r="K49" s="120">
        <v>157</v>
      </c>
      <c r="L49" s="120">
        <v>163</v>
      </c>
      <c r="M49" s="27"/>
    </row>
    <row r="50" spans="1:13" ht="54" customHeight="1">
      <c r="A50" s="186" t="s">
        <v>80</v>
      </c>
      <c r="B50" s="140" t="s">
        <v>125</v>
      </c>
      <c r="C50" s="202" t="s">
        <v>5</v>
      </c>
      <c r="D50" s="119">
        <v>400</v>
      </c>
      <c r="E50" s="120">
        <v>192</v>
      </c>
      <c r="F50" s="120">
        <v>192</v>
      </c>
      <c r="G50" s="120">
        <v>1309</v>
      </c>
      <c r="H50" s="120">
        <v>232</v>
      </c>
      <c r="I50" s="120">
        <v>249</v>
      </c>
      <c r="J50" s="120">
        <v>263</v>
      </c>
      <c r="K50" s="120">
        <v>277</v>
      </c>
      <c r="L50" s="120">
        <v>288</v>
      </c>
    </row>
    <row r="51" spans="1:13" ht="15.75">
      <c r="A51" s="186" t="s">
        <v>123</v>
      </c>
      <c r="B51" s="111" t="s">
        <v>126</v>
      </c>
      <c r="C51" s="202" t="s">
        <v>5</v>
      </c>
      <c r="D51" s="119">
        <v>500</v>
      </c>
      <c r="E51" s="120">
        <v>40</v>
      </c>
      <c r="F51" s="120">
        <v>40</v>
      </c>
      <c r="G51" s="120">
        <v>242</v>
      </c>
      <c r="H51" s="120">
        <v>43</v>
      </c>
      <c r="I51" s="120">
        <v>46</v>
      </c>
      <c r="J51" s="120">
        <v>49</v>
      </c>
      <c r="K51" s="120">
        <v>51</v>
      </c>
      <c r="L51" s="120">
        <v>53</v>
      </c>
    </row>
    <row r="52" spans="1:13" ht="15.75">
      <c r="A52" s="186" t="s">
        <v>124</v>
      </c>
      <c r="B52" s="111" t="s">
        <v>130</v>
      </c>
      <c r="C52" s="202" t="s">
        <v>5</v>
      </c>
      <c r="D52" s="119">
        <v>300</v>
      </c>
      <c r="E52" s="120">
        <v>103</v>
      </c>
      <c r="F52" s="120">
        <v>103</v>
      </c>
      <c r="G52" s="120">
        <v>623</v>
      </c>
      <c r="H52" s="120">
        <v>111</v>
      </c>
      <c r="I52" s="120">
        <v>118</v>
      </c>
      <c r="J52" s="120">
        <v>125</v>
      </c>
      <c r="K52" s="120">
        <v>132</v>
      </c>
      <c r="L52" s="120">
        <v>137</v>
      </c>
    </row>
    <row r="53" spans="1:13" ht="39" customHeight="1">
      <c r="A53" s="186" t="s">
        <v>127</v>
      </c>
      <c r="B53" s="111" t="s">
        <v>131</v>
      </c>
      <c r="C53" s="202" t="s">
        <v>5</v>
      </c>
      <c r="D53" s="119">
        <v>240</v>
      </c>
      <c r="E53" s="120"/>
      <c r="F53" s="120"/>
      <c r="G53" s="120">
        <v>676</v>
      </c>
      <c r="H53" s="120">
        <v>120</v>
      </c>
      <c r="I53" s="120">
        <v>128</v>
      </c>
      <c r="J53" s="120">
        <v>136</v>
      </c>
      <c r="K53" s="120">
        <v>143</v>
      </c>
      <c r="L53" s="120">
        <v>149</v>
      </c>
    </row>
    <row r="54" spans="1:13" ht="22.5" customHeight="1">
      <c r="A54" s="186" t="s">
        <v>128</v>
      </c>
      <c r="B54" s="111" t="s">
        <v>30</v>
      </c>
      <c r="C54" s="202" t="s">
        <v>5</v>
      </c>
      <c r="D54" s="119">
        <v>280</v>
      </c>
      <c r="E54" s="120"/>
      <c r="F54" s="120"/>
      <c r="G54" s="120">
        <v>201</v>
      </c>
      <c r="H54" s="120">
        <v>36</v>
      </c>
      <c r="I54" s="120">
        <v>38</v>
      </c>
      <c r="J54" s="120">
        <v>40</v>
      </c>
      <c r="K54" s="120">
        <v>42</v>
      </c>
      <c r="L54" s="120">
        <v>44</v>
      </c>
    </row>
    <row r="55" spans="1:13" ht="15.75">
      <c r="A55" s="186" t="s">
        <v>129</v>
      </c>
      <c r="B55" s="111" t="s">
        <v>33</v>
      </c>
      <c r="C55" s="202"/>
      <c r="D55" s="119"/>
      <c r="E55" s="120">
        <v>234</v>
      </c>
      <c r="F55" s="120">
        <v>234</v>
      </c>
      <c r="G55" s="120">
        <v>2716</v>
      </c>
      <c r="H55" s="120">
        <v>482</v>
      </c>
      <c r="I55" s="120">
        <v>516</v>
      </c>
      <c r="J55" s="120">
        <v>547</v>
      </c>
      <c r="K55" s="120">
        <v>574</v>
      </c>
      <c r="L55" s="120">
        <v>597</v>
      </c>
      <c r="M55" s="30"/>
    </row>
    <row r="56" spans="1:13" ht="44.25" customHeight="1">
      <c r="A56" s="186" t="s">
        <v>136</v>
      </c>
      <c r="B56" s="111" t="s">
        <v>20</v>
      </c>
      <c r="C56" s="202" t="s">
        <v>5</v>
      </c>
      <c r="D56" s="119"/>
      <c r="E56" s="120"/>
      <c r="F56" s="120"/>
      <c r="G56" s="120">
        <f t="shared" ref="G56" si="6">H56+I56+J56+K56+L56</f>
        <v>0</v>
      </c>
      <c r="H56" s="120"/>
      <c r="I56" s="120"/>
      <c r="J56" s="120"/>
      <c r="K56" s="120"/>
      <c r="L56" s="120"/>
    </row>
    <row r="57" spans="1:13" ht="15.75">
      <c r="A57" s="190" t="s">
        <v>21</v>
      </c>
      <c r="B57" s="107" t="s">
        <v>22</v>
      </c>
      <c r="C57" s="108" t="s">
        <v>5</v>
      </c>
      <c r="D57" s="180">
        <f t="shared" ref="D57:K57" si="7">D58+D97</f>
        <v>13134</v>
      </c>
      <c r="E57" s="180">
        <f t="shared" si="7"/>
        <v>17709</v>
      </c>
      <c r="F57" s="180">
        <f t="shared" ref="F57" si="8">F58+F97</f>
        <v>17709</v>
      </c>
      <c r="G57" s="180">
        <v>107071</v>
      </c>
      <c r="H57" s="180">
        <f t="shared" si="7"/>
        <v>21265</v>
      </c>
      <c r="I57" s="180">
        <f t="shared" si="7"/>
        <v>21930</v>
      </c>
      <c r="J57" s="180">
        <v>18767</v>
      </c>
      <c r="K57" s="180">
        <f t="shared" si="7"/>
        <v>24786</v>
      </c>
      <c r="L57" s="180">
        <v>20323</v>
      </c>
    </row>
    <row r="58" spans="1:13" ht="45" customHeight="1">
      <c r="A58" s="190" t="s">
        <v>81</v>
      </c>
      <c r="B58" s="203" t="s">
        <v>164</v>
      </c>
      <c r="C58" s="108" t="s">
        <v>5</v>
      </c>
      <c r="D58" s="180">
        <f>D60+D61+D65+D66+D67</f>
        <v>13134</v>
      </c>
      <c r="E58" s="180">
        <f t="shared" ref="E58:K58" si="9">E60+E61+E65+E66+E67</f>
        <v>17709</v>
      </c>
      <c r="F58" s="180">
        <f t="shared" ref="F58" si="10">F60+F61+F65+F66+F67</f>
        <v>17709</v>
      </c>
      <c r="G58" s="180">
        <v>98071</v>
      </c>
      <c r="H58" s="180">
        <f t="shared" si="9"/>
        <v>18265</v>
      </c>
      <c r="I58" s="180">
        <f t="shared" si="9"/>
        <v>18930</v>
      </c>
      <c r="J58" s="180">
        <v>18767</v>
      </c>
      <c r="K58" s="180">
        <f t="shared" si="9"/>
        <v>21786</v>
      </c>
      <c r="L58" s="180">
        <v>20323</v>
      </c>
    </row>
    <row r="59" spans="1:13" ht="20.25" customHeight="1">
      <c r="A59" s="131"/>
      <c r="B59" s="111" t="s">
        <v>4</v>
      </c>
      <c r="C59" s="200"/>
      <c r="D59" s="179"/>
      <c r="E59" s="174"/>
      <c r="F59" s="174"/>
      <c r="G59" s="174"/>
      <c r="H59" s="174"/>
      <c r="I59" s="174"/>
      <c r="J59" s="174"/>
      <c r="K59" s="174"/>
      <c r="L59" s="174"/>
    </row>
    <row r="60" spans="1:13" ht="36.75" customHeight="1">
      <c r="A60" s="241" t="s">
        <v>82</v>
      </c>
      <c r="B60" s="111" t="s">
        <v>24</v>
      </c>
      <c r="C60" s="202" t="s">
        <v>5</v>
      </c>
      <c r="D60" s="179">
        <v>9409</v>
      </c>
      <c r="E60" s="174">
        <v>9919</v>
      </c>
      <c r="F60" s="174">
        <v>9919</v>
      </c>
      <c r="G60" s="120">
        <f>H60+I60+J60+K60+L60</f>
        <v>59665</v>
      </c>
      <c r="H60" s="120">
        <v>10344</v>
      </c>
      <c r="I60" s="174">
        <v>11064</v>
      </c>
      <c r="J60" s="174">
        <v>11900</v>
      </c>
      <c r="K60" s="174">
        <v>12733</v>
      </c>
      <c r="L60" s="174">
        <v>13624</v>
      </c>
      <c r="M60" s="10"/>
    </row>
    <row r="61" spans="1:13" ht="29.25" customHeight="1">
      <c r="A61" s="206" t="s">
        <v>83</v>
      </c>
      <c r="B61" s="208" t="s">
        <v>9</v>
      </c>
      <c r="C61" s="209" t="s">
        <v>5</v>
      </c>
      <c r="D61" s="212">
        <v>508</v>
      </c>
      <c r="E61" s="213">
        <v>593</v>
      </c>
      <c r="F61" s="213">
        <v>593</v>
      </c>
      <c r="G61" s="211">
        <f>H61+I61+J61+K61+L61</f>
        <v>3252</v>
      </c>
      <c r="H61" s="211">
        <v>578</v>
      </c>
      <c r="I61" s="211">
        <v>600</v>
      </c>
      <c r="J61" s="211">
        <v>649</v>
      </c>
      <c r="K61" s="211">
        <v>689</v>
      </c>
      <c r="L61" s="211">
        <v>736</v>
      </c>
    </row>
    <row r="62" spans="1:13" ht="29.25" customHeight="1">
      <c r="A62" s="365" t="s">
        <v>65</v>
      </c>
      <c r="B62" s="367" t="s">
        <v>0</v>
      </c>
      <c r="C62" s="367" t="s">
        <v>104</v>
      </c>
      <c r="D62" s="362" t="s">
        <v>105</v>
      </c>
      <c r="E62" s="362" t="s">
        <v>106</v>
      </c>
      <c r="F62" s="362" t="s">
        <v>107</v>
      </c>
      <c r="G62" s="368" t="s">
        <v>108</v>
      </c>
      <c r="H62" s="368"/>
      <c r="I62" s="368"/>
      <c r="J62" s="368"/>
      <c r="K62" s="368"/>
      <c r="L62" s="368"/>
    </row>
    <row r="63" spans="1:13" ht="128.25" customHeight="1">
      <c r="A63" s="365"/>
      <c r="B63" s="367"/>
      <c r="C63" s="367"/>
      <c r="D63" s="362"/>
      <c r="E63" s="362"/>
      <c r="F63" s="362"/>
      <c r="G63" s="200" t="s">
        <v>109</v>
      </c>
      <c r="H63" s="200" t="s">
        <v>110</v>
      </c>
      <c r="I63" s="200" t="s">
        <v>111</v>
      </c>
      <c r="J63" s="200" t="s">
        <v>112</v>
      </c>
      <c r="K63" s="200" t="s">
        <v>113</v>
      </c>
      <c r="L63" s="200" t="s">
        <v>114</v>
      </c>
    </row>
    <row r="64" spans="1:13" ht="17.25" customHeight="1">
      <c r="A64" s="207">
        <v>1</v>
      </c>
      <c r="B64" s="207">
        <v>2</v>
      </c>
      <c r="C64" s="207">
        <v>3</v>
      </c>
      <c r="D64" s="207">
        <v>4</v>
      </c>
      <c r="E64" s="207">
        <v>5</v>
      </c>
      <c r="F64" s="207">
        <v>6</v>
      </c>
      <c r="G64" s="207">
        <v>7</v>
      </c>
      <c r="H64" s="207">
        <v>8</v>
      </c>
      <c r="I64" s="207">
        <v>9</v>
      </c>
      <c r="J64" s="207">
        <v>10</v>
      </c>
      <c r="K64" s="207">
        <v>11</v>
      </c>
      <c r="L64" s="207">
        <v>12</v>
      </c>
    </row>
    <row r="65" spans="1:26" s="25" customFormat="1" ht="39" customHeight="1">
      <c r="A65" s="144" t="s">
        <v>134</v>
      </c>
      <c r="B65" s="111" t="s">
        <v>122</v>
      </c>
      <c r="C65" s="202"/>
      <c r="D65" s="179">
        <v>565</v>
      </c>
      <c r="E65" s="174">
        <v>407</v>
      </c>
      <c r="F65" s="174">
        <v>407</v>
      </c>
      <c r="G65" s="120">
        <f>H65+I65+J65+K65+L65</f>
        <v>2673</v>
      </c>
      <c r="H65" s="120">
        <v>463</v>
      </c>
      <c r="I65" s="120">
        <v>488</v>
      </c>
      <c r="J65" s="120">
        <v>536</v>
      </c>
      <c r="K65" s="120">
        <v>572</v>
      </c>
      <c r="L65" s="120">
        <v>614</v>
      </c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s="19" customFormat="1" ht="25.5" customHeight="1">
      <c r="A66" s="186" t="s">
        <v>84</v>
      </c>
      <c r="B66" s="111" t="s">
        <v>154</v>
      </c>
      <c r="C66" s="202"/>
      <c r="D66" s="119">
        <v>925</v>
      </c>
      <c r="E66" s="120">
        <v>153</v>
      </c>
      <c r="F66" s="120">
        <v>153</v>
      </c>
      <c r="G66" s="120">
        <f>H66+I66+J66+K66+L66</f>
        <v>1461</v>
      </c>
      <c r="H66" s="120">
        <v>318</v>
      </c>
      <c r="I66" s="120">
        <v>350</v>
      </c>
      <c r="J66" s="120">
        <v>199</v>
      </c>
      <c r="K66" s="120">
        <v>376</v>
      </c>
      <c r="L66" s="120">
        <v>218</v>
      </c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s="19" customFormat="1" ht="21" customHeight="1">
      <c r="A67" s="186" t="s">
        <v>85</v>
      </c>
      <c r="B67" s="107" t="s">
        <v>155</v>
      </c>
      <c r="C67" s="108"/>
      <c r="D67" s="180">
        <f>D68+D69+D70+D71+D72+D73+D74+D75+D76+D77+D78+D79+D80+D85+D86+D87+D88+D89+D90+D91+D92+D93+D94+D95+D96</f>
        <v>1727</v>
      </c>
      <c r="E67" s="180">
        <f t="shared" ref="E67:K67" si="11">E68+E69+E70+E71+E72+E73+E74+E75+E76+E77+E78+E79+E80+E85+E86+E87+E88+E89+E90+E91+E92+E93+E94+E95+E96</f>
        <v>6637</v>
      </c>
      <c r="F67" s="180">
        <f t="shared" ref="F67" si="12">F68+F69+F70+F71+F72+F73+F74+F75+F76+F77+F78+F79+F80+F85+F86+F87+F88+F89+F90+F91+F92+F93+F94+F95+F96</f>
        <v>6637</v>
      </c>
      <c r="G67" s="180">
        <v>36058</v>
      </c>
      <c r="H67" s="180">
        <f t="shared" si="11"/>
        <v>6562</v>
      </c>
      <c r="I67" s="180">
        <f>I68+I69+I70+I71+I72+I73+I74+I75+I76+I77+I78+I79+I80+I85+I86+I87+I88+I89+I90+I91+I92+I93+I94+I95+I96</f>
        <v>6428</v>
      </c>
      <c r="J67" s="180">
        <v>7526</v>
      </c>
      <c r="K67" s="180">
        <f t="shared" si="11"/>
        <v>7416</v>
      </c>
      <c r="L67" s="180">
        <f>L68+L69+L70+L71+L72+L73+L74+L75+L76+L77+L78+L79+L80+L85+L86+L87+L88+L89+L90+L91+L92+L93+L94+L95+L96</f>
        <v>8126</v>
      </c>
      <c r="M67" s="99"/>
    </row>
    <row r="68" spans="1:26" s="19" customFormat="1" ht="23.25" customHeight="1">
      <c r="A68" s="144" t="s">
        <v>165</v>
      </c>
      <c r="B68" s="111" t="s">
        <v>144</v>
      </c>
      <c r="C68" s="202"/>
      <c r="D68" s="179"/>
      <c r="E68" s="174">
        <v>2700</v>
      </c>
      <c r="F68" s="174">
        <v>2700</v>
      </c>
      <c r="G68" s="120">
        <f>H68+I68+J68+K68+L68</f>
        <v>6750</v>
      </c>
      <c r="H68" s="120">
        <v>1050</v>
      </c>
      <c r="I68" s="120">
        <v>1144</v>
      </c>
      <c r="J68" s="174">
        <v>1218</v>
      </c>
      <c r="K68" s="120">
        <v>1415</v>
      </c>
      <c r="L68" s="120">
        <v>1923</v>
      </c>
      <c r="M68" s="99"/>
    </row>
    <row r="69" spans="1:26" s="19" customFormat="1" ht="15.75">
      <c r="A69" s="144" t="s">
        <v>166</v>
      </c>
      <c r="B69" s="111" t="s">
        <v>147</v>
      </c>
      <c r="C69" s="202"/>
      <c r="D69" s="179"/>
      <c r="E69" s="174">
        <v>5</v>
      </c>
      <c r="F69" s="174">
        <v>5</v>
      </c>
      <c r="G69" s="120">
        <v>29</v>
      </c>
      <c r="H69" s="120">
        <v>5</v>
      </c>
      <c r="I69" s="120">
        <v>6</v>
      </c>
      <c r="J69" s="120">
        <v>6</v>
      </c>
      <c r="K69" s="120">
        <v>6</v>
      </c>
      <c r="L69" s="120">
        <v>6</v>
      </c>
      <c r="M69" s="99"/>
    </row>
    <row r="70" spans="1:26" s="19" customFormat="1" ht="15.75">
      <c r="A70" s="144" t="s">
        <v>167</v>
      </c>
      <c r="B70" s="111" t="s">
        <v>184</v>
      </c>
      <c r="C70" s="202"/>
      <c r="D70" s="179"/>
      <c r="E70" s="174">
        <v>83</v>
      </c>
      <c r="F70" s="174">
        <v>83</v>
      </c>
      <c r="G70" s="120">
        <v>619</v>
      </c>
      <c r="H70" s="120">
        <v>110</v>
      </c>
      <c r="I70" s="120">
        <v>117</v>
      </c>
      <c r="J70" s="120">
        <v>125</v>
      </c>
      <c r="K70" s="120">
        <v>131</v>
      </c>
      <c r="L70" s="120">
        <v>136</v>
      </c>
      <c r="M70" s="197"/>
    </row>
    <row r="71" spans="1:26" s="44" customFormat="1" ht="15.75">
      <c r="A71" s="144" t="s">
        <v>168</v>
      </c>
      <c r="B71" s="111" t="s">
        <v>185</v>
      </c>
      <c r="C71" s="202"/>
      <c r="D71" s="179"/>
      <c r="E71" s="174"/>
      <c r="F71" s="174"/>
      <c r="G71" s="120">
        <f t="shared" ref="G71" si="13">H71+I71+J71+K71+L71</f>
        <v>0</v>
      </c>
      <c r="H71" s="174"/>
      <c r="I71" s="174"/>
      <c r="J71" s="174"/>
      <c r="K71" s="174"/>
      <c r="L71" s="174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s="19" customFormat="1" ht="15.75">
      <c r="A72" s="144" t="s">
        <v>169</v>
      </c>
      <c r="B72" s="111" t="s">
        <v>186</v>
      </c>
      <c r="C72" s="202"/>
      <c r="D72" s="179"/>
      <c r="E72" s="120">
        <v>200</v>
      </c>
      <c r="F72" s="120">
        <v>200</v>
      </c>
      <c r="G72" s="120">
        <v>1206</v>
      </c>
      <c r="H72" s="120">
        <f>F72*1.07</f>
        <v>214</v>
      </c>
      <c r="I72" s="120">
        <v>229</v>
      </c>
      <c r="J72" s="120">
        <v>243</v>
      </c>
      <c r="K72" s="120">
        <v>255</v>
      </c>
      <c r="L72" s="120">
        <v>265</v>
      </c>
      <c r="M72" s="99"/>
    </row>
    <row r="73" spans="1:26" ht="15.75">
      <c r="A73" s="144" t="s">
        <v>170</v>
      </c>
      <c r="B73" s="111" t="s">
        <v>25</v>
      </c>
      <c r="C73" s="200"/>
      <c r="D73" s="119">
        <v>130</v>
      </c>
      <c r="E73" s="120">
        <v>144</v>
      </c>
      <c r="F73" s="120">
        <v>144</v>
      </c>
      <c r="G73" s="120">
        <f>H73+I73+J73+K73+L73</f>
        <v>869</v>
      </c>
      <c r="H73" s="120">
        <v>154</v>
      </c>
      <c r="I73" s="120">
        <v>165</v>
      </c>
      <c r="J73" s="120">
        <v>175</v>
      </c>
      <c r="K73" s="120">
        <v>184</v>
      </c>
      <c r="L73" s="120">
        <v>191</v>
      </c>
      <c r="M73" s="99"/>
    </row>
    <row r="74" spans="1:26" ht="15.75">
      <c r="A74" s="144" t="s">
        <v>171</v>
      </c>
      <c r="B74" s="111" t="s">
        <v>19</v>
      </c>
      <c r="C74" s="200"/>
      <c r="D74" s="119">
        <v>780</v>
      </c>
      <c r="E74" s="120">
        <v>126</v>
      </c>
      <c r="F74" s="120">
        <v>126</v>
      </c>
      <c r="G74" s="120">
        <f t="shared" ref="G74:G80" si="14">H74+I74+J74+K74+L74</f>
        <v>762</v>
      </c>
      <c r="H74" s="120">
        <v>135</v>
      </c>
      <c r="I74" s="120">
        <v>145</v>
      </c>
      <c r="J74" s="120">
        <v>153</v>
      </c>
      <c r="K74" s="120">
        <v>161</v>
      </c>
      <c r="L74" s="120">
        <v>168</v>
      </c>
      <c r="M74" s="99"/>
    </row>
    <row r="75" spans="1:26" ht="15.75">
      <c r="A75" s="144" t="s">
        <v>172</v>
      </c>
      <c r="B75" s="111" t="s">
        <v>26</v>
      </c>
      <c r="C75" s="202" t="s">
        <v>5</v>
      </c>
      <c r="D75" s="119"/>
      <c r="E75" s="120">
        <v>629</v>
      </c>
      <c r="F75" s="120">
        <v>629</v>
      </c>
      <c r="G75" s="120">
        <f t="shared" si="14"/>
        <v>7797</v>
      </c>
      <c r="H75" s="120">
        <v>1474</v>
      </c>
      <c r="I75" s="120">
        <v>1445</v>
      </c>
      <c r="J75" s="120">
        <v>1393</v>
      </c>
      <c r="K75" s="120">
        <v>1727</v>
      </c>
      <c r="L75" s="120">
        <v>1758</v>
      </c>
      <c r="M75" s="198"/>
    </row>
    <row r="76" spans="1:26" ht="78.75">
      <c r="A76" s="144" t="s">
        <v>173</v>
      </c>
      <c r="B76" s="111" t="s">
        <v>27</v>
      </c>
      <c r="C76" s="202" t="s">
        <v>5</v>
      </c>
      <c r="D76" s="119"/>
      <c r="E76" s="120"/>
      <c r="F76" s="120"/>
      <c r="G76" s="120">
        <f t="shared" si="14"/>
        <v>0</v>
      </c>
      <c r="H76" s="120"/>
      <c r="I76" s="120"/>
      <c r="J76" s="120"/>
      <c r="K76" s="120"/>
      <c r="L76" s="120"/>
      <c r="M76" s="99"/>
    </row>
    <row r="77" spans="1:26" s="19" customFormat="1" ht="15.75">
      <c r="A77" s="144" t="s">
        <v>174</v>
      </c>
      <c r="B77" s="140" t="s">
        <v>28</v>
      </c>
      <c r="C77" s="202" t="s">
        <v>5</v>
      </c>
      <c r="D77" s="119">
        <v>48</v>
      </c>
      <c r="E77" s="120"/>
      <c r="F77" s="120"/>
      <c r="G77" s="120">
        <f t="shared" si="14"/>
        <v>674</v>
      </c>
      <c r="H77" s="120">
        <f>(20*12)/2</f>
        <v>120</v>
      </c>
      <c r="I77" s="120">
        <v>128</v>
      </c>
      <c r="J77" s="120">
        <v>136</v>
      </c>
      <c r="K77" s="120">
        <v>143</v>
      </c>
      <c r="L77" s="120">
        <v>147</v>
      </c>
      <c r="M77" s="99"/>
    </row>
    <row r="78" spans="1:26" ht="15.75">
      <c r="A78" s="144" t="s">
        <v>175</v>
      </c>
      <c r="B78" s="111" t="s">
        <v>29</v>
      </c>
      <c r="C78" s="202" t="s">
        <v>5</v>
      </c>
      <c r="D78" s="119"/>
      <c r="E78" s="120"/>
      <c r="F78" s="120"/>
      <c r="G78" s="120">
        <f t="shared" si="14"/>
        <v>0</v>
      </c>
      <c r="H78" s="120"/>
      <c r="I78" s="120"/>
      <c r="J78" s="120"/>
      <c r="K78" s="120"/>
      <c r="L78" s="120"/>
      <c r="M78" s="99"/>
    </row>
    <row r="79" spans="1:26" ht="15.75">
      <c r="A79" s="144" t="s">
        <v>176</v>
      </c>
      <c r="B79" s="111" t="s">
        <v>30</v>
      </c>
      <c r="C79" s="202" t="s">
        <v>5</v>
      </c>
      <c r="D79" s="119"/>
      <c r="E79" s="120">
        <v>500</v>
      </c>
      <c r="F79" s="120">
        <v>500</v>
      </c>
      <c r="G79" s="120">
        <f t="shared" si="14"/>
        <v>3014</v>
      </c>
      <c r="H79" s="120">
        <f>F79*1.07</f>
        <v>535</v>
      </c>
      <c r="I79" s="120">
        <v>572</v>
      </c>
      <c r="J79" s="120">
        <v>607</v>
      </c>
      <c r="K79" s="120">
        <v>637</v>
      </c>
      <c r="L79" s="120">
        <v>663</v>
      </c>
      <c r="M79" s="99"/>
    </row>
    <row r="80" spans="1:26" ht="44.25" customHeight="1">
      <c r="A80" s="144" t="s">
        <v>177</v>
      </c>
      <c r="B80" s="111" t="s">
        <v>31</v>
      </c>
      <c r="C80" s="202" t="s">
        <v>5</v>
      </c>
      <c r="D80" s="119"/>
      <c r="E80" s="120">
        <v>45</v>
      </c>
      <c r="F80" s="120">
        <v>45</v>
      </c>
      <c r="G80" s="120">
        <f t="shared" si="14"/>
        <v>269</v>
      </c>
      <c r="H80" s="120">
        <v>48</v>
      </c>
      <c r="I80" s="120">
        <v>51</v>
      </c>
      <c r="J80" s="120">
        <v>54</v>
      </c>
      <c r="K80" s="120">
        <v>57</v>
      </c>
      <c r="L80" s="120">
        <v>59</v>
      </c>
      <c r="M80" s="99"/>
    </row>
    <row r="81" spans="1:13" ht="15.75">
      <c r="A81" s="229"/>
      <c r="B81" s="208"/>
      <c r="C81" s="209"/>
      <c r="D81" s="210"/>
      <c r="E81" s="211"/>
      <c r="F81" s="211"/>
      <c r="G81" s="211"/>
      <c r="H81" s="211"/>
      <c r="I81" s="211"/>
      <c r="J81" s="211"/>
      <c r="K81" s="211"/>
      <c r="L81" s="211"/>
      <c r="M81" s="99"/>
    </row>
    <row r="82" spans="1:13" ht="15.75">
      <c r="A82" s="364" t="s">
        <v>65</v>
      </c>
      <c r="B82" s="366" t="s">
        <v>0</v>
      </c>
      <c r="C82" s="366" t="s">
        <v>104</v>
      </c>
      <c r="D82" s="361" t="s">
        <v>105</v>
      </c>
      <c r="E82" s="361" t="s">
        <v>106</v>
      </c>
      <c r="F82" s="361" t="s">
        <v>107</v>
      </c>
      <c r="G82" s="363" t="s">
        <v>108</v>
      </c>
      <c r="H82" s="363"/>
      <c r="I82" s="363"/>
      <c r="J82" s="363"/>
      <c r="K82" s="363"/>
      <c r="L82" s="363"/>
      <c r="M82" s="99"/>
    </row>
    <row r="83" spans="1:13" ht="127.5" customHeight="1">
      <c r="A83" s="365"/>
      <c r="B83" s="367"/>
      <c r="C83" s="367"/>
      <c r="D83" s="362"/>
      <c r="E83" s="362"/>
      <c r="F83" s="362"/>
      <c r="G83" s="200" t="s">
        <v>109</v>
      </c>
      <c r="H83" s="200" t="s">
        <v>110</v>
      </c>
      <c r="I83" s="200" t="s">
        <v>111</v>
      </c>
      <c r="J83" s="200" t="s">
        <v>112</v>
      </c>
      <c r="K83" s="200" t="s">
        <v>113</v>
      </c>
      <c r="L83" s="200" t="s">
        <v>114</v>
      </c>
      <c r="M83" s="99"/>
    </row>
    <row r="84" spans="1:13" ht="15.75">
      <c r="A84" s="207">
        <v>1</v>
      </c>
      <c r="B84" s="207">
        <v>2</v>
      </c>
      <c r="C84" s="207">
        <v>3</v>
      </c>
      <c r="D84" s="207">
        <v>4</v>
      </c>
      <c r="E84" s="207">
        <v>5</v>
      </c>
      <c r="F84" s="207">
        <v>6</v>
      </c>
      <c r="G84" s="207">
        <v>7</v>
      </c>
      <c r="H84" s="207">
        <v>8</v>
      </c>
      <c r="I84" s="207">
        <v>9</v>
      </c>
      <c r="J84" s="207">
        <v>10</v>
      </c>
      <c r="K84" s="207">
        <v>11</v>
      </c>
      <c r="L84" s="207">
        <v>12</v>
      </c>
      <c r="M84" s="99"/>
    </row>
    <row r="85" spans="1:13" ht="31.5">
      <c r="A85" s="144" t="s">
        <v>178</v>
      </c>
      <c r="B85" s="111" t="s">
        <v>18</v>
      </c>
      <c r="C85" s="202" t="s">
        <v>5</v>
      </c>
      <c r="D85" s="119"/>
      <c r="E85" s="120"/>
      <c r="F85" s="120"/>
      <c r="G85" s="120">
        <f t="shared" ref="G85" si="15">H85+I85+J85+K85+L85</f>
        <v>0</v>
      </c>
      <c r="H85" s="120"/>
      <c r="I85" s="120"/>
      <c r="J85" s="120"/>
      <c r="K85" s="120"/>
      <c r="L85" s="120"/>
      <c r="M85" s="99"/>
    </row>
    <row r="86" spans="1:13" s="89" customFormat="1" ht="41.25" customHeight="1">
      <c r="A86" s="144" t="s">
        <v>179</v>
      </c>
      <c r="B86" s="111" t="s">
        <v>32</v>
      </c>
      <c r="C86" s="202" t="s">
        <v>5</v>
      </c>
      <c r="D86" s="119">
        <v>0</v>
      </c>
      <c r="E86" s="120">
        <v>1696</v>
      </c>
      <c r="F86" s="120">
        <v>1696</v>
      </c>
      <c r="G86" s="120">
        <f>H86+I86+J86+K86+L86</f>
        <v>10224</v>
      </c>
      <c r="H86" s="120">
        <v>1815</v>
      </c>
      <c r="I86" s="120">
        <v>1942</v>
      </c>
      <c r="J86" s="120">
        <v>2058</v>
      </c>
      <c r="K86" s="120">
        <v>2161</v>
      </c>
      <c r="L86" s="120">
        <v>2248</v>
      </c>
      <c r="M86" s="99"/>
    </row>
    <row r="87" spans="1:13" ht="15.75">
      <c r="A87" s="144" t="s">
        <v>180</v>
      </c>
      <c r="B87" s="111" t="s">
        <v>33</v>
      </c>
      <c r="C87" s="202" t="s">
        <v>5</v>
      </c>
      <c r="D87" s="119"/>
      <c r="E87" s="120"/>
      <c r="F87" s="120"/>
      <c r="G87" s="120">
        <f t="shared" ref="G87:G97" si="16">H87+I87+J87+K87+L87</f>
        <v>0</v>
      </c>
      <c r="H87" s="120"/>
      <c r="I87" s="120"/>
      <c r="J87" s="120"/>
      <c r="K87" s="120"/>
      <c r="L87" s="120"/>
      <c r="M87" s="99"/>
    </row>
    <row r="88" spans="1:13" ht="56.25" customHeight="1">
      <c r="A88" s="144" t="s">
        <v>181</v>
      </c>
      <c r="B88" s="111" t="s">
        <v>34</v>
      </c>
      <c r="C88" s="202" t="s">
        <v>5</v>
      </c>
      <c r="D88" s="119"/>
      <c r="E88" s="120"/>
      <c r="F88" s="120"/>
      <c r="G88" s="120">
        <f t="shared" si="16"/>
        <v>0</v>
      </c>
      <c r="H88" s="120"/>
      <c r="I88" s="120"/>
      <c r="J88" s="120"/>
      <c r="K88" s="120"/>
      <c r="L88" s="120"/>
      <c r="M88" s="99"/>
    </row>
    <row r="89" spans="1:13" ht="31.5">
      <c r="A89" s="144" t="s">
        <v>182</v>
      </c>
      <c r="B89" s="111" t="s">
        <v>35</v>
      </c>
      <c r="C89" s="202" t="s">
        <v>5</v>
      </c>
      <c r="D89" s="119"/>
      <c r="E89" s="120"/>
      <c r="F89" s="120"/>
      <c r="G89" s="120">
        <f t="shared" si="16"/>
        <v>0</v>
      </c>
      <c r="H89" s="120"/>
      <c r="I89" s="120"/>
      <c r="J89" s="120"/>
      <c r="K89" s="120"/>
      <c r="L89" s="120"/>
      <c r="M89" s="99"/>
    </row>
    <row r="90" spans="1:13" ht="31.5">
      <c r="A90" s="144" t="s">
        <v>183</v>
      </c>
      <c r="B90" s="111" t="s">
        <v>196</v>
      </c>
      <c r="C90" s="202" t="s">
        <v>5</v>
      </c>
      <c r="D90" s="119">
        <v>200</v>
      </c>
      <c r="E90" s="120">
        <v>261</v>
      </c>
      <c r="F90" s="120">
        <v>261</v>
      </c>
      <c r="G90" s="120">
        <f t="shared" si="16"/>
        <v>1503</v>
      </c>
      <c r="H90" s="120">
        <v>636</v>
      </c>
      <c r="I90" s="120">
        <v>200</v>
      </c>
      <c r="J90" s="120">
        <v>212</v>
      </c>
      <c r="K90" s="120">
        <v>223</v>
      </c>
      <c r="L90" s="120">
        <v>232</v>
      </c>
      <c r="M90" s="99"/>
    </row>
    <row r="91" spans="1:13" ht="15.75">
      <c r="A91" s="144" t="s">
        <v>187</v>
      </c>
      <c r="B91" s="111" t="s">
        <v>130</v>
      </c>
      <c r="C91" s="202" t="s">
        <v>5</v>
      </c>
      <c r="D91" s="119">
        <v>147</v>
      </c>
      <c r="E91" s="120">
        <v>23</v>
      </c>
      <c r="F91" s="120">
        <v>23</v>
      </c>
      <c r="G91" s="120">
        <f t="shared" si="16"/>
        <v>137</v>
      </c>
      <c r="H91" s="120">
        <v>24</v>
      </c>
      <c r="I91" s="120">
        <v>26</v>
      </c>
      <c r="J91" s="120">
        <v>28</v>
      </c>
      <c r="K91" s="120">
        <v>29</v>
      </c>
      <c r="L91" s="120">
        <v>30</v>
      </c>
      <c r="M91" s="99"/>
    </row>
    <row r="92" spans="1:13" ht="15.75">
      <c r="A92" s="144" t="s">
        <v>188</v>
      </c>
      <c r="B92" s="111" t="s">
        <v>133</v>
      </c>
      <c r="C92" s="202" t="s">
        <v>5</v>
      </c>
      <c r="D92" s="119">
        <v>260</v>
      </c>
      <c r="E92" s="120"/>
      <c r="F92" s="120"/>
      <c r="G92" s="120">
        <f t="shared" si="16"/>
        <v>0</v>
      </c>
      <c r="H92" s="120"/>
      <c r="I92" s="120"/>
      <c r="J92" s="120"/>
      <c r="K92" s="120"/>
      <c r="L92" s="120"/>
      <c r="M92" s="99"/>
    </row>
    <row r="93" spans="1:13" ht="15.75">
      <c r="A93" s="144" t="s">
        <v>189</v>
      </c>
      <c r="B93" s="111" t="s">
        <v>194</v>
      </c>
      <c r="C93" s="202"/>
      <c r="D93" s="119"/>
      <c r="E93" s="120">
        <v>100</v>
      </c>
      <c r="F93" s="120">
        <v>100</v>
      </c>
      <c r="G93" s="120">
        <f t="shared" si="16"/>
        <v>602</v>
      </c>
      <c r="H93" s="120">
        <v>107</v>
      </c>
      <c r="I93" s="120">
        <v>114</v>
      </c>
      <c r="J93" s="120">
        <v>121</v>
      </c>
      <c r="K93" s="120">
        <v>127</v>
      </c>
      <c r="L93" s="120">
        <v>133</v>
      </c>
      <c r="M93" s="99"/>
    </row>
    <row r="94" spans="1:13" ht="15.75">
      <c r="A94" s="144" t="s">
        <v>190</v>
      </c>
      <c r="B94" s="111" t="s">
        <v>138</v>
      </c>
      <c r="C94" s="202"/>
      <c r="D94" s="119"/>
      <c r="E94" s="120">
        <v>34</v>
      </c>
      <c r="F94" s="120">
        <v>34</v>
      </c>
      <c r="G94" s="120">
        <f t="shared" si="16"/>
        <v>208</v>
      </c>
      <c r="H94" s="120">
        <v>37</v>
      </c>
      <c r="I94" s="120">
        <v>39</v>
      </c>
      <c r="J94" s="120">
        <v>42</v>
      </c>
      <c r="K94" s="120">
        <v>44</v>
      </c>
      <c r="L94" s="120">
        <v>46</v>
      </c>
      <c r="M94" s="99"/>
    </row>
    <row r="95" spans="1:13" ht="21.75" customHeight="1">
      <c r="A95" s="144" t="s">
        <v>192</v>
      </c>
      <c r="B95" s="111" t="s">
        <v>139</v>
      </c>
      <c r="C95" s="202"/>
      <c r="D95" s="119"/>
      <c r="E95" s="120">
        <v>91</v>
      </c>
      <c r="F95" s="120">
        <v>91</v>
      </c>
      <c r="G95" s="120">
        <f t="shared" si="16"/>
        <v>551</v>
      </c>
      <c r="H95" s="120">
        <v>98</v>
      </c>
      <c r="I95" s="120">
        <v>105</v>
      </c>
      <c r="J95" s="120">
        <v>111</v>
      </c>
      <c r="K95" s="120">
        <v>116</v>
      </c>
      <c r="L95" s="120">
        <v>121</v>
      </c>
      <c r="M95" s="99"/>
    </row>
    <row r="96" spans="1:13" ht="46.5" customHeight="1">
      <c r="A96" s="144" t="s">
        <v>193</v>
      </c>
      <c r="B96" s="111" t="s">
        <v>36</v>
      </c>
      <c r="C96" s="202" t="s">
        <v>5</v>
      </c>
      <c r="D96" s="119">
        <v>162</v>
      </c>
      <c r="E96" s="120"/>
      <c r="F96" s="120"/>
      <c r="G96" s="120">
        <f t="shared" si="16"/>
        <v>0</v>
      </c>
      <c r="H96" s="120"/>
      <c r="I96" s="120"/>
      <c r="J96" s="120"/>
      <c r="K96" s="120"/>
      <c r="L96" s="120"/>
      <c r="M96" s="99"/>
    </row>
    <row r="97" spans="1:13" ht="43.5" customHeight="1">
      <c r="A97" s="230" t="s">
        <v>86</v>
      </c>
      <c r="B97" s="147" t="s">
        <v>37</v>
      </c>
      <c r="C97" s="108" t="s">
        <v>5</v>
      </c>
      <c r="D97" s="239"/>
      <c r="E97" s="240"/>
      <c r="F97" s="240"/>
      <c r="G97" s="139">
        <f t="shared" si="16"/>
        <v>15000</v>
      </c>
      <c r="H97" s="231">
        <v>3000</v>
      </c>
      <c r="I97" s="231">
        <v>3000</v>
      </c>
      <c r="J97" s="231">
        <v>3000</v>
      </c>
      <c r="K97" s="231">
        <v>3000</v>
      </c>
      <c r="L97" s="231">
        <v>3000</v>
      </c>
      <c r="M97" s="99"/>
    </row>
    <row r="98" spans="1:13" ht="30" hidden="1" customHeight="1">
      <c r="A98" s="364" t="s">
        <v>65</v>
      </c>
      <c r="B98" s="366" t="s">
        <v>0</v>
      </c>
      <c r="C98" s="366" t="s">
        <v>104</v>
      </c>
      <c r="D98" s="361" t="s">
        <v>105</v>
      </c>
      <c r="E98" s="361" t="s">
        <v>106</v>
      </c>
      <c r="F98" s="361" t="s">
        <v>107</v>
      </c>
      <c r="G98" s="363" t="s">
        <v>108</v>
      </c>
      <c r="H98" s="363"/>
      <c r="I98" s="363"/>
      <c r="J98" s="363"/>
      <c r="K98" s="363"/>
      <c r="L98" s="363"/>
      <c r="M98" s="99"/>
    </row>
    <row r="99" spans="1:13" ht="138.75" customHeight="1">
      <c r="A99" s="365"/>
      <c r="B99" s="367"/>
      <c r="C99" s="367"/>
      <c r="D99" s="362"/>
      <c r="E99" s="362"/>
      <c r="F99" s="362"/>
      <c r="G99" s="200" t="s">
        <v>109</v>
      </c>
      <c r="H99" s="200" t="s">
        <v>110</v>
      </c>
      <c r="I99" s="200" t="s">
        <v>111</v>
      </c>
      <c r="J99" s="200" t="s">
        <v>112</v>
      </c>
      <c r="K99" s="200" t="s">
        <v>113</v>
      </c>
      <c r="L99" s="200" t="s">
        <v>114</v>
      </c>
      <c r="M99" s="99"/>
    </row>
    <row r="100" spans="1:13" ht="21" customHeight="1">
      <c r="A100" s="207">
        <v>1</v>
      </c>
      <c r="B100" s="207">
        <v>2</v>
      </c>
      <c r="C100" s="207">
        <v>3</v>
      </c>
      <c r="D100" s="207">
        <v>4</v>
      </c>
      <c r="E100" s="207">
        <v>5</v>
      </c>
      <c r="F100" s="207">
        <v>6</v>
      </c>
      <c r="G100" s="207">
        <v>7</v>
      </c>
      <c r="H100" s="207">
        <v>8</v>
      </c>
      <c r="I100" s="207">
        <v>9</v>
      </c>
      <c r="J100" s="207">
        <v>10</v>
      </c>
      <c r="K100" s="207">
        <v>11</v>
      </c>
      <c r="L100" s="207">
        <v>12</v>
      </c>
      <c r="M100" s="99"/>
    </row>
    <row r="101" spans="1:13" ht="33" customHeight="1">
      <c r="A101" s="190" t="s">
        <v>38</v>
      </c>
      <c r="B101" s="107" t="s">
        <v>156</v>
      </c>
      <c r="C101" s="108" t="s">
        <v>5</v>
      </c>
      <c r="D101" s="180">
        <f>D57+D15-31</f>
        <v>37957</v>
      </c>
      <c r="E101" s="180">
        <f>E57+E15</f>
        <v>45366</v>
      </c>
      <c r="F101" s="180">
        <f>F57+F15</f>
        <v>45367</v>
      </c>
      <c r="G101" s="180">
        <f>H101+I101+J101+K101+L101</f>
        <v>404213</v>
      </c>
      <c r="H101" s="180">
        <v>66897</v>
      </c>
      <c r="I101" s="180">
        <v>74327</v>
      </c>
      <c r="J101" s="180">
        <v>80785</v>
      </c>
      <c r="K101" s="180">
        <f>K57+K15</f>
        <v>88634</v>
      </c>
      <c r="L101" s="180">
        <v>93570</v>
      </c>
      <c r="M101" s="99"/>
    </row>
    <row r="102" spans="1:13" ht="15.75">
      <c r="A102" s="190" t="s">
        <v>40</v>
      </c>
      <c r="B102" s="107" t="s">
        <v>197</v>
      </c>
      <c r="C102" s="108" t="s">
        <v>5</v>
      </c>
      <c r="D102" s="179"/>
      <c r="E102" s="174">
        <v>-1538</v>
      </c>
      <c r="F102" s="174">
        <v>-1538</v>
      </c>
      <c r="G102" s="120">
        <f>H102+I102+J102+K102+L102</f>
        <v>41938</v>
      </c>
      <c r="H102" s="120">
        <f>H104-H101-H97</f>
        <v>9723</v>
      </c>
      <c r="I102" s="120">
        <f>I104-I101</f>
        <v>9956</v>
      </c>
      <c r="J102" s="174">
        <v>7184</v>
      </c>
      <c r="K102" s="174">
        <v>7415</v>
      </c>
      <c r="L102" s="174">
        <v>7660</v>
      </c>
      <c r="M102" s="99"/>
    </row>
    <row r="103" spans="1:13" ht="31.5">
      <c r="A103" s="190" t="s">
        <v>41</v>
      </c>
      <c r="B103" s="203" t="s">
        <v>198</v>
      </c>
      <c r="C103" s="108" t="s">
        <v>5</v>
      </c>
      <c r="D103" s="193"/>
      <c r="E103" s="194"/>
      <c r="F103" s="194"/>
      <c r="G103" s="194">
        <v>1664763</v>
      </c>
      <c r="H103" s="195">
        <v>314030</v>
      </c>
      <c r="I103" s="195">
        <v>324053</v>
      </c>
      <c r="J103" s="194">
        <v>333506</v>
      </c>
      <c r="K103" s="194">
        <v>342395</v>
      </c>
      <c r="L103" s="194">
        <v>350779</v>
      </c>
      <c r="M103" s="99"/>
    </row>
    <row r="104" spans="1:13" ht="15.75">
      <c r="A104" s="190" t="s">
        <v>43</v>
      </c>
      <c r="B104" s="203" t="s">
        <v>42</v>
      </c>
      <c r="C104" s="108"/>
      <c r="D104" s="119">
        <f>D101</f>
        <v>37957</v>
      </c>
      <c r="E104" s="120">
        <f>E101+E102</f>
        <v>43828</v>
      </c>
      <c r="F104" s="120">
        <f>F101+F102</f>
        <v>43829</v>
      </c>
      <c r="G104" s="174">
        <v>452151</v>
      </c>
      <c r="H104" s="195">
        <v>79620</v>
      </c>
      <c r="I104" s="195">
        <v>84283</v>
      </c>
      <c r="J104" s="195">
        <f>J101+J102</f>
        <v>87969</v>
      </c>
      <c r="K104" s="195">
        <f>K101+K102</f>
        <v>96049</v>
      </c>
      <c r="L104" s="195">
        <v>104230</v>
      </c>
    </row>
    <row r="105" spans="1:13" ht="26.25" customHeight="1">
      <c r="A105" s="369" t="s">
        <v>45</v>
      </c>
      <c r="B105" s="373" t="s">
        <v>44</v>
      </c>
      <c r="C105" s="108" t="s">
        <v>100</v>
      </c>
      <c r="D105" s="175">
        <v>67</v>
      </c>
      <c r="E105" s="174">
        <v>68</v>
      </c>
      <c r="F105" s="174">
        <v>68</v>
      </c>
      <c r="G105" s="137">
        <v>558.85</v>
      </c>
      <c r="H105" s="137">
        <v>101</v>
      </c>
      <c r="I105" s="137">
        <v>106</v>
      </c>
      <c r="J105" s="137">
        <v>112</v>
      </c>
      <c r="K105" s="137">
        <v>117</v>
      </c>
      <c r="L105" s="137">
        <v>129.87</v>
      </c>
    </row>
    <row r="106" spans="1:13" ht="30" customHeight="1">
      <c r="A106" s="369"/>
      <c r="B106" s="373"/>
      <c r="C106" s="108" t="s">
        <v>2</v>
      </c>
      <c r="D106" s="179">
        <f>D105*D109</f>
        <v>43181.5</v>
      </c>
      <c r="E106" s="174">
        <v>43828</v>
      </c>
      <c r="F106" s="174">
        <v>43828</v>
      </c>
      <c r="G106" s="174">
        <v>458151</v>
      </c>
      <c r="H106" s="120">
        <f>H105*H109</f>
        <v>79572.850000000006</v>
      </c>
      <c r="I106" s="120">
        <f>I105*I109</f>
        <v>84123.72</v>
      </c>
      <c r="J106" s="120">
        <f>J105*J109</f>
        <v>91377.44</v>
      </c>
      <c r="K106" s="120">
        <f>K105*K109</f>
        <v>98980.83</v>
      </c>
      <c r="L106" s="120">
        <f>L105*L109</f>
        <v>110042.74710000001</v>
      </c>
    </row>
    <row r="107" spans="1:13" ht="15.75">
      <c r="A107" s="369" t="s">
        <v>47</v>
      </c>
      <c r="B107" s="370" t="s">
        <v>191</v>
      </c>
      <c r="C107" s="108" t="s">
        <v>46</v>
      </c>
      <c r="D107" s="184">
        <v>3.2</v>
      </c>
      <c r="E107" s="174">
        <v>3.4</v>
      </c>
      <c r="F107" s="174">
        <v>3.4</v>
      </c>
      <c r="G107" s="174">
        <v>5</v>
      </c>
      <c r="H107" s="120">
        <v>5</v>
      </c>
      <c r="I107" s="120">
        <v>5</v>
      </c>
      <c r="J107" s="120">
        <v>5</v>
      </c>
      <c r="K107" s="120">
        <v>5</v>
      </c>
      <c r="L107" s="120">
        <v>5</v>
      </c>
      <c r="M107" s="27"/>
    </row>
    <row r="108" spans="1:13" ht="23.25" customHeight="1">
      <c r="A108" s="369"/>
      <c r="B108" s="370"/>
      <c r="C108" s="108" t="s">
        <v>100</v>
      </c>
      <c r="D108" s="119">
        <f>D105*D107%</f>
        <v>2.1440000000000001</v>
      </c>
      <c r="E108" s="119">
        <f>(E105*1.034)*E107%</f>
        <v>2.3906080000000003</v>
      </c>
      <c r="F108" s="119">
        <f>(F105*1.034)*F107%</f>
        <v>2.3906080000000003</v>
      </c>
      <c r="G108" s="174">
        <v>27.94</v>
      </c>
      <c r="H108" s="120">
        <f>H105*H107%</f>
        <v>5.0500000000000007</v>
      </c>
      <c r="I108" s="120">
        <v>5.31</v>
      </c>
      <c r="J108" s="120">
        <v>5.58</v>
      </c>
      <c r="K108" s="120">
        <f>K105*K107%</f>
        <v>5.8500000000000005</v>
      </c>
      <c r="L108" s="120">
        <f>L105*L107%</f>
        <v>6.4935000000000009</v>
      </c>
    </row>
    <row r="109" spans="1:13" ht="34.5">
      <c r="A109" s="190" t="s">
        <v>157</v>
      </c>
      <c r="B109" s="201" t="s">
        <v>48</v>
      </c>
      <c r="C109" s="108" t="s">
        <v>101</v>
      </c>
      <c r="D109" s="196">
        <v>644.5</v>
      </c>
      <c r="E109" s="196">
        <v>644.5</v>
      </c>
      <c r="F109" s="196">
        <v>644.5</v>
      </c>
      <c r="G109" s="139">
        <v>819.81</v>
      </c>
      <c r="H109" s="139">
        <v>787.85</v>
      </c>
      <c r="I109" s="139">
        <v>793.62</v>
      </c>
      <c r="J109" s="139">
        <v>815.87</v>
      </c>
      <c r="K109" s="139">
        <v>845.99</v>
      </c>
      <c r="L109" s="139">
        <v>847.33</v>
      </c>
    </row>
    <row r="110" spans="1:13" ht="15.75">
      <c r="A110" s="131"/>
      <c r="B110" s="111" t="s">
        <v>49</v>
      </c>
      <c r="C110" s="200"/>
      <c r="D110" s="179"/>
      <c r="E110" s="174"/>
      <c r="F110" s="174"/>
      <c r="G110" s="174"/>
      <c r="H110" s="174"/>
      <c r="I110" s="174"/>
      <c r="J110" s="174"/>
      <c r="K110" s="174"/>
      <c r="L110" s="174"/>
    </row>
    <row r="111" spans="1:13" ht="31.5">
      <c r="A111" s="186" t="s">
        <v>87</v>
      </c>
      <c r="B111" s="111" t="s">
        <v>158</v>
      </c>
      <c r="C111" s="202" t="s">
        <v>51</v>
      </c>
      <c r="D111" s="179"/>
      <c r="E111" s="174"/>
      <c r="F111" s="174"/>
      <c r="G111" s="174">
        <v>34</v>
      </c>
      <c r="H111" s="174">
        <v>34</v>
      </c>
      <c r="I111" s="174">
        <v>34</v>
      </c>
      <c r="J111" s="174">
        <v>34</v>
      </c>
      <c r="K111" s="174">
        <v>34</v>
      </c>
      <c r="L111" s="174">
        <v>34</v>
      </c>
    </row>
    <row r="112" spans="1:13" ht="15.75">
      <c r="A112" s="131"/>
      <c r="B112" s="111" t="s">
        <v>4</v>
      </c>
      <c r="C112" s="200"/>
      <c r="D112" s="179"/>
      <c r="E112" s="174"/>
      <c r="F112" s="174"/>
      <c r="G112" s="174"/>
      <c r="H112" s="174"/>
      <c r="I112" s="174"/>
      <c r="J112" s="174"/>
      <c r="K112" s="174"/>
      <c r="L112" s="174"/>
    </row>
    <row r="113" spans="1:12" ht="15.75">
      <c r="A113" s="186" t="s">
        <v>88</v>
      </c>
      <c r="B113" s="111" t="s">
        <v>159</v>
      </c>
      <c r="C113" s="202" t="s">
        <v>5</v>
      </c>
      <c r="D113" s="179"/>
      <c r="E113" s="174"/>
      <c r="F113" s="174"/>
      <c r="G113" s="174">
        <v>25</v>
      </c>
      <c r="H113" s="174">
        <v>25</v>
      </c>
      <c r="I113" s="174">
        <v>25</v>
      </c>
      <c r="J113" s="174">
        <v>25</v>
      </c>
      <c r="K113" s="174">
        <v>25</v>
      </c>
      <c r="L113" s="174">
        <v>25</v>
      </c>
    </row>
    <row r="114" spans="1:12" ht="15.75">
      <c r="A114" s="186" t="s">
        <v>89</v>
      </c>
      <c r="B114" s="111" t="s">
        <v>160</v>
      </c>
      <c r="C114" s="202" t="s">
        <v>5</v>
      </c>
      <c r="D114" s="179"/>
      <c r="E114" s="174"/>
      <c r="F114" s="174"/>
      <c r="G114" s="174">
        <v>9</v>
      </c>
      <c r="H114" s="174">
        <v>9</v>
      </c>
      <c r="I114" s="174">
        <v>9</v>
      </c>
      <c r="J114" s="174">
        <v>9</v>
      </c>
      <c r="K114" s="174">
        <v>9</v>
      </c>
      <c r="L114" s="174">
        <v>9</v>
      </c>
    </row>
    <row r="115" spans="1:12" ht="31.5">
      <c r="A115" s="186" t="s">
        <v>90</v>
      </c>
      <c r="B115" s="111" t="s">
        <v>54</v>
      </c>
      <c r="C115" s="202" t="s">
        <v>55</v>
      </c>
      <c r="D115" s="179"/>
      <c r="E115" s="174"/>
      <c r="F115" s="174"/>
      <c r="G115" s="174">
        <v>90961</v>
      </c>
      <c r="H115" s="174">
        <v>84404</v>
      </c>
      <c r="I115" s="174">
        <v>90303</v>
      </c>
      <c r="J115" s="174">
        <v>96144</v>
      </c>
      <c r="K115" s="174">
        <v>101534</v>
      </c>
      <c r="L115" s="174">
        <v>106531</v>
      </c>
    </row>
    <row r="116" spans="1:12" ht="15.75">
      <c r="A116" s="131"/>
      <c r="B116" s="111" t="s">
        <v>4</v>
      </c>
      <c r="C116" s="200"/>
      <c r="D116" s="179"/>
      <c r="E116" s="174"/>
      <c r="F116" s="174"/>
      <c r="G116" s="174"/>
      <c r="H116" s="174"/>
      <c r="I116" s="174"/>
      <c r="J116" s="174"/>
      <c r="K116" s="174"/>
      <c r="L116" s="174"/>
    </row>
    <row r="117" spans="1:12" ht="15.75">
      <c r="A117" s="186" t="s">
        <v>91</v>
      </c>
      <c r="B117" s="111" t="s">
        <v>52</v>
      </c>
      <c r="C117" s="202" t="s">
        <v>5</v>
      </c>
      <c r="D117" s="179"/>
      <c r="E117" s="174"/>
      <c r="F117" s="174"/>
      <c r="G117" s="174">
        <v>90489</v>
      </c>
      <c r="H117" s="174">
        <v>80311</v>
      </c>
      <c r="I117" s="174">
        <v>85933</v>
      </c>
      <c r="J117" s="174">
        <v>91089</v>
      </c>
      <c r="K117" s="174">
        <v>95643</v>
      </c>
      <c r="L117" s="174">
        <v>99468</v>
      </c>
    </row>
    <row r="118" spans="1:12" ht="15.75">
      <c r="A118" s="206" t="s">
        <v>92</v>
      </c>
      <c r="B118" s="208" t="s">
        <v>53</v>
      </c>
      <c r="C118" s="209" t="s">
        <v>5</v>
      </c>
      <c r="D118" s="212"/>
      <c r="E118" s="213"/>
      <c r="F118" s="213"/>
      <c r="G118" s="213">
        <v>92271</v>
      </c>
      <c r="H118" s="213">
        <v>95777</v>
      </c>
      <c r="I118" s="213">
        <v>102444</v>
      </c>
      <c r="J118" s="213">
        <v>110185</v>
      </c>
      <c r="K118" s="213">
        <v>117898</v>
      </c>
      <c r="L118" s="213">
        <v>126148</v>
      </c>
    </row>
    <row r="119" spans="1:12" ht="22.5" customHeight="1" thickBot="1">
      <c r="A119" s="214"/>
      <c r="B119" s="215"/>
      <c r="C119" s="216"/>
      <c r="D119" s="217"/>
      <c r="E119" s="218"/>
      <c r="F119" s="218"/>
      <c r="G119" s="218"/>
      <c r="H119" s="218"/>
      <c r="I119" s="218"/>
      <c r="J119" s="218"/>
      <c r="K119" s="218"/>
      <c r="L119" s="218"/>
    </row>
    <row r="120" spans="1:12" ht="15.75">
      <c r="A120" s="364" t="s">
        <v>65</v>
      </c>
      <c r="B120" s="366" t="s">
        <v>0</v>
      </c>
      <c r="C120" s="366" t="s">
        <v>104</v>
      </c>
      <c r="D120" s="361" t="s">
        <v>105</v>
      </c>
      <c r="E120" s="361" t="s">
        <v>106</v>
      </c>
      <c r="F120" s="361" t="s">
        <v>107</v>
      </c>
      <c r="G120" s="363" t="s">
        <v>108</v>
      </c>
      <c r="H120" s="363"/>
      <c r="I120" s="363"/>
      <c r="J120" s="363"/>
      <c r="K120" s="363"/>
      <c r="L120" s="363"/>
    </row>
    <row r="121" spans="1:12" ht="155.25" customHeight="1">
      <c r="A121" s="365"/>
      <c r="B121" s="367"/>
      <c r="C121" s="367"/>
      <c r="D121" s="362"/>
      <c r="E121" s="362"/>
      <c r="F121" s="362"/>
      <c r="G121" s="200" t="s">
        <v>109</v>
      </c>
      <c r="H121" s="200" t="s">
        <v>110</v>
      </c>
      <c r="I121" s="200" t="s">
        <v>111</v>
      </c>
      <c r="J121" s="200" t="s">
        <v>112</v>
      </c>
      <c r="K121" s="200" t="s">
        <v>113</v>
      </c>
      <c r="L121" s="200" t="s">
        <v>114</v>
      </c>
    </row>
    <row r="122" spans="1:12" ht="15.75">
      <c r="A122" s="207">
        <v>1</v>
      </c>
      <c r="B122" s="207">
        <v>2</v>
      </c>
      <c r="C122" s="207">
        <v>3</v>
      </c>
      <c r="D122" s="207">
        <v>4</v>
      </c>
      <c r="E122" s="207">
        <v>5</v>
      </c>
      <c r="F122" s="207">
        <v>6</v>
      </c>
      <c r="G122" s="207">
        <v>7</v>
      </c>
      <c r="H122" s="207">
        <v>8</v>
      </c>
      <c r="I122" s="207">
        <v>9</v>
      </c>
      <c r="J122" s="207">
        <v>10</v>
      </c>
      <c r="K122" s="207">
        <v>11</v>
      </c>
      <c r="L122" s="207">
        <v>12</v>
      </c>
    </row>
    <row r="123" spans="1:12" ht="60" customHeight="1">
      <c r="A123" s="7" t="s">
        <v>93</v>
      </c>
      <c r="B123" s="140" t="s">
        <v>56</v>
      </c>
      <c r="C123" s="202" t="s">
        <v>2</v>
      </c>
      <c r="D123" s="179"/>
      <c r="E123" s="174"/>
      <c r="F123" s="174"/>
      <c r="G123" s="174"/>
      <c r="H123" s="174"/>
      <c r="I123" s="174"/>
      <c r="J123" s="174"/>
      <c r="K123" s="174"/>
      <c r="L123" s="174"/>
    </row>
    <row r="124" spans="1:12" ht="51.75" customHeight="1">
      <c r="A124" s="7" t="s">
        <v>94</v>
      </c>
      <c r="B124" s="111" t="s">
        <v>57</v>
      </c>
      <c r="C124" s="202" t="s">
        <v>5</v>
      </c>
      <c r="D124" s="179"/>
      <c r="E124" s="174"/>
      <c r="F124" s="174"/>
      <c r="G124" s="174"/>
      <c r="H124" s="174"/>
      <c r="I124" s="174"/>
      <c r="J124" s="174"/>
      <c r="K124" s="174"/>
      <c r="L124" s="174"/>
    </row>
    <row r="125" spans="1:12" ht="70.5" customHeight="1">
      <c r="A125" s="7" t="s">
        <v>95</v>
      </c>
      <c r="B125" s="111" t="s">
        <v>161</v>
      </c>
      <c r="C125" s="202" t="s">
        <v>5</v>
      </c>
      <c r="D125" s="179"/>
      <c r="E125" s="174"/>
      <c r="F125" s="174"/>
      <c r="G125" s="174">
        <v>31612</v>
      </c>
      <c r="H125" s="174">
        <v>5279</v>
      </c>
      <c r="I125" s="174">
        <v>5702</v>
      </c>
      <c r="J125" s="174">
        <v>6272</v>
      </c>
      <c r="K125" s="174">
        <v>6773</v>
      </c>
      <c r="L125" s="174">
        <v>7586</v>
      </c>
    </row>
    <row r="126" spans="1:12" ht="24" customHeight="1">
      <c r="A126" s="8"/>
      <c r="B126" s="111" t="s">
        <v>4</v>
      </c>
      <c r="C126" s="200"/>
      <c r="D126" s="179"/>
      <c r="E126" s="174"/>
      <c r="F126" s="174"/>
      <c r="G126" s="174"/>
      <c r="H126" s="174"/>
      <c r="I126" s="174"/>
      <c r="J126" s="174"/>
      <c r="K126" s="174"/>
      <c r="L126" s="174"/>
    </row>
    <row r="127" spans="1:12" ht="36.75" customHeight="1">
      <c r="A127" s="7" t="s">
        <v>96</v>
      </c>
      <c r="B127" s="111" t="s">
        <v>59</v>
      </c>
      <c r="C127" s="202" t="s">
        <v>5</v>
      </c>
      <c r="D127" s="179"/>
      <c r="E127" s="174"/>
      <c r="F127" s="174"/>
      <c r="G127" s="174">
        <v>22958</v>
      </c>
      <c r="H127" s="174">
        <v>3834</v>
      </c>
      <c r="I127" s="174">
        <v>4141</v>
      </c>
      <c r="J127" s="174">
        <v>4555</v>
      </c>
      <c r="K127" s="174">
        <v>4919</v>
      </c>
      <c r="L127" s="174">
        <v>5509</v>
      </c>
    </row>
    <row r="128" spans="1:12" ht="33" customHeight="1">
      <c r="A128" s="7" t="s">
        <v>97</v>
      </c>
      <c r="B128" s="111" t="s">
        <v>8</v>
      </c>
      <c r="C128" s="202" t="s">
        <v>5</v>
      </c>
      <c r="D128" s="179"/>
      <c r="E128" s="174"/>
      <c r="F128" s="174"/>
      <c r="G128" s="174">
        <v>8187</v>
      </c>
      <c r="H128" s="174">
        <v>1367</v>
      </c>
      <c r="I128" s="174">
        <v>1477</v>
      </c>
      <c r="J128" s="174">
        <v>1624</v>
      </c>
      <c r="K128" s="174">
        <v>1754</v>
      </c>
      <c r="L128" s="174">
        <v>1965</v>
      </c>
    </row>
    <row r="129" spans="1:12" ht="33" customHeight="1">
      <c r="A129" s="7" t="s">
        <v>98</v>
      </c>
      <c r="B129" s="111" t="s">
        <v>9</v>
      </c>
      <c r="C129" s="202" t="s">
        <v>5</v>
      </c>
      <c r="D129" s="179"/>
      <c r="E129" s="174"/>
      <c r="F129" s="174"/>
      <c r="G129" s="174">
        <v>467</v>
      </c>
      <c r="H129" s="174">
        <v>78</v>
      </c>
      <c r="I129" s="174">
        <v>84</v>
      </c>
      <c r="J129" s="174">
        <v>93</v>
      </c>
      <c r="K129" s="174">
        <v>100</v>
      </c>
      <c r="L129" s="174">
        <v>112</v>
      </c>
    </row>
    <row r="130" spans="1:12" ht="15.75">
      <c r="A130" s="5"/>
      <c r="B130" s="100"/>
      <c r="C130" s="100"/>
      <c r="D130" s="235"/>
      <c r="E130" s="199"/>
      <c r="F130" s="199"/>
      <c r="G130" s="199"/>
      <c r="H130" s="199"/>
      <c r="I130" s="199"/>
      <c r="J130" s="199"/>
      <c r="K130" s="199"/>
      <c r="L130" s="199"/>
    </row>
    <row r="131" spans="1:12" ht="15.75">
      <c r="A131" s="5"/>
      <c r="B131" s="100"/>
      <c r="C131" s="100"/>
      <c r="D131" s="100"/>
      <c r="E131" s="99"/>
      <c r="F131" s="99"/>
      <c r="G131" s="99"/>
      <c r="I131" s="99"/>
      <c r="J131" s="99"/>
      <c r="K131" s="99"/>
      <c r="L131" s="99"/>
    </row>
    <row r="132" spans="1:12" ht="15.75">
      <c r="A132" s="5"/>
      <c r="B132" s="100"/>
      <c r="C132" s="100"/>
      <c r="D132" s="100"/>
      <c r="E132" s="99"/>
      <c r="F132" s="99"/>
      <c r="G132" s="99"/>
      <c r="I132" s="99"/>
      <c r="J132" s="99"/>
      <c r="K132" s="99"/>
      <c r="L132" s="99"/>
    </row>
    <row r="133" spans="1:12" ht="15.75">
      <c r="A133" s="5"/>
      <c r="B133" s="100"/>
      <c r="C133" s="100"/>
      <c r="D133" s="100"/>
      <c r="E133" s="99"/>
      <c r="F133" s="99"/>
      <c r="G133" s="99"/>
      <c r="I133" s="99"/>
      <c r="J133" s="99"/>
      <c r="K133" s="99"/>
      <c r="L133" s="99"/>
    </row>
    <row r="134" spans="1:12" ht="15.75">
      <c r="A134" s="5"/>
      <c r="B134" s="100"/>
      <c r="C134" s="100"/>
      <c r="D134" s="100"/>
      <c r="E134" s="99"/>
      <c r="F134" s="99"/>
      <c r="G134" s="99"/>
      <c r="I134" s="99"/>
      <c r="J134" s="99"/>
      <c r="K134" s="99"/>
      <c r="L134" s="99"/>
    </row>
    <row r="135" spans="1:12" ht="15.75">
      <c r="A135" s="3"/>
      <c r="B135" s="100"/>
      <c r="C135" s="100"/>
      <c r="D135" s="100"/>
      <c r="E135" s="99"/>
      <c r="F135" s="99"/>
      <c r="G135" s="99"/>
      <c r="I135" s="99"/>
      <c r="J135" s="99"/>
      <c r="K135" s="99"/>
      <c r="L135" s="99"/>
    </row>
    <row r="136" spans="1:12" ht="15.75">
      <c r="A136" s="3"/>
      <c r="B136" s="100"/>
      <c r="C136" s="100"/>
      <c r="D136" s="100"/>
      <c r="E136" s="99"/>
      <c r="F136" s="99"/>
      <c r="G136" s="99"/>
      <c r="I136" s="99"/>
      <c r="J136" s="99"/>
      <c r="K136" s="99"/>
      <c r="L136" s="99"/>
    </row>
  </sheetData>
  <mergeCells count="60">
    <mergeCell ref="A45:A46"/>
    <mergeCell ref="B45:B46"/>
    <mergeCell ref="E31:E32"/>
    <mergeCell ref="F31:F32"/>
    <mergeCell ref="G31:L31"/>
    <mergeCell ref="G45:L45"/>
    <mergeCell ref="C45:C46"/>
    <mergeCell ref="D45:D46"/>
    <mergeCell ref="E45:E46"/>
    <mergeCell ref="F45:F46"/>
    <mergeCell ref="A9:L9"/>
    <mergeCell ref="A10:L10"/>
    <mergeCell ref="J5:L5"/>
    <mergeCell ref="A8:L8"/>
    <mergeCell ref="B6:L6"/>
    <mergeCell ref="B7:L7"/>
    <mergeCell ref="E12:E13"/>
    <mergeCell ref="F12:F13"/>
    <mergeCell ref="G12:L12"/>
    <mergeCell ref="A107:A108"/>
    <mergeCell ref="B107:B108"/>
    <mergeCell ref="D12:D13"/>
    <mergeCell ref="A12:A13"/>
    <mergeCell ref="B12:B13"/>
    <mergeCell ref="C12:C13"/>
    <mergeCell ref="A16:A17"/>
    <mergeCell ref="A105:A106"/>
    <mergeCell ref="B105:B106"/>
    <mergeCell ref="A31:A32"/>
    <mergeCell ref="B31:B32"/>
    <mergeCell ref="C31:C32"/>
    <mergeCell ref="D31:D32"/>
    <mergeCell ref="F62:F63"/>
    <mergeCell ref="G62:L62"/>
    <mergeCell ref="A82:A83"/>
    <mergeCell ref="B82:B83"/>
    <mergeCell ref="C82:C83"/>
    <mergeCell ref="D82:D83"/>
    <mergeCell ref="E82:E83"/>
    <mergeCell ref="F82:F83"/>
    <mergeCell ref="G82:L82"/>
    <mergeCell ref="A62:A63"/>
    <mergeCell ref="B62:B63"/>
    <mergeCell ref="C62:C63"/>
    <mergeCell ref="D62:D63"/>
    <mergeCell ref="E62:E63"/>
    <mergeCell ref="F98:F99"/>
    <mergeCell ref="G98:L98"/>
    <mergeCell ref="A120:A121"/>
    <mergeCell ref="B120:B121"/>
    <mergeCell ref="C120:C121"/>
    <mergeCell ref="D120:D121"/>
    <mergeCell ref="E120:E121"/>
    <mergeCell ref="F120:F121"/>
    <mergeCell ref="G120:L120"/>
    <mergeCell ref="A98:A99"/>
    <mergeCell ref="B98:B99"/>
    <mergeCell ref="C98:C99"/>
    <mergeCell ref="D98:D99"/>
    <mergeCell ref="E98:E9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3"/>
  <sheetViews>
    <sheetView topLeftCell="A95" workbookViewId="0">
      <selection activeCell="G118" sqref="G118"/>
    </sheetView>
  </sheetViews>
  <sheetFormatPr defaultColWidth="9.140625" defaultRowHeight="15"/>
  <cols>
    <col min="1" max="1" width="7" style="19" customWidth="1"/>
    <col min="2" max="2" width="19" style="19" customWidth="1"/>
    <col min="3" max="3" width="10.28515625" style="19" customWidth="1"/>
    <col min="4" max="4" width="11.85546875" style="19" customWidth="1"/>
    <col min="5" max="5" width="14.140625" style="19" customWidth="1"/>
    <col min="6" max="6" width="15.140625" style="19" customWidth="1"/>
    <col min="7" max="7" width="11.140625" style="99" customWidth="1"/>
    <col min="8" max="8" width="10.42578125" style="19" customWidth="1"/>
    <col min="9" max="9" width="11.7109375" style="99" customWidth="1"/>
    <col min="10" max="10" width="10.42578125" style="19" customWidth="1"/>
    <col min="11" max="11" width="10.7109375" style="19" customWidth="1"/>
    <col min="12" max="12" width="10.42578125" style="19" customWidth="1"/>
    <col min="13" max="13" width="7.42578125" style="19" customWidth="1"/>
    <col min="14" max="16384" width="9.140625" style="19"/>
  </cols>
  <sheetData>
    <row r="1" spans="1:14" ht="15.75">
      <c r="J1" s="376" t="s">
        <v>206</v>
      </c>
      <c r="K1" s="376"/>
      <c r="L1" s="376"/>
    </row>
    <row r="2" spans="1:14" ht="15.75">
      <c r="A2" s="46"/>
      <c r="M2" s="47"/>
    </row>
    <row r="3" spans="1:14" ht="15.75">
      <c r="A3" s="46"/>
      <c r="B3" s="378" t="s">
        <v>203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48"/>
      <c r="N3" s="48"/>
    </row>
    <row r="4" spans="1:14" ht="15.75">
      <c r="A4" s="46"/>
      <c r="B4" s="378" t="s">
        <v>204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48"/>
      <c r="N4" s="48"/>
    </row>
    <row r="5" spans="1:14" ht="5.25" customHeight="1">
      <c r="A5" s="46"/>
      <c r="H5" s="382"/>
      <c r="I5" s="382"/>
      <c r="J5" s="382"/>
      <c r="K5" s="382"/>
      <c r="L5" s="382"/>
      <c r="M5" s="47"/>
    </row>
    <row r="6" spans="1:14" ht="16.5" customHeight="1">
      <c r="A6" s="383" t="s">
        <v>207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1:14" ht="16.5" customHeight="1">
      <c r="A7" s="381" t="s">
        <v>119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1:14" ht="16.5" customHeight="1">
      <c r="A8" s="381" t="s">
        <v>135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4" ht="9.75" customHeight="1">
      <c r="A9" s="46"/>
      <c r="B9" s="47"/>
      <c r="C9" s="47"/>
      <c r="D9" s="47"/>
    </row>
    <row r="10" spans="1:14" ht="24.75" customHeight="1">
      <c r="A10" s="365" t="s">
        <v>65</v>
      </c>
      <c r="B10" s="367" t="s">
        <v>0</v>
      </c>
      <c r="C10" s="367" t="s">
        <v>104</v>
      </c>
      <c r="D10" s="362" t="s">
        <v>105</v>
      </c>
      <c r="E10" s="362" t="s">
        <v>106</v>
      </c>
      <c r="F10" s="362" t="s">
        <v>205</v>
      </c>
      <c r="G10" s="368" t="s">
        <v>108</v>
      </c>
      <c r="H10" s="368"/>
      <c r="I10" s="368"/>
      <c r="J10" s="368"/>
      <c r="K10" s="368"/>
      <c r="L10" s="368"/>
      <c r="N10" s="51"/>
    </row>
    <row r="11" spans="1:14" ht="114.75" customHeight="1">
      <c r="A11" s="365"/>
      <c r="B11" s="367"/>
      <c r="C11" s="367"/>
      <c r="D11" s="362"/>
      <c r="E11" s="362"/>
      <c r="F11" s="362"/>
      <c r="G11" s="236" t="s">
        <v>109</v>
      </c>
      <c r="H11" s="173" t="s">
        <v>110</v>
      </c>
      <c r="I11" s="238" t="s">
        <v>111</v>
      </c>
      <c r="J11" s="173" t="s">
        <v>112</v>
      </c>
      <c r="K11" s="173" t="s">
        <v>113</v>
      </c>
      <c r="L11" s="173" t="s">
        <v>114</v>
      </c>
    </row>
    <row r="12" spans="1:14" ht="15.75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12</v>
      </c>
    </row>
    <row r="13" spans="1:14" ht="81" customHeight="1">
      <c r="A13" s="168" t="s">
        <v>1</v>
      </c>
      <c r="B13" s="104" t="s">
        <v>143</v>
      </c>
      <c r="C13" s="168" t="s">
        <v>2</v>
      </c>
      <c r="D13" s="176">
        <f t="shared" ref="D13:L13" si="0">D14+D21+D29+D30+D33</f>
        <v>24653</v>
      </c>
      <c r="E13" s="106">
        <f t="shared" si="0"/>
        <v>30347</v>
      </c>
      <c r="F13" s="106">
        <f t="shared" si="0"/>
        <v>30347</v>
      </c>
      <c r="G13" s="106">
        <f>H13+I13+J13+K13+L13</f>
        <v>335150</v>
      </c>
      <c r="H13" s="106">
        <f t="shared" si="0"/>
        <v>56949</v>
      </c>
      <c r="I13" s="106">
        <f t="shared" si="0"/>
        <v>60639</v>
      </c>
      <c r="J13" s="106">
        <f t="shared" si="0"/>
        <v>66589</v>
      </c>
      <c r="K13" s="106">
        <f t="shared" si="0"/>
        <v>73987</v>
      </c>
      <c r="L13" s="106">
        <f t="shared" si="0"/>
        <v>76986</v>
      </c>
    </row>
    <row r="14" spans="1:14" ht="32.25" customHeight="1">
      <c r="A14" s="371">
        <v>1</v>
      </c>
      <c r="B14" s="107" t="s">
        <v>3</v>
      </c>
      <c r="C14" s="108" t="s">
        <v>5</v>
      </c>
      <c r="D14" s="177">
        <f>D16+D17+D18+D19+D20</f>
        <v>3806</v>
      </c>
      <c r="E14" s="110">
        <f>E16+E17+E18+E19+E20</f>
        <v>12013</v>
      </c>
      <c r="F14" s="110">
        <f>F16+F17+F18+F19+F20</f>
        <v>12013</v>
      </c>
      <c r="G14" s="106">
        <f>H14+I14+J14+K14+L14</f>
        <v>127023</v>
      </c>
      <c r="H14" s="110">
        <f t="shared" ref="H14:L14" si="1">H16+H17+H18+H19+H20</f>
        <v>22185</v>
      </c>
      <c r="I14" s="110">
        <f t="shared" si="1"/>
        <v>23568</v>
      </c>
      <c r="J14" s="110">
        <f t="shared" si="1"/>
        <v>24898</v>
      </c>
      <c r="K14" s="110">
        <f t="shared" si="1"/>
        <v>27774</v>
      </c>
      <c r="L14" s="110">
        <f t="shared" si="1"/>
        <v>28598</v>
      </c>
    </row>
    <row r="15" spans="1:14" ht="23.25" customHeight="1">
      <c r="A15" s="372"/>
      <c r="B15" s="111" t="s">
        <v>4</v>
      </c>
      <c r="C15" s="172"/>
      <c r="D15" s="178"/>
      <c r="E15" s="174"/>
      <c r="F15" s="174"/>
      <c r="G15" s="106"/>
      <c r="H15" s="174"/>
      <c r="I15" s="174"/>
      <c r="J15" s="174"/>
      <c r="K15" s="174"/>
      <c r="L15" s="174"/>
    </row>
    <row r="16" spans="1:14" ht="32.25" customHeight="1">
      <c r="A16" s="122" t="s">
        <v>66</v>
      </c>
      <c r="B16" s="111" t="s">
        <v>144</v>
      </c>
      <c r="C16" s="108" t="s">
        <v>5</v>
      </c>
      <c r="D16" s="119">
        <v>490</v>
      </c>
      <c r="E16" s="119">
        <v>4050</v>
      </c>
      <c r="F16" s="119">
        <v>4050</v>
      </c>
      <c r="G16" s="242">
        <f>H16+I16+J16+K16+L16</f>
        <v>24513</v>
      </c>
      <c r="H16" s="119">
        <v>4333</v>
      </c>
      <c r="I16" s="119">
        <v>4637</v>
      </c>
      <c r="J16" s="119">
        <v>4915</v>
      </c>
      <c r="K16" s="119">
        <v>5261</v>
      </c>
      <c r="L16" s="119">
        <v>5367</v>
      </c>
    </row>
    <row r="17" spans="1:13" ht="33" customHeight="1">
      <c r="A17" s="122" t="s">
        <v>145</v>
      </c>
      <c r="B17" s="111" t="s">
        <v>162</v>
      </c>
      <c r="C17" s="172" t="s">
        <v>5</v>
      </c>
      <c r="D17" s="119">
        <v>1800</v>
      </c>
      <c r="E17" s="174">
        <v>4017</v>
      </c>
      <c r="F17" s="174">
        <v>4017</v>
      </c>
      <c r="G17" s="242">
        <f>H17+I17+J17+K17+L17</f>
        <v>56562</v>
      </c>
      <c r="H17" s="120">
        <v>9962</v>
      </c>
      <c r="I17" s="120">
        <v>10685</v>
      </c>
      <c r="J17" s="120">
        <v>10315</v>
      </c>
      <c r="K17" s="120">
        <v>12950</v>
      </c>
      <c r="L17" s="120">
        <v>12650</v>
      </c>
    </row>
    <row r="18" spans="1:13" ht="15.75">
      <c r="A18" s="122" t="s">
        <v>146</v>
      </c>
      <c r="B18" s="111" t="s">
        <v>147</v>
      </c>
      <c r="C18" s="172"/>
      <c r="D18" s="119"/>
      <c r="E18" s="174">
        <v>90</v>
      </c>
      <c r="F18" s="174">
        <v>90</v>
      </c>
      <c r="G18" s="242">
        <f t="shared" ref="G18:G20" si="2">H18+I18+J18+K18+L18</f>
        <v>633</v>
      </c>
      <c r="H18" s="120">
        <v>112</v>
      </c>
      <c r="I18" s="120">
        <v>120</v>
      </c>
      <c r="J18" s="120">
        <v>128</v>
      </c>
      <c r="K18" s="120">
        <v>134</v>
      </c>
      <c r="L18" s="120">
        <v>139</v>
      </c>
    </row>
    <row r="19" spans="1:13" ht="15.75">
      <c r="A19" s="122" t="s">
        <v>148</v>
      </c>
      <c r="B19" s="111" t="s">
        <v>184</v>
      </c>
      <c r="C19" s="172"/>
      <c r="D19" s="119">
        <v>630</v>
      </c>
      <c r="E19" s="174">
        <v>2130</v>
      </c>
      <c r="F19" s="174">
        <v>2130</v>
      </c>
      <c r="G19" s="242">
        <f t="shared" si="2"/>
        <v>19956</v>
      </c>
      <c r="H19" s="120">
        <v>3470</v>
      </c>
      <c r="I19" s="120">
        <v>3713</v>
      </c>
      <c r="J19" s="120">
        <v>3973</v>
      </c>
      <c r="K19" s="120">
        <v>4251</v>
      </c>
      <c r="L19" s="120">
        <v>4549</v>
      </c>
      <c r="M19" s="62"/>
    </row>
    <row r="20" spans="1:13" ht="15.75">
      <c r="A20" s="122" t="s">
        <v>150</v>
      </c>
      <c r="B20" s="111" t="s">
        <v>186</v>
      </c>
      <c r="C20" s="172"/>
      <c r="D20" s="119">
        <v>886</v>
      </c>
      <c r="E20" s="174">
        <v>1726</v>
      </c>
      <c r="F20" s="174">
        <v>1726</v>
      </c>
      <c r="G20" s="242">
        <f t="shared" si="2"/>
        <v>25359</v>
      </c>
      <c r="H20" s="120">
        <v>4308</v>
      </c>
      <c r="I20" s="120">
        <v>4413</v>
      </c>
      <c r="J20" s="120">
        <v>5567</v>
      </c>
      <c r="K20" s="120">
        <v>5178</v>
      </c>
      <c r="L20" s="120">
        <v>5893</v>
      </c>
    </row>
    <row r="21" spans="1:13" ht="45.75" customHeight="1">
      <c r="A21" s="169" t="s">
        <v>67</v>
      </c>
      <c r="B21" s="107" t="s">
        <v>7</v>
      </c>
      <c r="C21" s="108" t="s">
        <v>5</v>
      </c>
      <c r="D21" s="175">
        <v>14990</v>
      </c>
      <c r="E21" s="175">
        <f t="shared" ref="E21:L21" si="3">E26+E27+E28</f>
        <v>12396</v>
      </c>
      <c r="F21" s="175">
        <f t="shared" ref="F21" si="4">F26+F27+F28</f>
        <v>12396</v>
      </c>
      <c r="G21" s="106">
        <f>H21+I21+J21+K21+L21</f>
        <v>133917</v>
      </c>
      <c r="H21" s="175">
        <f t="shared" si="3"/>
        <v>23366</v>
      </c>
      <c r="I21" s="175">
        <f t="shared" si="3"/>
        <v>25102</v>
      </c>
      <c r="J21" s="175">
        <f t="shared" si="3"/>
        <v>27102</v>
      </c>
      <c r="K21" s="175">
        <f t="shared" si="3"/>
        <v>28127</v>
      </c>
      <c r="L21" s="175">
        <f t="shared" si="3"/>
        <v>30220</v>
      </c>
    </row>
    <row r="22" spans="1:13" ht="45.75" customHeight="1">
      <c r="A22" s="365" t="s">
        <v>65</v>
      </c>
      <c r="B22" s="367" t="s">
        <v>0</v>
      </c>
      <c r="C22" s="367" t="s">
        <v>104</v>
      </c>
      <c r="D22" s="362" t="s">
        <v>105</v>
      </c>
      <c r="E22" s="362" t="s">
        <v>106</v>
      </c>
      <c r="F22" s="362" t="s">
        <v>205</v>
      </c>
      <c r="G22" s="368" t="s">
        <v>108</v>
      </c>
      <c r="H22" s="368"/>
      <c r="I22" s="368"/>
      <c r="J22" s="368"/>
      <c r="K22" s="368"/>
      <c r="L22" s="368"/>
    </row>
    <row r="23" spans="1:13" ht="45.75" customHeight="1">
      <c r="A23" s="365"/>
      <c r="B23" s="367"/>
      <c r="C23" s="367"/>
      <c r="D23" s="362"/>
      <c r="E23" s="362"/>
      <c r="F23" s="362"/>
      <c r="G23" s="238" t="s">
        <v>109</v>
      </c>
      <c r="H23" s="238" t="s">
        <v>110</v>
      </c>
      <c r="I23" s="238" t="s">
        <v>111</v>
      </c>
      <c r="J23" s="238" t="s">
        <v>112</v>
      </c>
      <c r="K23" s="238" t="s">
        <v>113</v>
      </c>
      <c r="L23" s="238" t="s">
        <v>114</v>
      </c>
    </row>
    <row r="24" spans="1:13" ht="21.75" customHeight="1">
      <c r="A24" s="102">
        <v>1</v>
      </c>
      <c r="B24" s="102">
        <v>2</v>
      </c>
      <c r="C24" s="102">
        <v>3</v>
      </c>
      <c r="D24" s="102">
        <v>4</v>
      </c>
      <c r="E24" s="102">
        <v>5</v>
      </c>
      <c r="F24" s="102">
        <v>6</v>
      </c>
      <c r="G24" s="102">
        <v>7</v>
      </c>
      <c r="H24" s="102">
        <v>8</v>
      </c>
      <c r="I24" s="102">
        <v>9</v>
      </c>
      <c r="J24" s="102">
        <v>10</v>
      </c>
      <c r="K24" s="102">
        <v>11</v>
      </c>
      <c r="L24" s="102">
        <v>12</v>
      </c>
    </row>
    <row r="25" spans="1:13" ht="26.25" customHeight="1">
      <c r="A25" s="131"/>
      <c r="B25" s="111" t="s">
        <v>4</v>
      </c>
      <c r="C25" s="173"/>
      <c r="D25" s="132"/>
      <c r="E25" s="174"/>
      <c r="F25" s="174"/>
      <c r="G25" s="174"/>
      <c r="H25" s="174"/>
      <c r="I25" s="174"/>
      <c r="J25" s="174"/>
      <c r="K25" s="174"/>
      <c r="L25" s="174"/>
    </row>
    <row r="26" spans="1:13" ht="15.75">
      <c r="A26" s="122" t="s">
        <v>68</v>
      </c>
      <c r="B26" s="111" t="s">
        <v>8</v>
      </c>
      <c r="C26" s="220" t="s">
        <v>5</v>
      </c>
      <c r="D26" s="179">
        <v>13639</v>
      </c>
      <c r="E26" s="174">
        <v>11282</v>
      </c>
      <c r="F26" s="174">
        <v>11282</v>
      </c>
      <c r="G26" s="120">
        <f>H26+I26+J26+K26+L26</f>
        <v>121200</v>
      </c>
      <c r="H26" s="120">
        <v>21265</v>
      </c>
      <c r="I26" s="120">
        <v>22854</v>
      </c>
      <c r="J26" s="120">
        <v>24519</v>
      </c>
      <c r="K26" s="120">
        <v>25325</v>
      </c>
      <c r="L26" s="120">
        <v>27237</v>
      </c>
    </row>
    <row r="27" spans="1:13" ht="31.5">
      <c r="A27" s="122" t="s">
        <v>69</v>
      </c>
      <c r="B27" s="111" t="s">
        <v>9</v>
      </c>
      <c r="C27" s="172" t="s">
        <v>5</v>
      </c>
      <c r="D27" s="179">
        <v>737</v>
      </c>
      <c r="E27" s="174">
        <v>704</v>
      </c>
      <c r="F27" s="174">
        <v>704</v>
      </c>
      <c r="G27" s="120">
        <f>H27+I27+J27+K27+L27</f>
        <v>6932</v>
      </c>
      <c r="H27" s="120">
        <v>1127</v>
      </c>
      <c r="I27" s="120">
        <v>1320</v>
      </c>
      <c r="J27" s="120">
        <v>1405</v>
      </c>
      <c r="K27" s="120">
        <v>1480</v>
      </c>
      <c r="L27" s="120">
        <v>1600</v>
      </c>
    </row>
    <row r="28" spans="1:13" ht="31.5" customHeight="1">
      <c r="A28" s="122" t="s">
        <v>121</v>
      </c>
      <c r="B28" s="111" t="s">
        <v>122</v>
      </c>
      <c r="C28" s="172"/>
      <c r="D28" s="179">
        <v>614</v>
      </c>
      <c r="E28" s="174">
        <v>410</v>
      </c>
      <c r="F28" s="174">
        <v>410</v>
      </c>
      <c r="G28" s="120">
        <f>H28+I28+J28+K28+L28</f>
        <v>5785</v>
      </c>
      <c r="H28" s="120">
        <v>974</v>
      </c>
      <c r="I28" s="120">
        <v>928</v>
      </c>
      <c r="J28" s="120">
        <v>1178</v>
      </c>
      <c r="K28" s="120">
        <v>1322</v>
      </c>
      <c r="L28" s="120">
        <v>1383</v>
      </c>
    </row>
    <row r="29" spans="1:13" ht="15.75">
      <c r="A29" s="169" t="s">
        <v>70</v>
      </c>
      <c r="B29" s="107" t="s">
        <v>10</v>
      </c>
      <c r="C29" s="108" t="s">
        <v>5</v>
      </c>
      <c r="D29" s="180">
        <v>2112</v>
      </c>
      <c r="E29" s="139">
        <v>3249</v>
      </c>
      <c r="F29" s="139">
        <v>3249</v>
      </c>
      <c r="G29" s="139">
        <f>H29+I29+J29+K29+L29</f>
        <v>35982</v>
      </c>
      <c r="H29" s="139">
        <v>4855</v>
      </c>
      <c r="I29" s="139">
        <v>5026</v>
      </c>
      <c r="J29" s="139">
        <v>6945</v>
      </c>
      <c r="K29" s="139">
        <v>9913</v>
      </c>
      <c r="L29" s="139">
        <v>9243</v>
      </c>
      <c r="M29" s="66"/>
    </row>
    <row r="30" spans="1:13" ht="15.75">
      <c r="A30" s="169" t="s">
        <v>71</v>
      </c>
      <c r="B30" s="107" t="s">
        <v>11</v>
      </c>
      <c r="C30" s="108" t="s">
        <v>5</v>
      </c>
      <c r="D30" s="175">
        <v>1273</v>
      </c>
      <c r="E30" s="175">
        <f t="shared" ref="E30" si="5">E32</f>
        <v>1273</v>
      </c>
      <c r="F30" s="175">
        <f t="shared" ref="F30" si="6">F32</f>
        <v>1273</v>
      </c>
      <c r="G30" s="139">
        <f>H30+I30+J30+K30+L30</f>
        <v>24667</v>
      </c>
      <c r="H30" s="175">
        <v>4136</v>
      </c>
      <c r="I30" s="175">
        <v>4367</v>
      </c>
      <c r="J30" s="175">
        <v>4914</v>
      </c>
      <c r="K30" s="175">
        <v>5306</v>
      </c>
      <c r="L30" s="175">
        <v>5944</v>
      </c>
    </row>
    <row r="31" spans="1:13" ht="15.75">
      <c r="A31" s="131"/>
      <c r="B31" s="111" t="s">
        <v>4</v>
      </c>
      <c r="C31" s="173"/>
      <c r="D31" s="179"/>
      <c r="E31" s="174"/>
      <c r="F31" s="174"/>
      <c r="G31" s="139"/>
      <c r="H31" s="174"/>
      <c r="I31" s="174"/>
      <c r="J31" s="174"/>
      <c r="K31" s="174"/>
      <c r="L31" s="174"/>
    </row>
    <row r="32" spans="1:13" ht="94.5">
      <c r="A32" s="122" t="s">
        <v>72</v>
      </c>
      <c r="B32" s="140" t="s">
        <v>12</v>
      </c>
      <c r="C32" s="172" t="s">
        <v>5</v>
      </c>
      <c r="D32" s="179">
        <v>1273.21</v>
      </c>
      <c r="E32" s="174">
        <v>1273</v>
      </c>
      <c r="F32" s="174">
        <v>1273</v>
      </c>
      <c r="G32" s="120">
        <f>H32+I32+J32+K32+L32</f>
        <v>24667</v>
      </c>
      <c r="H32" s="174">
        <v>4136</v>
      </c>
      <c r="I32" s="174">
        <v>4367</v>
      </c>
      <c r="J32" s="174">
        <v>4914</v>
      </c>
      <c r="K32" s="174">
        <v>5306</v>
      </c>
      <c r="L32" s="174">
        <v>5944</v>
      </c>
    </row>
    <row r="33" spans="1:12" ht="31.5">
      <c r="A33" s="169" t="s">
        <v>73</v>
      </c>
      <c r="B33" s="107" t="s">
        <v>13</v>
      </c>
      <c r="C33" s="108" t="s">
        <v>5</v>
      </c>
      <c r="D33" s="180">
        <f>D35+D36+D40+D41+D42+D43+D44+D45+D46+D47+D48+D49+D54</f>
        <v>2472</v>
      </c>
      <c r="E33" s="180">
        <f t="shared" ref="E33:J33" si="7">E35+E36+E40+E41+E42+E43+E44+E45+E46+E47+E48+E49+E54</f>
        <v>1416</v>
      </c>
      <c r="F33" s="180">
        <f t="shared" ref="F33" si="8">F35+F36+F40+F41+F42+F43+F44+F45+F46+F47+F48+F49+F54</f>
        <v>1416</v>
      </c>
      <c r="G33" s="139">
        <f>H33+I33+J33+K33+L33</f>
        <v>13561</v>
      </c>
      <c r="H33" s="180">
        <v>2407</v>
      </c>
      <c r="I33" s="180">
        <f t="shared" si="7"/>
        <v>2576</v>
      </c>
      <c r="J33" s="180">
        <f t="shared" si="7"/>
        <v>2730</v>
      </c>
      <c r="K33" s="180">
        <v>2867</v>
      </c>
      <c r="L33" s="180">
        <v>2981</v>
      </c>
    </row>
    <row r="34" spans="1:12" ht="15.75">
      <c r="A34" s="131"/>
      <c r="B34" s="111" t="s">
        <v>4</v>
      </c>
      <c r="C34" s="173"/>
      <c r="D34" s="179"/>
      <c r="E34" s="174"/>
      <c r="F34" s="174"/>
      <c r="G34" s="174"/>
      <c r="H34" s="174"/>
      <c r="I34" s="174"/>
      <c r="J34" s="174"/>
      <c r="K34" s="174"/>
      <c r="L34" s="174"/>
    </row>
    <row r="35" spans="1:12" ht="111.75" customHeight="1">
      <c r="A35" s="181" t="s">
        <v>74</v>
      </c>
      <c r="B35" s="111" t="s">
        <v>14</v>
      </c>
      <c r="C35" s="172" t="s">
        <v>5</v>
      </c>
      <c r="D35" s="119"/>
      <c r="E35" s="120"/>
      <c r="F35" s="120"/>
      <c r="G35" s="120">
        <f>H35+I35+J35+K35+L35</f>
        <v>0</v>
      </c>
      <c r="H35" s="120"/>
      <c r="I35" s="120"/>
      <c r="J35" s="120"/>
      <c r="K35" s="120"/>
      <c r="L35" s="120"/>
    </row>
    <row r="36" spans="1:12" ht="56.25" customHeight="1">
      <c r="A36" s="181" t="s">
        <v>75</v>
      </c>
      <c r="B36" s="111" t="s">
        <v>15</v>
      </c>
      <c r="C36" s="172" t="s">
        <v>5</v>
      </c>
      <c r="D36" s="119"/>
      <c r="E36" s="120"/>
      <c r="F36" s="120"/>
      <c r="G36" s="120">
        <f t="shared" ref="G36" si="9">H36+I36+J36+K36+L36</f>
        <v>0</v>
      </c>
      <c r="H36" s="120"/>
      <c r="I36" s="120"/>
      <c r="J36" s="120"/>
      <c r="K36" s="120"/>
      <c r="L36" s="120"/>
    </row>
    <row r="37" spans="1:12" ht="56.25" customHeight="1">
      <c r="A37" s="365" t="s">
        <v>65</v>
      </c>
      <c r="B37" s="367" t="s">
        <v>0</v>
      </c>
      <c r="C37" s="367" t="s">
        <v>104</v>
      </c>
      <c r="D37" s="362" t="s">
        <v>105</v>
      </c>
      <c r="E37" s="362" t="s">
        <v>106</v>
      </c>
      <c r="F37" s="362" t="s">
        <v>205</v>
      </c>
      <c r="G37" s="368" t="s">
        <v>108</v>
      </c>
      <c r="H37" s="368"/>
      <c r="I37" s="368"/>
      <c r="J37" s="368"/>
      <c r="K37" s="368"/>
      <c r="L37" s="368"/>
    </row>
    <row r="38" spans="1:12" ht="78" customHeight="1">
      <c r="A38" s="365"/>
      <c r="B38" s="367"/>
      <c r="C38" s="367"/>
      <c r="D38" s="362"/>
      <c r="E38" s="362"/>
      <c r="F38" s="362"/>
      <c r="G38" s="238" t="s">
        <v>109</v>
      </c>
      <c r="H38" s="238" t="s">
        <v>110</v>
      </c>
      <c r="I38" s="238" t="s">
        <v>111</v>
      </c>
      <c r="J38" s="238" t="s">
        <v>112</v>
      </c>
      <c r="K38" s="238" t="s">
        <v>113</v>
      </c>
      <c r="L38" s="238" t="s">
        <v>114</v>
      </c>
    </row>
    <row r="39" spans="1:12" ht="17.25" customHeight="1">
      <c r="A39" s="102">
        <v>1</v>
      </c>
      <c r="B39" s="102">
        <v>2</v>
      </c>
      <c r="C39" s="102">
        <v>3</v>
      </c>
      <c r="D39" s="102">
        <v>4</v>
      </c>
      <c r="E39" s="102">
        <v>5</v>
      </c>
      <c r="F39" s="102">
        <v>6</v>
      </c>
      <c r="G39" s="102">
        <v>7</v>
      </c>
      <c r="H39" s="102">
        <v>8</v>
      </c>
      <c r="I39" s="102">
        <v>9</v>
      </c>
      <c r="J39" s="102">
        <v>10</v>
      </c>
      <c r="K39" s="102">
        <v>11</v>
      </c>
      <c r="L39" s="102">
        <v>12</v>
      </c>
    </row>
    <row r="40" spans="1:12" ht="124.5" customHeight="1">
      <c r="A40" s="181" t="s">
        <v>76</v>
      </c>
      <c r="B40" s="111" t="s">
        <v>16</v>
      </c>
      <c r="C40" s="172" t="s">
        <v>5</v>
      </c>
      <c r="D40" s="119"/>
      <c r="E40" s="120">
        <v>25</v>
      </c>
      <c r="F40" s="120">
        <v>25</v>
      </c>
      <c r="G40" s="120">
        <f>H40+I40+J40+K40+L40</f>
        <v>153</v>
      </c>
      <c r="H40" s="120">
        <v>27</v>
      </c>
      <c r="I40" s="120">
        <v>29</v>
      </c>
      <c r="J40" s="120">
        <v>31</v>
      </c>
      <c r="K40" s="120">
        <v>32</v>
      </c>
      <c r="L40" s="120">
        <v>34</v>
      </c>
    </row>
    <row r="41" spans="1:12" ht="63.75" customHeight="1">
      <c r="A41" s="181" t="s">
        <v>77</v>
      </c>
      <c r="B41" s="111" t="s">
        <v>17</v>
      </c>
      <c r="C41" s="172" t="s">
        <v>5</v>
      </c>
      <c r="D41" s="119">
        <v>370</v>
      </c>
      <c r="E41" s="120">
        <v>95</v>
      </c>
      <c r="F41" s="120">
        <v>95</v>
      </c>
      <c r="G41" s="120">
        <f t="shared" ref="G41:G49" si="10">H41+I41+J41+K41+L41</f>
        <v>715</v>
      </c>
      <c r="H41" s="120">
        <v>127</v>
      </c>
      <c r="I41" s="120">
        <v>136</v>
      </c>
      <c r="J41" s="120">
        <v>144</v>
      </c>
      <c r="K41" s="120">
        <v>151</v>
      </c>
      <c r="L41" s="120">
        <v>157</v>
      </c>
    </row>
    <row r="42" spans="1:12" ht="49.5" customHeight="1">
      <c r="A42" s="181" t="s">
        <v>78</v>
      </c>
      <c r="B42" s="111" t="s">
        <v>18</v>
      </c>
      <c r="C42" s="172" t="s">
        <v>5</v>
      </c>
      <c r="D42" s="119">
        <v>245</v>
      </c>
      <c r="E42" s="120">
        <v>14</v>
      </c>
      <c r="F42" s="120">
        <v>14</v>
      </c>
      <c r="G42" s="120">
        <f t="shared" si="10"/>
        <v>1477</v>
      </c>
      <c r="H42" s="120">
        <v>262</v>
      </c>
      <c r="I42" s="120">
        <v>281</v>
      </c>
      <c r="J42" s="120">
        <v>297</v>
      </c>
      <c r="K42" s="120">
        <v>312</v>
      </c>
      <c r="L42" s="120">
        <v>325</v>
      </c>
    </row>
    <row r="43" spans="1:12" ht="15.75">
      <c r="A43" s="181" t="s">
        <v>79</v>
      </c>
      <c r="B43" s="111" t="s">
        <v>19</v>
      </c>
      <c r="C43" s="172" t="s">
        <v>5</v>
      </c>
      <c r="D43" s="119"/>
      <c r="E43" s="120"/>
      <c r="F43" s="120"/>
      <c r="G43" s="120">
        <f t="shared" si="10"/>
        <v>169</v>
      </c>
      <c r="H43" s="120">
        <v>30</v>
      </c>
      <c r="I43" s="120">
        <v>32</v>
      </c>
      <c r="J43" s="120">
        <v>34</v>
      </c>
      <c r="K43" s="120">
        <v>36</v>
      </c>
      <c r="L43" s="120">
        <v>37</v>
      </c>
    </row>
    <row r="44" spans="1:12" ht="47.25" customHeight="1">
      <c r="A44" s="181" t="s">
        <v>80</v>
      </c>
      <c r="B44" s="140" t="s">
        <v>202</v>
      </c>
      <c r="C44" s="172" t="s">
        <v>5</v>
      </c>
      <c r="D44" s="119">
        <v>385</v>
      </c>
      <c r="E44" s="120"/>
      <c r="F44" s="120"/>
      <c r="G44" s="120">
        <f t="shared" si="10"/>
        <v>1926</v>
      </c>
      <c r="H44" s="120">
        <v>342</v>
      </c>
      <c r="I44" s="120">
        <v>366</v>
      </c>
      <c r="J44" s="120">
        <v>388</v>
      </c>
      <c r="K44" s="120">
        <v>407</v>
      </c>
      <c r="L44" s="120">
        <v>423</v>
      </c>
    </row>
    <row r="45" spans="1:12" ht="18" customHeight="1">
      <c r="A45" s="181" t="s">
        <v>123</v>
      </c>
      <c r="B45" s="111" t="s">
        <v>126</v>
      </c>
      <c r="C45" s="172" t="s">
        <v>5</v>
      </c>
      <c r="D45" s="119">
        <v>580</v>
      </c>
      <c r="E45" s="120"/>
      <c r="F45" s="120"/>
      <c r="G45" s="120"/>
      <c r="H45" s="120"/>
      <c r="I45" s="120">
        <f t="shared" ref="I45" si="11">H45*1.07</f>
        <v>0</v>
      </c>
      <c r="J45" s="120">
        <f t="shared" ref="J45" si="12">I45*1.06</f>
        <v>0</v>
      </c>
      <c r="K45" s="120">
        <f t="shared" ref="K45" si="13">J45*1.05</f>
        <v>0</v>
      </c>
      <c r="L45" s="120">
        <f t="shared" ref="L45" si="14">K45*1.04</f>
        <v>0</v>
      </c>
    </row>
    <row r="46" spans="1:12" ht="15.75">
      <c r="A46" s="181" t="s">
        <v>124</v>
      </c>
      <c r="B46" s="111" t="s">
        <v>130</v>
      </c>
      <c r="C46" s="172" t="s">
        <v>5</v>
      </c>
      <c r="D46" s="119">
        <v>135</v>
      </c>
      <c r="E46" s="120">
        <v>33</v>
      </c>
      <c r="F46" s="120">
        <v>33</v>
      </c>
      <c r="G46" s="120">
        <f t="shared" si="10"/>
        <v>195</v>
      </c>
      <c r="H46" s="120">
        <v>35</v>
      </c>
      <c r="I46" s="120">
        <v>37</v>
      </c>
      <c r="J46" s="120">
        <v>39</v>
      </c>
      <c r="K46" s="120">
        <v>41</v>
      </c>
      <c r="L46" s="120">
        <v>43</v>
      </c>
    </row>
    <row r="47" spans="1:12" ht="44.25" customHeight="1">
      <c r="A47" s="181" t="s">
        <v>127</v>
      </c>
      <c r="B47" s="111" t="s">
        <v>131</v>
      </c>
      <c r="C47" s="172" t="s">
        <v>5</v>
      </c>
      <c r="D47" s="119">
        <v>172</v>
      </c>
      <c r="E47" s="120"/>
      <c r="F47" s="120"/>
      <c r="G47" s="120">
        <f t="shared" si="10"/>
        <v>1037</v>
      </c>
      <c r="H47" s="120">
        <v>184</v>
      </c>
      <c r="I47" s="120">
        <v>197</v>
      </c>
      <c r="J47" s="120">
        <v>209</v>
      </c>
      <c r="K47" s="120">
        <v>219</v>
      </c>
      <c r="L47" s="120">
        <v>228</v>
      </c>
    </row>
    <row r="48" spans="1:12" ht="29.25" customHeight="1">
      <c r="A48" s="181" t="s">
        <v>128</v>
      </c>
      <c r="B48" s="111" t="s">
        <v>30</v>
      </c>
      <c r="C48" s="172" t="s">
        <v>5</v>
      </c>
      <c r="D48" s="119">
        <v>300</v>
      </c>
      <c r="E48" s="120"/>
      <c r="F48" s="120"/>
      <c r="G48" s="120">
        <f t="shared" si="10"/>
        <v>905</v>
      </c>
      <c r="H48" s="120">
        <v>161</v>
      </c>
      <c r="I48" s="120">
        <v>172</v>
      </c>
      <c r="J48" s="120">
        <v>182</v>
      </c>
      <c r="K48" s="120">
        <v>191</v>
      </c>
      <c r="L48" s="120">
        <v>199</v>
      </c>
    </row>
    <row r="49" spans="1:12" ht="30.75" customHeight="1">
      <c r="A49" s="181" t="s">
        <v>129</v>
      </c>
      <c r="B49" s="111" t="s">
        <v>33</v>
      </c>
      <c r="C49" s="172"/>
      <c r="D49" s="119">
        <v>285</v>
      </c>
      <c r="E49" s="120">
        <v>1249</v>
      </c>
      <c r="F49" s="120">
        <v>1249</v>
      </c>
      <c r="G49" s="120">
        <f t="shared" si="10"/>
        <v>6984</v>
      </c>
      <c r="H49" s="120">
        <v>1239</v>
      </c>
      <c r="I49" s="120">
        <v>1326</v>
      </c>
      <c r="J49" s="120">
        <v>1406</v>
      </c>
      <c r="K49" s="120">
        <v>1478</v>
      </c>
      <c r="L49" s="120">
        <v>1535</v>
      </c>
    </row>
    <row r="50" spans="1:12" ht="15.75" hidden="1">
      <c r="A50" s="181"/>
      <c r="B50" s="111"/>
      <c r="C50" s="237"/>
      <c r="D50" s="119"/>
      <c r="E50" s="120"/>
      <c r="F50" s="120"/>
      <c r="G50" s="120"/>
      <c r="H50" s="120"/>
      <c r="I50" s="120"/>
      <c r="J50" s="120"/>
      <c r="K50" s="120"/>
      <c r="L50" s="120"/>
    </row>
    <row r="51" spans="1:12" ht="15.75">
      <c r="A51" s="365" t="s">
        <v>65</v>
      </c>
      <c r="B51" s="367" t="s">
        <v>0</v>
      </c>
      <c r="C51" s="367" t="s">
        <v>104</v>
      </c>
      <c r="D51" s="362" t="s">
        <v>105</v>
      </c>
      <c r="E51" s="362" t="s">
        <v>106</v>
      </c>
      <c r="F51" s="362" t="s">
        <v>205</v>
      </c>
      <c r="G51" s="368" t="s">
        <v>108</v>
      </c>
      <c r="H51" s="368"/>
      <c r="I51" s="368"/>
      <c r="J51" s="368"/>
      <c r="K51" s="368"/>
      <c r="L51" s="368"/>
    </row>
    <row r="52" spans="1:12" ht="111.75" customHeight="1">
      <c r="A52" s="365"/>
      <c r="B52" s="367"/>
      <c r="C52" s="367"/>
      <c r="D52" s="362"/>
      <c r="E52" s="362"/>
      <c r="F52" s="362"/>
      <c r="G52" s="238" t="s">
        <v>109</v>
      </c>
      <c r="H52" s="238" t="s">
        <v>110</v>
      </c>
      <c r="I52" s="238" t="s">
        <v>111</v>
      </c>
      <c r="J52" s="238" t="s">
        <v>112</v>
      </c>
      <c r="K52" s="238" t="s">
        <v>113</v>
      </c>
      <c r="L52" s="238" t="s">
        <v>114</v>
      </c>
    </row>
    <row r="53" spans="1:12" ht="15.75">
      <c r="A53" s="102">
        <v>1</v>
      </c>
      <c r="B53" s="102">
        <v>2</v>
      </c>
      <c r="C53" s="102">
        <v>3</v>
      </c>
      <c r="D53" s="102">
        <v>4</v>
      </c>
      <c r="E53" s="102">
        <v>5</v>
      </c>
      <c r="F53" s="102">
        <v>6</v>
      </c>
      <c r="G53" s="102">
        <v>7</v>
      </c>
      <c r="H53" s="102">
        <v>8</v>
      </c>
      <c r="I53" s="102">
        <v>9</v>
      </c>
      <c r="J53" s="102">
        <v>10</v>
      </c>
      <c r="K53" s="102">
        <v>11</v>
      </c>
      <c r="L53" s="102">
        <v>12</v>
      </c>
    </row>
    <row r="54" spans="1:12" ht="47.25" customHeight="1">
      <c r="A54" s="181" t="s">
        <v>136</v>
      </c>
      <c r="B54" s="111" t="s">
        <v>20</v>
      </c>
      <c r="C54" s="172" t="s">
        <v>5</v>
      </c>
      <c r="D54" s="119"/>
      <c r="E54" s="120"/>
      <c r="F54" s="120"/>
      <c r="G54" s="120"/>
      <c r="H54" s="120"/>
      <c r="I54" s="120"/>
      <c r="J54" s="120"/>
      <c r="K54" s="120"/>
      <c r="L54" s="120"/>
    </row>
    <row r="55" spans="1:12" ht="32.25" customHeight="1">
      <c r="A55" s="169" t="s">
        <v>21</v>
      </c>
      <c r="B55" s="107" t="s">
        <v>22</v>
      </c>
      <c r="C55" s="108" t="s">
        <v>5</v>
      </c>
      <c r="D55" s="180">
        <v>10125</v>
      </c>
      <c r="E55" s="180">
        <f t="shared" ref="E55:L55" si="15">E56+E94</f>
        <v>11361</v>
      </c>
      <c r="F55" s="180">
        <f t="shared" ref="F55" si="16">F56+F94</f>
        <v>11361</v>
      </c>
      <c r="G55" s="180">
        <f>G56+G94</f>
        <v>157104</v>
      </c>
      <c r="H55" s="180">
        <f>H56+H94</f>
        <v>27720</v>
      </c>
      <c r="I55" s="180">
        <f>I56+I94</f>
        <v>30648</v>
      </c>
      <c r="J55" s="180">
        <f t="shared" si="15"/>
        <v>31936</v>
      </c>
      <c r="K55" s="180">
        <f>K56+J94</f>
        <v>32547</v>
      </c>
      <c r="L55" s="180">
        <f t="shared" si="15"/>
        <v>34253</v>
      </c>
    </row>
    <row r="56" spans="1:12" ht="51.75" customHeight="1">
      <c r="A56" s="169" t="s">
        <v>81</v>
      </c>
      <c r="B56" s="107" t="s">
        <v>23</v>
      </c>
      <c r="C56" s="108" t="s">
        <v>5</v>
      </c>
      <c r="D56" s="180">
        <v>10125</v>
      </c>
      <c r="E56" s="180">
        <f t="shared" ref="E56:L56" si="17">E58+E59+E60+E61+E62</f>
        <v>11361</v>
      </c>
      <c r="F56" s="180">
        <f t="shared" ref="F56" si="18">F58+F59+F60+F61+F62</f>
        <v>11361</v>
      </c>
      <c r="G56" s="180">
        <v>137104</v>
      </c>
      <c r="H56" s="180">
        <v>23720</v>
      </c>
      <c r="I56" s="180">
        <v>26648</v>
      </c>
      <c r="J56" s="180">
        <f t="shared" si="17"/>
        <v>27936</v>
      </c>
      <c r="K56" s="180">
        <v>28547</v>
      </c>
      <c r="L56" s="180">
        <f t="shared" si="17"/>
        <v>30253</v>
      </c>
    </row>
    <row r="57" spans="1:12" ht="15.75">
      <c r="A57" s="131"/>
      <c r="B57" s="111" t="s">
        <v>4</v>
      </c>
      <c r="C57" s="173"/>
      <c r="D57" s="179"/>
      <c r="E57" s="174"/>
      <c r="F57" s="174"/>
      <c r="G57" s="174"/>
      <c r="H57" s="174"/>
      <c r="I57" s="174"/>
      <c r="J57" s="174"/>
      <c r="K57" s="174"/>
      <c r="L57" s="174"/>
    </row>
    <row r="58" spans="1:12" ht="45.75" customHeight="1">
      <c r="A58" s="122" t="s">
        <v>82</v>
      </c>
      <c r="B58" s="111" t="s">
        <v>24</v>
      </c>
      <c r="C58" s="220" t="s">
        <v>5</v>
      </c>
      <c r="D58" s="179">
        <v>6447</v>
      </c>
      <c r="E58" s="174">
        <v>6313</v>
      </c>
      <c r="F58" s="174">
        <v>6313</v>
      </c>
      <c r="G58" s="120">
        <v>85919</v>
      </c>
      <c r="H58" s="120">
        <v>14920</v>
      </c>
      <c r="I58" s="120">
        <v>17184</v>
      </c>
      <c r="J58" s="174">
        <v>17485</v>
      </c>
      <c r="K58" s="174">
        <v>17805</v>
      </c>
      <c r="L58" s="174">
        <v>18525</v>
      </c>
    </row>
    <row r="59" spans="1:12" ht="18.75" customHeight="1">
      <c r="A59" s="122" t="s">
        <v>83</v>
      </c>
      <c r="B59" s="111" t="s">
        <v>9</v>
      </c>
      <c r="C59" s="172" t="s">
        <v>5</v>
      </c>
      <c r="D59" s="179">
        <v>348</v>
      </c>
      <c r="E59" s="174">
        <v>389</v>
      </c>
      <c r="F59" s="174">
        <v>389</v>
      </c>
      <c r="G59" s="120">
        <v>5150</v>
      </c>
      <c r="H59" s="120">
        <v>900</v>
      </c>
      <c r="I59" s="120">
        <v>950</v>
      </c>
      <c r="J59" s="120">
        <v>1000</v>
      </c>
      <c r="K59" s="120">
        <v>1100</v>
      </c>
      <c r="L59" s="120">
        <v>1200</v>
      </c>
    </row>
    <row r="60" spans="1:12" ht="31.5" customHeight="1">
      <c r="A60" s="144" t="s">
        <v>134</v>
      </c>
      <c r="B60" s="111" t="s">
        <v>122</v>
      </c>
      <c r="C60" s="220"/>
      <c r="D60" s="179">
        <v>290</v>
      </c>
      <c r="E60" s="174">
        <v>252</v>
      </c>
      <c r="F60" s="174">
        <v>252</v>
      </c>
      <c r="G60" s="120">
        <v>4332</v>
      </c>
      <c r="H60" s="120">
        <v>782</v>
      </c>
      <c r="I60" s="120">
        <v>800</v>
      </c>
      <c r="J60" s="120">
        <v>820</v>
      </c>
      <c r="K60" s="120">
        <v>950</v>
      </c>
      <c r="L60" s="120">
        <v>980</v>
      </c>
    </row>
    <row r="61" spans="1:12" ht="15.75">
      <c r="A61" s="122" t="s">
        <v>84</v>
      </c>
      <c r="B61" s="111" t="s">
        <v>154</v>
      </c>
      <c r="C61" s="220"/>
      <c r="D61" s="119">
        <v>265</v>
      </c>
      <c r="E61" s="182">
        <v>164</v>
      </c>
      <c r="F61" s="182">
        <v>164</v>
      </c>
      <c r="G61" s="120">
        <v>3567</v>
      </c>
      <c r="H61" s="120">
        <v>376</v>
      </c>
      <c r="I61" s="120">
        <v>615</v>
      </c>
      <c r="J61" s="120">
        <v>827</v>
      </c>
      <c r="K61" s="120">
        <v>869</v>
      </c>
      <c r="L61" s="120">
        <v>880</v>
      </c>
    </row>
    <row r="62" spans="1:12" ht="30" customHeight="1">
      <c r="A62" s="169" t="s">
        <v>85</v>
      </c>
      <c r="B62" s="107" t="s">
        <v>155</v>
      </c>
      <c r="C62" s="108"/>
      <c r="D62" s="180">
        <f>D63+D64+D65+D66+D67+D68+D69+D70+D74+D75+D76+D77+D78+D79+D80+D81+D85+D86+D87+D88+D89+D90+D91+D92+D93</f>
        <v>2775</v>
      </c>
      <c r="E62" s="180">
        <f t="shared" ref="E62:L62" si="19">E63+E64+E65+E66+E67+E68+E69+E70+E74+E75+E76+E77+E78+E79+E80+E81+E85+E86+E87+E88+E89+E90+E91+E92+E93</f>
        <v>4243</v>
      </c>
      <c r="F62" s="180">
        <f t="shared" ref="F62" si="20">F63+F64+F65+F66+F67+F68+F69+F70+F74+F75+F76+F77+F78+F79+F80+F81+F85+F86+F87+F88+F89+F90+F91+F92+F93</f>
        <v>4243</v>
      </c>
      <c r="G62" s="180">
        <f t="shared" si="19"/>
        <v>38137</v>
      </c>
      <c r="H62" s="180">
        <f>H63+H64+H65+H66+H67+H68+H69+H70+H74+H75+H76+H77+H78+H79+H80+H81+H85+H86+H87+H88+H89+H90+H91+H92+H93</f>
        <v>6743</v>
      </c>
      <c r="I62" s="180">
        <f>I63+I64+I65+I66+I67+I68+I69+I70+I74+I75+I76+I77+I78+I79+I80+I81+I85+I86+I87+I88+I89+I90+I91+I92+I93</f>
        <v>7099</v>
      </c>
      <c r="J62" s="180">
        <f t="shared" si="19"/>
        <v>7804</v>
      </c>
      <c r="K62" s="180">
        <v>7823</v>
      </c>
      <c r="L62" s="180">
        <f t="shared" si="19"/>
        <v>8668</v>
      </c>
    </row>
    <row r="63" spans="1:12" ht="30" customHeight="1">
      <c r="A63" s="144" t="s">
        <v>165</v>
      </c>
      <c r="B63" s="111" t="s">
        <v>144</v>
      </c>
      <c r="C63" s="220"/>
      <c r="D63" s="179"/>
      <c r="E63" s="120"/>
      <c r="F63" s="120"/>
      <c r="G63" s="120">
        <v>5841</v>
      </c>
      <c r="H63" s="120">
        <v>1000</v>
      </c>
      <c r="I63" s="120">
        <v>1010</v>
      </c>
      <c r="J63" s="120">
        <v>1103</v>
      </c>
      <c r="K63" s="120">
        <v>1273</v>
      </c>
      <c r="L63" s="120">
        <v>1455</v>
      </c>
    </row>
    <row r="64" spans="1:12" ht="15.75">
      <c r="A64" s="144" t="s">
        <v>166</v>
      </c>
      <c r="B64" s="111" t="s">
        <v>147</v>
      </c>
      <c r="C64" s="220"/>
      <c r="D64" s="179"/>
      <c r="E64" s="174">
        <v>10</v>
      </c>
      <c r="F64" s="174">
        <v>10</v>
      </c>
      <c r="G64" s="120">
        <v>58</v>
      </c>
      <c r="H64" s="120">
        <v>10</v>
      </c>
      <c r="I64" s="120">
        <v>11</v>
      </c>
      <c r="J64" s="120">
        <v>12</v>
      </c>
      <c r="K64" s="120">
        <v>12</v>
      </c>
      <c r="L64" s="120">
        <v>13</v>
      </c>
    </row>
    <row r="65" spans="1:42" ht="15.75">
      <c r="A65" s="144" t="s">
        <v>167</v>
      </c>
      <c r="B65" s="111" t="s">
        <v>184</v>
      </c>
      <c r="C65" s="220"/>
      <c r="D65" s="179"/>
      <c r="E65" s="174">
        <v>89</v>
      </c>
      <c r="F65" s="174">
        <v>89</v>
      </c>
      <c r="G65" s="120">
        <v>941</v>
      </c>
      <c r="H65" s="120">
        <v>167</v>
      </c>
      <c r="I65" s="120">
        <v>179</v>
      </c>
      <c r="J65" s="120">
        <v>189</v>
      </c>
      <c r="K65" s="120">
        <v>199</v>
      </c>
      <c r="L65" s="120">
        <v>207</v>
      </c>
      <c r="M65" s="68"/>
    </row>
    <row r="66" spans="1:42" ht="15.75">
      <c r="A66" s="144" t="s">
        <v>168</v>
      </c>
      <c r="B66" s="111" t="s">
        <v>185</v>
      </c>
      <c r="C66" s="220"/>
      <c r="D66" s="179"/>
      <c r="E66" s="174"/>
      <c r="F66" s="174"/>
      <c r="G66" s="120">
        <v>1152</v>
      </c>
      <c r="H66" s="174">
        <v>218</v>
      </c>
      <c r="I66" s="120">
        <v>200</v>
      </c>
      <c r="J66" s="120">
        <f t="shared" ref="J66" si="21">I66*1.06</f>
        <v>212</v>
      </c>
      <c r="K66" s="120">
        <v>222</v>
      </c>
      <c r="L66" s="120">
        <v>300</v>
      </c>
    </row>
    <row r="67" spans="1:42" ht="15.75">
      <c r="A67" s="144" t="s">
        <v>169</v>
      </c>
      <c r="B67" s="111" t="s">
        <v>186</v>
      </c>
      <c r="C67" s="220"/>
      <c r="D67" s="179"/>
      <c r="E67" s="120">
        <v>200</v>
      </c>
      <c r="F67" s="120">
        <v>200</v>
      </c>
      <c r="G67" s="120">
        <v>1206</v>
      </c>
      <c r="H67" s="120">
        <f>F67*1.07</f>
        <v>214</v>
      </c>
      <c r="I67" s="120">
        <v>229</v>
      </c>
      <c r="J67" s="120">
        <v>243</v>
      </c>
      <c r="K67" s="120">
        <v>255</v>
      </c>
      <c r="L67" s="120">
        <v>265</v>
      </c>
    </row>
    <row r="68" spans="1:42" ht="15.75">
      <c r="A68" s="144" t="s">
        <v>170</v>
      </c>
      <c r="B68" s="111" t="s">
        <v>25</v>
      </c>
      <c r="C68" s="221"/>
      <c r="D68" s="119">
        <v>470</v>
      </c>
      <c r="E68" s="120">
        <v>200</v>
      </c>
      <c r="F68" s="120">
        <v>200</v>
      </c>
      <c r="G68" s="120">
        <v>1206</v>
      </c>
      <c r="H68" s="120">
        <f>F68*1.07</f>
        <v>214</v>
      </c>
      <c r="I68" s="120">
        <v>229</v>
      </c>
      <c r="J68" s="120">
        <v>243</v>
      </c>
      <c r="K68" s="120">
        <v>255</v>
      </c>
      <c r="L68" s="120">
        <v>265</v>
      </c>
    </row>
    <row r="69" spans="1:42" ht="15.75">
      <c r="A69" s="144" t="s">
        <v>171</v>
      </c>
      <c r="B69" s="111" t="s">
        <v>19</v>
      </c>
      <c r="C69" s="221"/>
      <c r="D69" s="119">
        <v>401</v>
      </c>
      <c r="E69" s="120">
        <v>23</v>
      </c>
      <c r="F69" s="120">
        <v>23</v>
      </c>
      <c r="G69" s="120">
        <v>930</v>
      </c>
      <c r="H69" s="120">
        <v>165</v>
      </c>
      <c r="I69" s="120">
        <v>177</v>
      </c>
      <c r="J69" s="120">
        <v>187</v>
      </c>
      <c r="K69" s="120">
        <v>196</v>
      </c>
      <c r="L69" s="120">
        <v>204</v>
      </c>
    </row>
    <row r="70" spans="1:42" ht="32.25" customHeight="1">
      <c r="A70" s="144" t="s">
        <v>172</v>
      </c>
      <c r="B70" s="111" t="s">
        <v>26</v>
      </c>
      <c r="C70" s="220" t="s">
        <v>5</v>
      </c>
      <c r="D70" s="119"/>
      <c r="E70" s="120">
        <v>628</v>
      </c>
      <c r="F70" s="120">
        <v>628</v>
      </c>
      <c r="G70" s="120">
        <v>5492</v>
      </c>
      <c r="H70" s="120">
        <v>1131</v>
      </c>
      <c r="I70" s="120">
        <v>1188</v>
      </c>
      <c r="J70" s="120">
        <v>1506</v>
      </c>
      <c r="K70" s="120">
        <v>896</v>
      </c>
      <c r="L70" s="120">
        <v>771</v>
      </c>
      <c r="M70" s="69"/>
    </row>
    <row r="71" spans="1:42" ht="32.25" customHeight="1">
      <c r="A71" s="365" t="s">
        <v>65</v>
      </c>
      <c r="B71" s="367" t="s">
        <v>0</v>
      </c>
      <c r="C71" s="367" t="s">
        <v>104</v>
      </c>
      <c r="D71" s="362" t="s">
        <v>105</v>
      </c>
      <c r="E71" s="362" t="s">
        <v>106</v>
      </c>
      <c r="F71" s="362" t="s">
        <v>205</v>
      </c>
      <c r="G71" s="368" t="s">
        <v>108</v>
      </c>
      <c r="H71" s="368"/>
      <c r="I71" s="368"/>
      <c r="J71" s="368"/>
      <c r="K71" s="368"/>
      <c r="L71" s="368"/>
      <c r="M71" s="69"/>
    </row>
    <row r="72" spans="1:42" ht="77.25" customHeight="1">
      <c r="A72" s="365"/>
      <c r="B72" s="367"/>
      <c r="C72" s="367"/>
      <c r="D72" s="362"/>
      <c r="E72" s="362"/>
      <c r="F72" s="362"/>
      <c r="G72" s="238" t="s">
        <v>109</v>
      </c>
      <c r="H72" s="238" t="s">
        <v>110</v>
      </c>
      <c r="I72" s="238" t="s">
        <v>111</v>
      </c>
      <c r="J72" s="238" t="s">
        <v>112</v>
      </c>
      <c r="K72" s="238" t="s">
        <v>113</v>
      </c>
      <c r="L72" s="238" t="s">
        <v>114</v>
      </c>
      <c r="M72" s="69"/>
    </row>
    <row r="73" spans="1:42" ht="15.75">
      <c r="A73" s="102">
        <v>1</v>
      </c>
      <c r="B73" s="102">
        <v>2</v>
      </c>
      <c r="C73" s="102">
        <v>3</v>
      </c>
      <c r="D73" s="102">
        <v>4</v>
      </c>
      <c r="E73" s="102">
        <v>5</v>
      </c>
      <c r="F73" s="102">
        <v>6</v>
      </c>
      <c r="G73" s="102">
        <v>7</v>
      </c>
      <c r="H73" s="102">
        <v>8</v>
      </c>
      <c r="I73" s="102">
        <v>9</v>
      </c>
      <c r="J73" s="102">
        <v>10</v>
      </c>
      <c r="K73" s="102">
        <v>11</v>
      </c>
      <c r="L73" s="102">
        <v>12</v>
      </c>
      <c r="M73" s="69"/>
    </row>
    <row r="74" spans="1:42" ht="147" customHeight="1">
      <c r="A74" s="144" t="s">
        <v>173</v>
      </c>
      <c r="B74" s="111" t="s">
        <v>27</v>
      </c>
      <c r="C74" s="220" t="s">
        <v>5</v>
      </c>
      <c r="D74" s="119"/>
      <c r="E74" s="120"/>
      <c r="F74" s="120"/>
      <c r="G74" s="120">
        <f t="shared" ref="G74:G93" si="22">H74+I74+J74+K74+L74</f>
        <v>0</v>
      </c>
      <c r="H74" s="120"/>
      <c r="I74" s="120"/>
      <c r="J74" s="120"/>
      <c r="K74" s="120"/>
      <c r="L74" s="120"/>
    </row>
    <row r="75" spans="1:42" ht="30" customHeight="1">
      <c r="A75" s="144" t="s">
        <v>174</v>
      </c>
      <c r="B75" s="140" t="s">
        <v>28</v>
      </c>
      <c r="C75" s="172" t="s">
        <v>5</v>
      </c>
      <c r="D75" s="119"/>
      <c r="E75" s="120"/>
      <c r="F75" s="120"/>
      <c r="G75" s="120">
        <v>676</v>
      </c>
      <c r="H75" s="120">
        <f>(20*12)/2</f>
        <v>120</v>
      </c>
      <c r="I75" s="120">
        <v>128</v>
      </c>
      <c r="J75" s="120">
        <v>136</v>
      </c>
      <c r="K75" s="120">
        <v>143</v>
      </c>
      <c r="L75" s="120">
        <v>149</v>
      </c>
    </row>
    <row r="76" spans="1:42" ht="33" customHeight="1">
      <c r="A76" s="144" t="s">
        <v>175</v>
      </c>
      <c r="B76" s="111" t="s">
        <v>29</v>
      </c>
      <c r="C76" s="172" t="s">
        <v>5</v>
      </c>
      <c r="D76" s="119"/>
      <c r="E76" s="120"/>
      <c r="F76" s="120"/>
      <c r="G76" s="120">
        <f t="shared" si="22"/>
        <v>0</v>
      </c>
      <c r="H76" s="120"/>
      <c r="I76" s="120">
        <f>H76*1.07</f>
        <v>0</v>
      </c>
      <c r="J76" s="120">
        <f>I76*1.06</f>
        <v>0</v>
      </c>
      <c r="K76" s="120">
        <f>J76*1.05</f>
        <v>0</v>
      </c>
      <c r="L76" s="120">
        <f>K76*1.04</f>
        <v>0</v>
      </c>
    </row>
    <row r="77" spans="1:42" ht="31.5" customHeight="1">
      <c r="A77" s="144" t="s">
        <v>176</v>
      </c>
      <c r="B77" s="111" t="s">
        <v>30</v>
      </c>
      <c r="C77" s="172" t="s">
        <v>5</v>
      </c>
      <c r="D77" s="119">
        <v>1200</v>
      </c>
      <c r="E77" s="120">
        <v>800</v>
      </c>
      <c r="F77" s="120">
        <v>800</v>
      </c>
      <c r="G77" s="120">
        <v>5722</v>
      </c>
      <c r="H77" s="120">
        <f>F77*1.07</f>
        <v>856</v>
      </c>
      <c r="I77" s="120">
        <v>916</v>
      </c>
      <c r="J77" s="120">
        <v>971</v>
      </c>
      <c r="K77" s="120">
        <v>1219</v>
      </c>
      <c r="L77" s="120">
        <v>1760</v>
      </c>
      <c r="M77" s="205"/>
    </row>
    <row r="78" spans="1:42" ht="64.5" customHeight="1">
      <c r="A78" s="144" t="s">
        <v>177</v>
      </c>
      <c r="B78" s="111" t="s">
        <v>31</v>
      </c>
      <c r="C78" s="172" t="s">
        <v>5</v>
      </c>
      <c r="D78" s="119"/>
      <c r="E78" s="120">
        <v>55</v>
      </c>
      <c r="F78" s="120">
        <v>55</v>
      </c>
      <c r="G78" s="120">
        <v>332</v>
      </c>
      <c r="H78" s="120">
        <v>59</v>
      </c>
      <c r="I78" s="120">
        <v>63</v>
      </c>
      <c r="J78" s="120">
        <v>67</v>
      </c>
      <c r="K78" s="120">
        <v>70</v>
      </c>
      <c r="L78" s="120">
        <v>73</v>
      </c>
    </row>
    <row r="79" spans="1:42" ht="45.75" customHeight="1">
      <c r="A79" s="144" t="s">
        <v>178</v>
      </c>
      <c r="B79" s="111" t="s">
        <v>18</v>
      </c>
      <c r="C79" s="172" t="s">
        <v>5</v>
      </c>
      <c r="D79" s="119"/>
      <c r="E79" s="120"/>
      <c r="F79" s="120"/>
      <c r="G79" s="120">
        <f t="shared" si="22"/>
        <v>0</v>
      </c>
      <c r="H79" s="120"/>
      <c r="I79" s="120"/>
      <c r="J79" s="120"/>
      <c r="K79" s="120"/>
      <c r="L79" s="120"/>
    </row>
    <row r="80" spans="1:42" s="89" customFormat="1" ht="63.75" customHeight="1">
      <c r="A80" s="144" t="s">
        <v>179</v>
      </c>
      <c r="B80" s="111" t="s">
        <v>32</v>
      </c>
      <c r="C80" s="172" t="s">
        <v>5</v>
      </c>
      <c r="D80" s="119"/>
      <c r="E80" s="120">
        <v>1696</v>
      </c>
      <c r="F80" s="120">
        <v>1696</v>
      </c>
      <c r="G80" s="120">
        <v>10224</v>
      </c>
      <c r="H80" s="120">
        <v>1815</v>
      </c>
      <c r="I80" s="120">
        <v>1942</v>
      </c>
      <c r="J80" s="120">
        <v>2058</v>
      </c>
      <c r="K80" s="120">
        <v>2161</v>
      </c>
      <c r="L80" s="120">
        <v>2248</v>
      </c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</row>
    <row r="81" spans="1:12" ht="35.25" customHeight="1">
      <c r="A81" s="144" t="s">
        <v>180</v>
      </c>
      <c r="B81" s="111" t="s">
        <v>33</v>
      </c>
      <c r="C81" s="172" t="s">
        <v>5</v>
      </c>
      <c r="D81" s="119"/>
      <c r="E81" s="120"/>
      <c r="F81" s="120"/>
      <c r="G81" s="120">
        <f t="shared" si="22"/>
        <v>0</v>
      </c>
      <c r="H81" s="120"/>
      <c r="I81" s="120"/>
      <c r="J81" s="120"/>
      <c r="K81" s="120"/>
      <c r="L81" s="120"/>
    </row>
    <row r="82" spans="1:12" ht="24.75" customHeight="1">
      <c r="A82" s="365" t="s">
        <v>65</v>
      </c>
      <c r="B82" s="367" t="s">
        <v>0</v>
      </c>
      <c r="C82" s="367" t="s">
        <v>104</v>
      </c>
      <c r="D82" s="362" t="s">
        <v>105</v>
      </c>
      <c r="E82" s="362" t="s">
        <v>106</v>
      </c>
      <c r="F82" s="362" t="s">
        <v>205</v>
      </c>
      <c r="G82" s="368" t="s">
        <v>108</v>
      </c>
      <c r="H82" s="368"/>
      <c r="I82" s="368"/>
      <c r="J82" s="368"/>
      <c r="K82" s="368"/>
      <c r="L82" s="368"/>
    </row>
    <row r="83" spans="1:12" ht="102" customHeight="1">
      <c r="A83" s="365"/>
      <c r="B83" s="367"/>
      <c r="C83" s="367"/>
      <c r="D83" s="362"/>
      <c r="E83" s="362"/>
      <c r="F83" s="362"/>
      <c r="G83" s="238" t="s">
        <v>109</v>
      </c>
      <c r="H83" s="238" t="s">
        <v>110</v>
      </c>
      <c r="I83" s="238" t="s">
        <v>111</v>
      </c>
      <c r="J83" s="238" t="s">
        <v>112</v>
      </c>
      <c r="K83" s="238" t="s">
        <v>113</v>
      </c>
      <c r="L83" s="238" t="s">
        <v>114</v>
      </c>
    </row>
    <row r="84" spans="1:12" ht="15.75">
      <c r="A84" s="102">
        <v>1</v>
      </c>
      <c r="B84" s="102">
        <v>2</v>
      </c>
      <c r="C84" s="102">
        <v>3</v>
      </c>
      <c r="D84" s="102">
        <v>4</v>
      </c>
      <c r="E84" s="102">
        <v>5</v>
      </c>
      <c r="F84" s="102">
        <v>6</v>
      </c>
      <c r="G84" s="102">
        <v>7</v>
      </c>
      <c r="H84" s="102">
        <v>8</v>
      </c>
      <c r="I84" s="102">
        <v>9</v>
      </c>
      <c r="J84" s="102">
        <v>10</v>
      </c>
      <c r="K84" s="102">
        <v>11</v>
      </c>
      <c r="L84" s="102">
        <v>12</v>
      </c>
    </row>
    <row r="85" spans="1:12" ht="93.75" customHeight="1">
      <c r="A85" s="144" t="s">
        <v>181</v>
      </c>
      <c r="B85" s="111" t="s">
        <v>199</v>
      </c>
      <c r="C85" s="172" t="s">
        <v>5</v>
      </c>
      <c r="D85" s="119"/>
      <c r="E85" s="120"/>
      <c r="F85" s="120"/>
      <c r="G85" s="120">
        <f t="shared" si="22"/>
        <v>0</v>
      </c>
      <c r="H85" s="120"/>
      <c r="I85" s="120"/>
      <c r="J85" s="120"/>
      <c r="K85" s="120"/>
      <c r="L85" s="120"/>
    </row>
    <row r="86" spans="1:12" ht="30" customHeight="1">
      <c r="A86" s="144" t="s">
        <v>182</v>
      </c>
      <c r="B86" s="111" t="s">
        <v>35</v>
      </c>
      <c r="C86" s="172" t="s">
        <v>5</v>
      </c>
      <c r="D86" s="119">
        <v>154</v>
      </c>
      <c r="E86" s="120"/>
      <c r="F86" s="120"/>
      <c r="G86" s="120">
        <v>928</v>
      </c>
      <c r="H86" s="120">
        <v>165</v>
      </c>
      <c r="I86" s="120">
        <v>176</v>
      </c>
      <c r="J86" s="120">
        <v>187</v>
      </c>
      <c r="K86" s="120">
        <v>196</v>
      </c>
      <c r="L86" s="120">
        <v>204</v>
      </c>
    </row>
    <row r="87" spans="1:12" ht="30.75" customHeight="1">
      <c r="A87" s="144" t="s">
        <v>183</v>
      </c>
      <c r="B87" s="111" t="s">
        <v>132</v>
      </c>
      <c r="C87" s="172" t="s">
        <v>5</v>
      </c>
      <c r="D87" s="119"/>
      <c r="E87" s="120"/>
      <c r="F87" s="120"/>
      <c r="G87" s="120">
        <f t="shared" si="22"/>
        <v>0</v>
      </c>
      <c r="H87" s="120"/>
      <c r="I87" s="120">
        <f t="shared" ref="I87" si="23">H87*1.07</f>
        <v>0</v>
      </c>
      <c r="J87" s="120">
        <f t="shared" ref="J87" si="24">I87*1.06</f>
        <v>0</v>
      </c>
      <c r="K87" s="120">
        <f t="shared" ref="K87" si="25">J87*1.05</f>
        <v>0</v>
      </c>
      <c r="L87" s="120">
        <f t="shared" ref="L87" si="26">K87*1.04</f>
        <v>0</v>
      </c>
    </row>
    <row r="88" spans="1:12" ht="15.75">
      <c r="A88" s="144" t="s">
        <v>187</v>
      </c>
      <c r="B88" s="111" t="s">
        <v>130</v>
      </c>
      <c r="C88" s="172" t="s">
        <v>5</v>
      </c>
      <c r="D88" s="119">
        <v>100</v>
      </c>
      <c r="E88" s="120">
        <v>23</v>
      </c>
      <c r="F88" s="120">
        <v>23</v>
      </c>
      <c r="G88" s="120">
        <v>301</v>
      </c>
      <c r="H88" s="120">
        <v>54</v>
      </c>
      <c r="I88" s="120">
        <v>57</v>
      </c>
      <c r="J88" s="120">
        <v>61</v>
      </c>
      <c r="K88" s="120">
        <v>64</v>
      </c>
      <c r="L88" s="120">
        <v>66</v>
      </c>
    </row>
    <row r="89" spans="1:12" ht="30" customHeight="1">
      <c r="A89" s="144" t="s">
        <v>188</v>
      </c>
      <c r="B89" s="111" t="s">
        <v>133</v>
      </c>
      <c r="C89" s="172" t="s">
        <v>5</v>
      </c>
      <c r="D89" s="119">
        <v>220</v>
      </c>
      <c r="E89" s="120">
        <v>290</v>
      </c>
      <c r="F89" s="120">
        <v>290</v>
      </c>
      <c r="G89" s="120">
        <v>1748</v>
      </c>
      <c r="H89" s="120">
        <v>310</v>
      </c>
      <c r="I89" s="120">
        <v>332</v>
      </c>
      <c r="J89" s="120">
        <v>352</v>
      </c>
      <c r="K89" s="120">
        <v>370</v>
      </c>
      <c r="L89" s="120">
        <v>384</v>
      </c>
    </row>
    <row r="90" spans="1:12" ht="15.75">
      <c r="A90" s="144" t="s">
        <v>189</v>
      </c>
      <c r="B90" s="111" t="s">
        <v>137</v>
      </c>
      <c r="C90" s="172" t="s">
        <v>5</v>
      </c>
      <c r="D90" s="119">
        <v>85</v>
      </c>
      <c r="E90" s="120">
        <v>119</v>
      </c>
      <c r="F90" s="120">
        <v>119</v>
      </c>
      <c r="G90" s="120">
        <v>717</v>
      </c>
      <c r="H90" s="120">
        <v>127</v>
      </c>
      <c r="I90" s="120">
        <v>136</v>
      </c>
      <c r="J90" s="120">
        <v>144</v>
      </c>
      <c r="K90" s="120">
        <v>152</v>
      </c>
      <c r="L90" s="120">
        <v>158</v>
      </c>
    </row>
    <row r="91" spans="1:12" ht="33" customHeight="1">
      <c r="A91" s="144" t="s">
        <v>190</v>
      </c>
      <c r="B91" s="111" t="s">
        <v>138</v>
      </c>
      <c r="C91" s="172" t="s">
        <v>5</v>
      </c>
      <c r="D91" s="119">
        <v>100</v>
      </c>
      <c r="E91" s="120">
        <v>30</v>
      </c>
      <c r="F91" s="120">
        <v>30</v>
      </c>
      <c r="G91" s="120">
        <v>181</v>
      </c>
      <c r="H91" s="120">
        <v>32</v>
      </c>
      <c r="I91" s="120">
        <v>34</v>
      </c>
      <c r="J91" s="120">
        <v>36</v>
      </c>
      <c r="K91" s="120">
        <v>38</v>
      </c>
      <c r="L91" s="120">
        <v>40</v>
      </c>
    </row>
    <row r="92" spans="1:12" ht="31.5" customHeight="1">
      <c r="A92" s="144" t="s">
        <v>192</v>
      </c>
      <c r="B92" s="111" t="s">
        <v>139</v>
      </c>
      <c r="C92" s="172" t="s">
        <v>5</v>
      </c>
      <c r="D92" s="119">
        <v>45</v>
      </c>
      <c r="E92" s="120">
        <v>80</v>
      </c>
      <c r="F92" s="120">
        <v>80</v>
      </c>
      <c r="G92" s="120">
        <v>482</v>
      </c>
      <c r="H92" s="120">
        <v>86</v>
      </c>
      <c r="I92" s="120">
        <v>92</v>
      </c>
      <c r="J92" s="120">
        <v>97</v>
      </c>
      <c r="K92" s="120">
        <v>102</v>
      </c>
      <c r="L92" s="120">
        <v>106</v>
      </c>
    </row>
    <row r="93" spans="1:12" ht="50.25" customHeight="1">
      <c r="A93" s="144" t="s">
        <v>193</v>
      </c>
      <c r="B93" s="111" t="s">
        <v>36</v>
      </c>
      <c r="C93" s="172" t="s">
        <v>5</v>
      </c>
      <c r="D93" s="119"/>
      <c r="E93" s="120"/>
      <c r="F93" s="120"/>
      <c r="G93" s="120">
        <f t="shared" si="22"/>
        <v>0</v>
      </c>
      <c r="H93" s="120"/>
      <c r="I93" s="120"/>
      <c r="J93" s="120"/>
      <c r="K93" s="120"/>
      <c r="L93" s="120"/>
    </row>
    <row r="94" spans="1:12" ht="50.25" customHeight="1">
      <c r="A94" s="169" t="s">
        <v>86</v>
      </c>
      <c r="B94" s="107" t="s">
        <v>37</v>
      </c>
      <c r="C94" s="108" t="s">
        <v>5</v>
      </c>
      <c r="D94" s="180"/>
      <c r="E94" s="139"/>
      <c r="F94" s="139"/>
      <c r="G94" s="139">
        <f>H94+I94+J94+K94+L94</f>
        <v>20000</v>
      </c>
      <c r="H94" s="139">
        <v>4000</v>
      </c>
      <c r="I94" s="139">
        <v>4000</v>
      </c>
      <c r="J94" s="139">
        <v>4000</v>
      </c>
      <c r="K94" s="139">
        <v>4000</v>
      </c>
      <c r="L94" s="139">
        <v>4000</v>
      </c>
    </row>
    <row r="95" spans="1:12" ht="15.75">
      <c r="A95" s="169" t="s">
        <v>38</v>
      </c>
      <c r="B95" s="107" t="s">
        <v>39</v>
      </c>
      <c r="C95" s="108" t="s">
        <v>5</v>
      </c>
      <c r="D95" s="180">
        <f t="shared" ref="D95:L95" si="27">D55+D13</f>
        <v>34778</v>
      </c>
      <c r="E95" s="180">
        <f t="shared" si="27"/>
        <v>41708</v>
      </c>
      <c r="F95" s="180">
        <f t="shared" si="27"/>
        <v>41708</v>
      </c>
      <c r="G95" s="180">
        <f t="shared" si="27"/>
        <v>492254</v>
      </c>
      <c r="H95" s="180">
        <f t="shared" si="27"/>
        <v>84669</v>
      </c>
      <c r="I95" s="180">
        <f>I55+I13</f>
        <v>91287</v>
      </c>
      <c r="J95" s="180">
        <f t="shared" si="27"/>
        <v>98525</v>
      </c>
      <c r="K95" s="180">
        <f t="shared" si="27"/>
        <v>106534</v>
      </c>
      <c r="L95" s="180">
        <f t="shared" si="27"/>
        <v>111239</v>
      </c>
    </row>
    <row r="96" spans="1:12" ht="50.25" customHeight="1">
      <c r="A96" s="169" t="s">
        <v>40</v>
      </c>
      <c r="B96" s="107" t="s">
        <v>200</v>
      </c>
      <c r="C96" s="108" t="s">
        <v>5</v>
      </c>
      <c r="D96" s="179"/>
      <c r="E96" s="174">
        <v>7428</v>
      </c>
      <c r="F96" s="174">
        <v>7428</v>
      </c>
      <c r="G96" s="183">
        <f>H96+I96+J96+K96+L96</f>
        <v>13477</v>
      </c>
      <c r="H96" s="183">
        <f>H101-H95</f>
        <v>2373</v>
      </c>
      <c r="I96" s="183">
        <v>2533</v>
      </c>
      <c r="J96" s="183">
        <v>2742</v>
      </c>
      <c r="K96" s="183">
        <v>2844</v>
      </c>
      <c r="L96" s="183">
        <v>2985</v>
      </c>
    </row>
    <row r="97" spans="1:12" ht="26.25" customHeight="1">
      <c r="A97" s="365" t="s">
        <v>65</v>
      </c>
      <c r="B97" s="367" t="s">
        <v>0</v>
      </c>
      <c r="C97" s="367" t="s">
        <v>104</v>
      </c>
      <c r="D97" s="362" t="s">
        <v>105</v>
      </c>
      <c r="E97" s="362" t="s">
        <v>106</v>
      </c>
      <c r="F97" s="362" t="s">
        <v>205</v>
      </c>
      <c r="G97" s="368" t="s">
        <v>108</v>
      </c>
      <c r="H97" s="368"/>
      <c r="I97" s="368"/>
      <c r="J97" s="368"/>
      <c r="K97" s="368"/>
      <c r="L97" s="368"/>
    </row>
    <row r="98" spans="1:12" ht="94.5">
      <c r="A98" s="365"/>
      <c r="B98" s="367"/>
      <c r="C98" s="367"/>
      <c r="D98" s="362"/>
      <c r="E98" s="362"/>
      <c r="F98" s="362"/>
      <c r="G98" s="238" t="s">
        <v>109</v>
      </c>
      <c r="H98" s="238" t="s">
        <v>110</v>
      </c>
      <c r="I98" s="238" t="s">
        <v>111</v>
      </c>
      <c r="J98" s="238" t="s">
        <v>112</v>
      </c>
      <c r="K98" s="238" t="s">
        <v>113</v>
      </c>
      <c r="L98" s="238" t="s">
        <v>114</v>
      </c>
    </row>
    <row r="99" spans="1:12" ht="15.75">
      <c r="A99" s="102">
        <v>1</v>
      </c>
      <c r="B99" s="102">
        <v>2</v>
      </c>
      <c r="C99" s="102">
        <v>3</v>
      </c>
      <c r="D99" s="102">
        <v>4</v>
      </c>
      <c r="E99" s="102">
        <v>5</v>
      </c>
      <c r="F99" s="102">
        <v>6</v>
      </c>
      <c r="G99" s="102">
        <v>7</v>
      </c>
      <c r="H99" s="102">
        <v>8</v>
      </c>
      <c r="I99" s="102">
        <v>9</v>
      </c>
      <c r="J99" s="102">
        <v>10</v>
      </c>
      <c r="K99" s="102">
        <v>11</v>
      </c>
      <c r="L99" s="102">
        <v>12</v>
      </c>
    </row>
    <row r="100" spans="1:12" ht="44.25" customHeight="1">
      <c r="A100" s="169" t="s">
        <v>41</v>
      </c>
      <c r="B100" s="170" t="s">
        <v>198</v>
      </c>
      <c r="C100" s="108"/>
      <c r="D100" s="179"/>
      <c r="E100" s="174"/>
      <c r="F100" s="174"/>
      <c r="G100" s="174">
        <v>608664</v>
      </c>
      <c r="H100" s="183">
        <v>115867.14</v>
      </c>
      <c r="I100" s="183">
        <v>118777.73</v>
      </c>
      <c r="J100" s="183">
        <v>122580</v>
      </c>
      <c r="K100" s="183">
        <v>124434</v>
      </c>
      <c r="L100" s="183">
        <v>127005</v>
      </c>
    </row>
    <row r="101" spans="1:12" ht="15.75">
      <c r="A101" s="169" t="s">
        <v>43</v>
      </c>
      <c r="B101" s="107" t="s">
        <v>42</v>
      </c>
      <c r="C101" s="108" t="s">
        <v>5</v>
      </c>
      <c r="D101" s="175">
        <v>34778</v>
      </c>
      <c r="E101" s="137">
        <v>49136</v>
      </c>
      <c r="F101" s="137">
        <v>49136</v>
      </c>
      <c r="G101" s="137">
        <v>505730</v>
      </c>
      <c r="H101" s="139">
        <v>87042</v>
      </c>
      <c r="I101" s="139">
        <f>I95+I96</f>
        <v>93820</v>
      </c>
      <c r="J101" s="139">
        <f>J95+J96</f>
        <v>101267</v>
      </c>
      <c r="K101" s="139">
        <f>K95+K96</f>
        <v>109378</v>
      </c>
      <c r="L101" s="139">
        <f>L95+L96</f>
        <v>114224</v>
      </c>
    </row>
    <row r="102" spans="1:12" ht="18.75">
      <c r="A102" s="369" t="s">
        <v>45</v>
      </c>
      <c r="B102" s="373" t="s">
        <v>44</v>
      </c>
      <c r="C102" s="108" t="s">
        <v>100</v>
      </c>
      <c r="D102" s="175">
        <v>62.26</v>
      </c>
      <c r="E102" s="174">
        <v>81.92</v>
      </c>
      <c r="F102" s="174">
        <v>81.92</v>
      </c>
      <c r="G102" s="137">
        <v>617.36</v>
      </c>
      <c r="H102" s="137">
        <v>111.72</v>
      </c>
      <c r="I102" s="137">
        <v>117.31</v>
      </c>
      <c r="J102" s="137">
        <v>123.18</v>
      </c>
      <c r="K102" s="137">
        <v>129.34</v>
      </c>
      <c r="L102" s="137">
        <v>135.81</v>
      </c>
    </row>
    <row r="103" spans="1:12" ht="31.5">
      <c r="A103" s="369"/>
      <c r="B103" s="373"/>
      <c r="C103" s="108" t="s">
        <v>2</v>
      </c>
      <c r="D103" s="119">
        <f>D95</f>
        <v>34778</v>
      </c>
      <c r="E103" s="174">
        <v>49136</v>
      </c>
      <c r="F103" s="174">
        <v>49136</v>
      </c>
      <c r="G103" s="174">
        <v>505730</v>
      </c>
      <c r="H103" s="174">
        <f>H102*H106</f>
        <v>87042</v>
      </c>
      <c r="I103" s="174">
        <f>I102*I106</f>
        <v>93820</v>
      </c>
      <c r="J103" s="174">
        <v>101267</v>
      </c>
      <c r="K103" s="174">
        <f>K102*K106</f>
        <v>109378</v>
      </c>
      <c r="L103" s="174">
        <f>L102*L106</f>
        <v>114224</v>
      </c>
    </row>
    <row r="104" spans="1:12" ht="15.75">
      <c r="A104" s="369" t="s">
        <v>47</v>
      </c>
      <c r="B104" s="370" t="s">
        <v>201</v>
      </c>
      <c r="C104" s="108" t="s">
        <v>46</v>
      </c>
      <c r="D104" s="184">
        <v>3.8</v>
      </c>
      <c r="E104" s="174">
        <v>3.8</v>
      </c>
      <c r="F104" s="174">
        <v>3.8</v>
      </c>
      <c r="G104" s="174">
        <v>5</v>
      </c>
      <c r="H104" s="120">
        <v>5</v>
      </c>
      <c r="I104" s="120">
        <v>5</v>
      </c>
      <c r="J104" s="120">
        <v>5</v>
      </c>
      <c r="K104" s="120">
        <v>5</v>
      </c>
      <c r="L104" s="120">
        <v>5</v>
      </c>
    </row>
    <row r="105" spans="1:12" ht="34.5" customHeight="1">
      <c r="A105" s="369"/>
      <c r="B105" s="370"/>
      <c r="C105" s="108" t="s">
        <v>100</v>
      </c>
      <c r="D105" s="119">
        <f>D102*D104%</f>
        <v>2.3658799999999998</v>
      </c>
      <c r="E105" s="119">
        <v>3.23</v>
      </c>
      <c r="F105" s="119">
        <v>3.23</v>
      </c>
      <c r="G105" s="174">
        <v>30.87</v>
      </c>
      <c r="H105" s="120">
        <f>H102*H104%</f>
        <v>5.5860000000000003</v>
      </c>
      <c r="I105" s="120">
        <f>I102*I104%</f>
        <v>5.8655000000000008</v>
      </c>
      <c r="J105" s="120">
        <f>J102*J104%</f>
        <v>6.1590000000000007</v>
      </c>
      <c r="K105" s="120">
        <f>K102*K104%</f>
        <v>6.4670000000000005</v>
      </c>
      <c r="L105" s="120">
        <f>L102*L104%</f>
        <v>6.7905000000000006</v>
      </c>
    </row>
    <row r="106" spans="1:12" ht="18.75">
      <c r="A106" s="169" t="s">
        <v>157</v>
      </c>
      <c r="B106" s="171" t="s">
        <v>48</v>
      </c>
      <c r="C106" s="108" t="s">
        <v>101</v>
      </c>
      <c r="D106" s="175">
        <v>599.78</v>
      </c>
      <c r="E106" s="175">
        <v>599.78</v>
      </c>
      <c r="F106" s="175">
        <v>599.78</v>
      </c>
      <c r="G106" s="139">
        <v>819.18</v>
      </c>
      <c r="H106" s="139">
        <f>H101/H102</f>
        <v>779.10848549946297</v>
      </c>
      <c r="I106" s="139">
        <f>I101/I102</f>
        <v>799.76131617082945</v>
      </c>
      <c r="J106" s="139">
        <f>J101/J102</f>
        <v>822.1058613411268</v>
      </c>
      <c r="K106" s="139">
        <f>K101/K102</f>
        <v>845.66259471161277</v>
      </c>
      <c r="L106" s="139">
        <f>L101/L102</f>
        <v>841.05735954642512</v>
      </c>
    </row>
    <row r="107" spans="1:12" ht="15.75">
      <c r="A107" s="131"/>
      <c r="B107" s="111" t="s">
        <v>49</v>
      </c>
      <c r="C107" s="173"/>
      <c r="D107" s="159"/>
      <c r="E107" s="174"/>
      <c r="F107" s="174"/>
      <c r="G107" s="174"/>
      <c r="H107" s="174"/>
      <c r="I107" s="174"/>
      <c r="J107" s="174"/>
      <c r="K107" s="174"/>
      <c r="L107" s="174"/>
    </row>
    <row r="108" spans="1:12" ht="49.5" customHeight="1">
      <c r="A108" s="122" t="s">
        <v>87</v>
      </c>
      <c r="B108" s="111" t="s">
        <v>50</v>
      </c>
      <c r="C108" s="172" t="s">
        <v>51</v>
      </c>
      <c r="D108" s="159"/>
      <c r="E108" s="114"/>
      <c r="F108" s="114"/>
      <c r="G108" s="114">
        <v>33</v>
      </c>
      <c r="H108" s="114">
        <v>33</v>
      </c>
      <c r="I108" s="114">
        <v>33</v>
      </c>
      <c r="J108" s="114">
        <v>33</v>
      </c>
      <c r="K108" s="114">
        <v>33</v>
      </c>
      <c r="L108" s="114">
        <v>33</v>
      </c>
    </row>
    <row r="109" spans="1:12" ht="15.75">
      <c r="A109" s="131"/>
      <c r="B109" s="111" t="s">
        <v>4</v>
      </c>
      <c r="C109" s="173"/>
      <c r="D109" s="159"/>
      <c r="E109" s="114"/>
      <c r="F109" s="114"/>
      <c r="G109" s="114"/>
      <c r="H109" s="114"/>
      <c r="I109" s="114"/>
      <c r="J109" s="114"/>
      <c r="K109" s="114"/>
      <c r="L109" s="114"/>
    </row>
    <row r="110" spans="1:12" ht="30.75" customHeight="1">
      <c r="A110" s="122" t="s">
        <v>88</v>
      </c>
      <c r="B110" s="111" t="s">
        <v>52</v>
      </c>
      <c r="C110" s="172" t="s">
        <v>5</v>
      </c>
      <c r="D110" s="159"/>
      <c r="E110" s="114"/>
      <c r="F110" s="114"/>
      <c r="G110" s="114">
        <v>23</v>
      </c>
      <c r="H110" s="114">
        <v>23</v>
      </c>
      <c r="I110" s="114">
        <v>23</v>
      </c>
      <c r="J110" s="114">
        <v>23</v>
      </c>
      <c r="K110" s="114">
        <v>23</v>
      </c>
      <c r="L110" s="114">
        <v>23</v>
      </c>
    </row>
    <row r="111" spans="1:12" ht="32.25" customHeight="1">
      <c r="A111" s="122" t="s">
        <v>89</v>
      </c>
      <c r="B111" s="111" t="s">
        <v>53</v>
      </c>
      <c r="C111" s="172" t="s">
        <v>5</v>
      </c>
      <c r="D111" s="159"/>
      <c r="E111" s="114"/>
      <c r="F111" s="114"/>
      <c r="G111" s="114">
        <v>10</v>
      </c>
      <c r="H111" s="114">
        <v>10</v>
      </c>
      <c r="I111" s="114">
        <v>10</v>
      </c>
      <c r="J111" s="114">
        <v>10</v>
      </c>
      <c r="K111" s="114">
        <v>10</v>
      </c>
      <c r="L111" s="114">
        <v>10</v>
      </c>
    </row>
    <row r="112" spans="1:12" ht="47.25" customHeight="1">
      <c r="A112" s="122" t="s">
        <v>90</v>
      </c>
      <c r="B112" s="111" t="s">
        <v>54</v>
      </c>
      <c r="C112" s="172" t="s">
        <v>55</v>
      </c>
      <c r="D112" s="159"/>
      <c r="E112" s="114"/>
      <c r="F112" s="114"/>
      <c r="G112" s="114">
        <v>91575</v>
      </c>
      <c r="H112" s="114">
        <v>93901</v>
      </c>
      <c r="I112" s="114">
        <v>103379</v>
      </c>
      <c r="J112" s="114">
        <v>107585</v>
      </c>
      <c r="K112" s="114">
        <v>108914</v>
      </c>
      <c r="L112" s="114">
        <v>115560</v>
      </c>
    </row>
    <row r="113" spans="1:12" ht="15.75">
      <c r="A113" s="131"/>
      <c r="B113" s="111" t="s">
        <v>4</v>
      </c>
      <c r="C113" s="173"/>
      <c r="D113" s="159"/>
      <c r="E113" s="114"/>
      <c r="F113" s="114"/>
      <c r="G113" s="114"/>
      <c r="H113" s="114"/>
      <c r="I113" s="114"/>
      <c r="J113" s="114"/>
      <c r="K113" s="114"/>
      <c r="L113" s="114"/>
    </row>
    <row r="114" spans="1:12" ht="36" customHeight="1">
      <c r="A114" s="122" t="s">
        <v>91</v>
      </c>
      <c r="B114" s="111" t="s">
        <v>52</v>
      </c>
      <c r="C114" s="172" t="s">
        <v>5</v>
      </c>
      <c r="D114" s="159"/>
      <c r="E114" s="114"/>
      <c r="F114" s="114"/>
      <c r="G114" s="114">
        <v>86811</v>
      </c>
      <c r="H114" s="114">
        <v>80670</v>
      </c>
      <c r="I114" s="114">
        <v>86065</v>
      </c>
      <c r="J114" s="114">
        <v>91010</v>
      </c>
      <c r="K114" s="114">
        <v>91757</v>
      </c>
      <c r="L114" s="114">
        <v>98684</v>
      </c>
    </row>
    <row r="115" spans="1:12" ht="36" customHeight="1">
      <c r="A115" s="365" t="s">
        <v>65</v>
      </c>
      <c r="B115" s="367" t="s">
        <v>0</v>
      </c>
      <c r="C115" s="367" t="s">
        <v>104</v>
      </c>
      <c r="D115" s="362" t="s">
        <v>105</v>
      </c>
      <c r="E115" s="362" t="s">
        <v>106</v>
      </c>
      <c r="F115" s="362" t="s">
        <v>205</v>
      </c>
      <c r="G115" s="368" t="s">
        <v>108</v>
      </c>
      <c r="H115" s="368"/>
      <c r="I115" s="368"/>
      <c r="J115" s="368"/>
      <c r="K115" s="368"/>
      <c r="L115" s="368"/>
    </row>
    <row r="116" spans="1:12" ht="80.25" customHeight="1">
      <c r="A116" s="365"/>
      <c r="B116" s="367"/>
      <c r="C116" s="367"/>
      <c r="D116" s="362"/>
      <c r="E116" s="362"/>
      <c r="F116" s="362"/>
      <c r="G116" s="238" t="s">
        <v>109</v>
      </c>
      <c r="H116" s="238" t="s">
        <v>110</v>
      </c>
      <c r="I116" s="238" t="s">
        <v>111</v>
      </c>
      <c r="J116" s="238" t="s">
        <v>112</v>
      </c>
      <c r="K116" s="238" t="s">
        <v>113</v>
      </c>
      <c r="L116" s="238" t="s">
        <v>114</v>
      </c>
    </row>
    <row r="117" spans="1:12" ht="19.5" customHeight="1">
      <c r="A117" s="102">
        <v>1</v>
      </c>
      <c r="B117" s="102">
        <v>2</v>
      </c>
      <c r="C117" s="102">
        <v>3</v>
      </c>
      <c r="D117" s="102">
        <v>4</v>
      </c>
      <c r="E117" s="102">
        <v>5</v>
      </c>
      <c r="F117" s="102">
        <v>6</v>
      </c>
      <c r="G117" s="102">
        <v>7</v>
      </c>
      <c r="H117" s="102">
        <v>8</v>
      </c>
      <c r="I117" s="102">
        <v>9</v>
      </c>
      <c r="J117" s="102">
        <v>10</v>
      </c>
      <c r="K117" s="102">
        <v>11</v>
      </c>
      <c r="L117" s="102">
        <v>12</v>
      </c>
    </row>
    <row r="118" spans="1:12" ht="33.75" customHeight="1">
      <c r="A118" s="122" t="s">
        <v>92</v>
      </c>
      <c r="B118" s="111" t="s">
        <v>53</v>
      </c>
      <c r="C118" s="172" t="s">
        <v>5</v>
      </c>
      <c r="D118" s="159"/>
      <c r="E118" s="114"/>
      <c r="F118" s="114"/>
      <c r="G118" s="114">
        <v>102533</v>
      </c>
      <c r="H118" s="114">
        <v>124333</v>
      </c>
      <c r="I118" s="114">
        <v>143200</v>
      </c>
      <c r="J118" s="114">
        <v>145708</v>
      </c>
      <c r="K118" s="114">
        <v>148375</v>
      </c>
      <c r="L118" s="114">
        <v>154375</v>
      </c>
    </row>
    <row r="119" spans="1:12" ht="66.75" customHeight="1">
      <c r="A119" s="122" t="s">
        <v>93</v>
      </c>
      <c r="B119" s="111" t="s">
        <v>56</v>
      </c>
      <c r="C119" s="172" t="s">
        <v>2</v>
      </c>
      <c r="D119" s="159"/>
      <c r="E119" s="114"/>
      <c r="F119" s="114"/>
      <c r="G119" s="114"/>
      <c r="H119" s="114"/>
      <c r="I119" s="114"/>
      <c r="J119" s="114"/>
      <c r="K119" s="114"/>
      <c r="L119" s="114"/>
    </row>
    <row r="120" spans="1:12" ht="78" customHeight="1">
      <c r="A120" s="122" t="s">
        <v>94</v>
      </c>
      <c r="B120" s="111" t="s">
        <v>57</v>
      </c>
      <c r="C120" s="172" t="s">
        <v>5</v>
      </c>
      <c r="D120" s="159"/>
      <c r="E120" s="114"/>
      <c r="F120" s="114"/>
      <c r="G120" s="114"/>
      <c r="H120" s="114"/>
      <c r="I120" s="114"/>
      <c r="J120" s="114"/>
      <c r="K120" s="114"/>
      <c r="L120" s="114"/>
    </row>
    <row r="121" spans="1:12" ht="99.75" customHeight="1">
      <c r="A121" s="122" t="s">
        <v>95</v>
      </c>
      <c r="B121" s="111" t="s">
        <v>58</v>
      </c>
      <c r="C121" s="172" t="s">
        <v>5</v>
      </c>
      <c r="D121" s="159"/>
      <c r="E121" s="114"/>
      <c r="F121" s="114"/>
      <c r="G121" s="114">
        <v>24767</v>
      </c>
      <c r="H121" s="114">
        <v>4136</v>
      </c>
      <c r="I121" s="114">
        <v>4467</v>
      </c>
      <c r="J121" s="114">
        <v>4914</v>
      </c>
      <c r="K121" s="114">
        <v>5307</v>
      </c>
      <c r="L121" s="114">
        <v>5943</v>
      </c>
    </row>
    <row r="122" spans="1:12" ht="15.75">
      <c r="A122" s="131"/>
      <c r="B122" s="111" t="s">
        <v>4</v>
      </c>
      <c r="C122" s="173"/>
      <c r="D122" s="159"/>
      <c r="E122" s="114"/>
      <c r="F122" s="114"/>
      <c r="G122" s="114"/>
      <c r="H122" s="114"/>
      <c r="I122" s="114"/>
      <c r="J122" s="114"/>
      <c r="K122" s="114"/>
      <c r="L122" s="114"/>
    </row>
    <row r="123" spans="1:12" ht="36.75" customHeight="1">
      <c r="A123" s="122" t="s">
        <v>96</v>
      </c>
      <c r="B123" s="111" t="s">
        <v>59</v>
      </c>
      <c r="C123" s="172" t="s">
        <v>5</v>
      </c>
      <c r="D123" s="159"/>
      <c r="E123" s="114"/>
      <c r="F123" s="114"/>
      <c r="G123" s="114">
        <v>16865</v>
      </c>
      <c r="H123" s="114">
        <v>2816</v>
      </c>
      <c r="I123" s="114">
        <v>3042</v>
      </c>
      <c r="J123" s="114">
        <v>3346</v>
      </c>
      <c r="K123" s="114">
        <v>3614</v>
      </c>
      <c r="L123" s="114">
        <v>4047</v>
      </c>
    </row>
    <row r="124" spans="1:12" ht="15.75">
      <c r="A124" s="122" t="s">
        <v>97</v>
      </c>
      <c r="B124" s="111" t="s">
        <v>8</v>
      </c>
      <c r="C124" s="172" t="s">
        <v>5</v>
      </c>
      <c r="D124" s="159"/>
      <c r="E124" s="114"/>
      <c r="F124" s="114"/>
      <c r="G124" s="114">
        <v>7409</v>
      </c>
      <c r="H124" s="114">
        <v>1238</v>
      </c>
      <c r="I124" s="114">
        <v>1336</v>
      </c>
      <c r="J124" s="114">
        <v>1470</v>
      </c>
      <c r="K124" s="114">
        <v>1587</v>
      </c>
      <c r="L124" s="114">
        <v>1778</v>
      </c>
    </row>
    <row r="125" spans="1:12" ht="31.5">
      <c r="A125" s="122" t="s">
        <v>98</v>
      </c>
      <c r="B125" s="111" t="s">
        <v>9</v>
      </c>
      <c r="C125" s="172" t="s">
        <v>5</v>
      </c>
      <c r="D125" s="159"/>
      <c r="E125" s="114"/>
      <c r="F125" s="114"/>
      <c r="G125" s="114">
        <v>493</v>
      </c>
      <c r="H125" s="114">
        <v>82</v>
      </c>
      <c r="I125" s="114">
        <v>89</v>
      </c>
      <c r="J125" s="114">
        <v>98</v>
      </c>
      <c r="K125" s="114">
        <v>106</v>
      </c>
      <c r="L125" s="114">
        <v>118</v>
      </c>
    </row>
    <row r="126" spans="1:12" ht="15.75">
      <c r="A126" s="379" t="s">
        <v>99</v>
      </c>
      <c r="B126" s="380" t="s">
        <v>60</v>
      </c>
      <c r="C126" s="172" t="s">
        <v>46</v>
      </c>
      <c r="D126" s="159"/>
      <c r="E126" s="114"/>
      <c r="F126" s="114"/>
      <c r="G126" s="114"/>
      <c r="H126" s="114"/>
      <c r="I126" s="114"/>
      <c r="J126" s="114"/>
      <c r="K126" s="114"/>
      <c r="L126" s="114"/>
    </row>
    <row r="127" spans="1:12" ht="33" customHeight="1">
      <c r="A127" s="379"/>
      <c r="B127" s="380"/>
      <c r="C127" s="172" t="s">
        <v>102</v>
      </c>
      <c r="D127" s="159"/>
      <c r="E127" s="114"/>
      <c r="F127" s="114"/>
      <c r="G127" s="114"/>
      <c r="H127" s="114"/>
      <c r="I127" s="114"/>
      <c r="J127" s="114"/>
      <c r="K127" s="114"/>
      <c r="L127" s="114"/>
    </row>
    <row r="128" spans="1:12" ht="15.75">
      <c r="A128" s="185"/>
      <c r="B128" s="100"/>
      <c r="C128" s="100"/>
      <c r="D128" s="100"/>
      <c r="E128" s="99"/>
      <c r="F128" s="99"/>
      <c r="H128" s="99"/>
      <c r="J128" s="99"/>
      <c r="K128" s="99"/>
      <c r="L128" s="99"/>
    </row>
    <row r="129" spans="1:12" ht="15.75">
      <c r="A129" s="185"/>
      <c r="B129" s="100"/>
      <c r="C129" s="100"/>
      <c r="D129" s="100"/>
      <c r="E129" s="99"/>
      <c r="F129" s="99"/>
      <c r="H129" s="99"/>
      <c r="J129" s="99"/>
      <c r="K129" s="99"/>
      <c r="L129" s="99"/>
    </row>
    <row r="130" spans="1:12" ht="15.75">
      <c r="A130" s="185"/>
      <c r="B130" s="100"/>
      <c r="C130" s="100"/>
      <c r="D130" s="100"/>
      <c r="E130" s="99"/>
      <c r="F130" s="99"/>
      <c r="H130" s="99"/>
      <c r="J130" s="99"/>
      <c r="K130" s="99"/>
      <c r="L130" s="99"/>
    </row>
    <row r="131" spans="1:12" ht="15.75">
      <c r="A131" s="185"/>
      <c r="B131" s="100"/>
      <c r="C131" s="100"/>
      <c r="D131" s="100"/>
      <c r="E131" s="99"/>
      <c r="F131" s="99"/>
      <c r="H131" s="99"/>
      <c r="J131" s="99"/>
      <c r="K131" s="99"/>
      <c r="L131" s="99"/>
    </row>
    <row r="132" spans="1:12" ht="15.75">
      <c r="A132" s="100"/>
      <c r="B132" s="100"/>
      <c r="C132" s="100"/>
      <c r="D132" s="100"/>
      <c r="E132" s="99"/>
      <c r="F132" s="99"/>
      <c r="H132" s="99"/>
      <c r="J132" s="99"/>
      <c r="K132" s="99"/>
      <c r="L132" s="99"/>
    </row>
    <row r="133" spans="1:12" ht="15.75">
      <c r="A133" s="47"/>
      <c r="B133" s="47"/>
      <c r="C133" s="47"/>
      <c r="D133" s="47"/>
    </row>
  </sheetData>
  <mergeCells count="70">
    <mergeCell ref="F115:F116"/>
    <mergeCell ref="G115:L115"/>
    <mergeCell ref="A115:A116"/>
    <mergeCell ref="B115:B116"/>
    <mergeCell ref="C115:C116"/>
    <mergeCell ref="D115:D116"/>
    <mergeCell ref="E115:E116"/>
    <mergeCell ref="F82:F83"/>
    <mergeCell ref="G82:L82"/>
    <mergeCell ref="A97:A98"/>
    <mergeCell ref="B97:B98"/>
    <mergeCell ref="C97:C98"/>
    <mergeCell ref="D97:D98"/>
    <mergeCell ref="E97:E98"/>
    <mergeCell ref="F97:F98"/>
    <mergeCell ref="G97:L97"/>
    <mergeCell ref="A82:A83"/>
    <mergeCell ref="B82:B83"/>
    <mergeCell ref="C82:C83"/>
    <mergeCell ref="D82:D83"/>
    <mergeCell ref="E82:E83"/>
    <mergeCell ref="F51:F52"/>
    <mergeCell ref="G51:L51"/>
    <mergeCell ref="A71:A72"/>
    <mergeCell ref="B71:B72"/>
    <mergeCell ref="C71:C72"/>
    <mergeCell ref="D71:D72"/>
    <mergeCell ref="E71:E72"/>
    <mergeCell ref="F71:F72"/>
    <mergeCell ref="G71:L71"/>
    <mergeCell ref="A51:A52"/>
    <mergeCell ref="B51:B52"/>
    <mergeCell ref="C51:C52"/>
    <mergeCell ref="D51:D52"/>
    <mergeCell ref="E51:E52"/>
    <mergeCell ref="G22:L22"/>
    <mergeCell ref="A37:A38"/>
    <mergeCell ref="B37:B38"/>
    <mergeCell ref="C37:C38"/>
    <mergeCell ref="D37:D38"/>
    <mergeCell ref="E37:E38"/>
    <mergeCell ref="F37:F38"/>
    <mergeCell ref="G37:L37"/>
    <mergeCell ref="B22:B23"/>
    <mergeCell ref="C22:C23"/>
    <mergeCell ref="D22:D23"/>
    <mergeCell ref="E22:E23"/>
    <mergeCell ref="F22:F23"/>
    <mergeCell ref="A7:L7"/>
    <mergeCell ref="J1:L1"/>
    <mergeCell ref="H5:L5"/>
    <mergeCell ref="A6:L6"/>
    <mergeCell ref="B3:L3"/>
    <mergeCell ref="B4:L4"/>
    <mergeCell ref="A126:A127"/>
    <mergeCell ref="B126:B127"/>
    <mergeCell ref="A8:L8"/>
    <mergeCell ref="A10:A11"/>
    <mergeCell ref="B10:B11"/>
    <mergeCell ref="C10:C11"/>
    <mergeCell ref="D10:D11"/>
    <mergeCell ref="E10:E11"/>
    <mergeCell ref="F10:F11"/>
    <mergeCell ref="G10:L10"/>
    <mergeCell ref="A14:A15"/>
    <mergeCell ref="A102:A103"/>
    <mergeCell ref="B102:B103"/>
    <mergeCell ref="A104:A105"/>
    <mergeCell ref="B104:B105"/>
    <mergeCell ref="A22:A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topLeftCell="C59" workbookViewId="0">
      <selection activeCell="U86" sqref="U86"/>
    </sheetView>
  </sheetViews>
  <sheetFormatPr defaultColWidth="9.140625" defaultRowHeight="15"/>
  <cols>
    <col min="1" max="1" width="7.140625" style="19" customWidth="1"/>
    <col min="2" max="2" width="42.5703125" style="19" customWidth="1"/>
    <col min="3" max="3" width="10.7109375" style="19" customWidth="1"/>
    <col min="4" max="4" width="11.140625" style="19" customWidth="1"/>
    <col min="5" max="5" width="10.28515625" style="19" customWidth="1"/>
    <col min="6" max="6" width="10" style="19" customWidth="1"/>
    <col min="7" max="7" width="9.5703125" style="19" customWidth="1"/>
    <col min="8" max="8" width="10.42578125" style="19" customWidth="1"/>
    <col min="9" max="9" width="9.85546875" style="19" customWidth="1"/>
    <col min="10" max="10" width="9.7109375" style="19" customWidth="1"/>
    <col min="11" max="11" width="9.85546875" style="19" customWidth="1"/>
    <col min="12" max="12" width="9.7109375" style="19" customWidth="1"/>
    <col min="13" max="13" width="9.140625" style="19" customWidth="1"/>
    <col min="14" max="16384" width="9.140625" style="19"/>
  </cols>
  <sheetData>
    <row r="1" spans="1:14" ht="15.75">
      <c r="A1" s="49"/>
      <c r="J1" s="382" t="s">
        <v>141</v>
      </c>
      <c r="K1" s="382"/>
      <c r="L1" s="382"/>
      <c r="M1" s="47"/>
    </row>
    <row r="2" spans="1:14" ht="15.75">
      <c r="A2" s="49"/>
      <c r="H2" s="382" t="s">
        <v>115</v>
      </c>
      <c r="I2" s="382"/>
      <c r="J2" s="382"/>
      <c r="K2" s="382"/>
      <c r="L2" s="382"/>
      <c r="M2" s="48"/>
      <c r="N2" s="48"/>
    </row>
    <row r="3" spans="1:14" ht="15.75">
      <c r="A3" s="49"/>
      <c r="H3" s="382" t="s">
        <v>116</v>
      </c>
      <c r="I3" s="382"/>
      <c r="J3" s="382"/>
      <c r="K3" s="382"/>
      <c r="L3" s="382"/>
      <c r="M3" s="48"/>
      <c r="N3" s="48"/>
    </row>
    <row r="4" spans="1:14" ht="15.75">
      <c r="A4" s="49"/>
      <c r="H4" s="382" t="s">
        <v>117</v>
      </c>
      <c r="I4" s="382"/>
      <c r="J4" s="382"/>
      <c r="K4" s="382"/>
      <c r="L4" s="382"/>
      <c r="M4" s="47"/>
    </row>
    <row r="5" spans="1:14" ht="15.75">
      <c r="A5" s="49"/>
      <c r="L5" s="49" t="s">
        <v>118</v>
      </c>
      <c r="M5" s="47"/>
    </row>
    <row r="6" spans="1:14" ht="15.75">
      <c r="A6" s="49"/>
      <c r="I6" s="393" t="s">
        <v>142</v>
      </c>
      <c r="J6" s="393"/>
      <c r="K6" s="393"/>
      <c r="L6" s="393"/>
      <c r="M6" s="90"/>
    </row>
    <row r="7" spans="1:14" ht="16.5" customHeight="1">
      <c r="A7" s="383" t="s">
        <v>103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</row>
    <row r="8" spans="1:14" ht="16.5" customHeight="1">
      <c r="A8" s="381" t="s">
        <v>119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4" ht="16.5" customHeight="1">
      <c r="A9" s="381" t="s">
        <v>140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1:14" ht="9.75" customHeight="1">
      <c r="A10" s="49"/>
      <c r="B10" s="47"/>
      <c r="C10" s="47"/>
      <c r="D10" s="47"/>
    </row>
    <row r="11" spans="1:14" ht="24.75" customHeight="1">
      <c r="A11" s="389" t="s">
        <v>65</v>
      </c>
      <c r="B11" s="390" t="s">
        <v>0</v>
      </c>
      <c r="C11" s="390" t="s">
        <v>104</v>
      </c>
      <c r="D11" s="391" t="s">
        <v>105</v>
      </c>
      <c r="E11" s="391" t="s">
        <v>106</v>
      </c>
      <c r="F11" s="391" t="s">
        <v>107</v>
      </c>
      <c r="G11" s="392" t="s">
        <v>108</v>
      </c>
      <c r="H11" s="392"/>
      <c r="I11" s="392"/>
      <c r="J11" s="392"/>
      <c r="K11" s="392"/>
      <c r="L11" s="392"/>
      <c r="N11" s="51"/>
    </row>
    <row r="12" spans="1:14" ht="135" customHeight="1">
      <c r="A12" s="389"/>
      <c r="B12" s="390"/>
      <c r="C12" s="390"/>
      <c r="D12" s="391"/>
      <c r="E12" s="391"/>
      <c r="F12" s="391"/>
      <c r="G12" s="52" t="s">
        <v>109</v>
      </c>
      <c r="H12" s="52" t="s">
        <v>110</v>
      </c>
      <c r="I12" s="52" t="s">
        <v>111</v>
      </c>
      <c r="J12" s="52" t="s">
        <v>112</v>
      </c>
      <c r="K12" s="52" t="s">
        <v>113</v>
      </c>
      <c r="L12" s="52" t="s">
        <v>114</v>
      </c>
    </row>
    <row r="13" spans="1:14" ht="15.75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</row>
    <row r="14" spans="1:14" ht="31.5">
      <c r="A14" s="60" t="s">
        <v>1</v>
      </c>
      <c r="B14" s="54" t="s">
        <v>143</v>
      </c>
      <c r="C14" s="60" t="s">
        <v>2</v>
      </c>
      <c r="D14" s="55">
        <f t="shared" ref="D14:L14" si="0">D15+D23+D28+D29+D32</f>
        <v>10752.740000000002</v>
      </c>
      <c r="E14" s="56">
        <f t="shared" si="0"/>
        <v>17634.624410000004</v>
      </c>
      <c r="F14" s="56">
        <f t="shared" si="0"/>
        <v>10683.42174</v>
      </c>
      <c r="G14" s="56">
        <f t="shared" si="0"/>
        <v>82888.547631366528</v>
      </c>
      <c r="H14" s="56">
        <f t="shared" si="0"/>
        <v>14919.97770394597</v>
      </c>
      <c r="I14" s="56">
        <f t="shared" si="0"/>
        <v>15775.479743128446</v>
      </c>
      <c r="J14" s="56">
        <f t="shared" si="0"/>
        <v>16629.995937566622</v>
      </c>
      <c r="K14" s="56">
        <f t="shared" si="0"/>
        <v>17381.777697785037</v>
      </c>
      <c r="L14" s="56">
        <f t="shared" si="0"/>
        <v>18181.316548940453</v>
      </c>
    </row>
    <row r="15" spans="1:14" ht="15.75">
      <c r="A15" s="384">
        <v>1</v>
      </c>
      <c r="B15" s="57" t="s">
        <v>3</v>
      </c>
      <c r="C15" s="33" t="s">
        <v>5</v>
      </c>
      <c r="D15" s="58">
        <f>D17+D18+D19+D20+D21</f>
        <v>675</v>
      </c>
      <c r="E15" s="59">
        <f t="shared" ref="E15:L15" si="1">E17+E18+E19+E20+E21</f>
        <v>2885.31</v>
      </c>
      <c r="F15" s="59">
        <f t="shared" si="1"/>
        <v>1585.61</v>
      </c>
      <c r="G15" s="59">
        <f>G17+G18+G19+G20+G21</f>
        <v>12597.87087814916</v>
      </c>
      <c r="H15" s="59">
        <f t="shared" si="1"/>
        <v>2172.0232500000002</v>
      </c>
      <c r="I15" s="59">
        <f t="shared" si="1"/>
        <v>2339.6143830000001</v>
      </c>
      <c r="J15" s="59">
        <f t="shared" si="1"/>
        <v>2514.07258598</v>
      </c>
      <c r="K15" s="59">
        <f t="shared" si="1"/>
        <v>2690.7232152790002</v>
      </c>
      <c r="L15" s="59">
        <f t="shared" si="1"/>
        <v>2881.4374438901605</v>
      </c>
    </row>
    <row r="16" spans="1:14" ht="15.75">
      <c r="A16" s="385"/>
      <c r="B16" s="20" t="s">
        <v>4</v>
      </c>
      <c r="C16" s="50"/>
      <c r="D16" s="61"/>
      <c r="E16" s="16"/>
      <c r="F16" s="16"/>
      <c r="G16" s="16"/>
      <c r="H16" s="16"/>
      <c r="I16" s="16"/>
      <c r="J16" s="16"/>
      <c r="K16" s="16"/>
      <c r="L16" s="16"/>
    </row>
    <row r="17" spans="1:13" ht="15.75">
      <c r="A17" s="74" t="s">
        <v>66</v>
      </c>
      <c r="B17" s="20" t="s">
        <v>144</v>
      </c>
      <c r="C17" s="33" t="s">
        <v>5</v>
      </c>
      <c r="D17" s="26">
        <f>162+56</f>
        <v>218</v>
      </c>
      <c r="E17" s="28">
        <v>1266</v>
      </c>
      <c r="F17" s="28">
        <v>499.2</v>
      </c>
      <c r="G17" s="76">
        <f>H17+I17+J17+K17+L17</f>
        <v>4972.2651386400012</v>
      </c>
      <c r="H17" s="28">
        <f>(E17+F17)/2</f>
        <v>882.6</v>
      </c>
      <c r="I17" s="28">
        <f>H17*1.07</f>
        <v>944.38200000000006</v>
      </c>
      <c r="J17" s="28">
        <f>I17*1.06</f>
        <v>1001.0449200000002</v>
      </c>
      <c r="K17" s="28">
        <f>J17*1.05</f>
        <v>1051.0971660000002</v>
      </c>
      <c r="L17" s="28">
        <f>K17*1.04</f>
        <v>1093.1410526400002</v>
      </c>
    </row>
    <row r="18" spans="1:13" ht="15.75">
      <c r="A18" s="74" t="s">
        <v>145</v>
      </c>
      <c r="B18" s="20" t="s">
        <v>163</v>
      </c>
      <c r="C18" s="50" t="s">
        <v>5</v>
      </c>
      <c r="D18" s="26"/>
      <c r="E18" s="16"/>
      <c r="F18" s="16"/>
      <c r="G18" s="16">
        <f>H18+I18+J18+K18+L18</f>
        <v>0</v>
      </c>
      <c r="H18" s="16"/>
      <c r="I18" s="16"/>
      <c r="J18" s="16"/>
      <c r="K18" s="16"/>
      <c r="L18" s="16"/>
    </row>
    <row r="19" spans="1:13" ht="15.75">
      <c r="A19" s="74" t="s">
        <v>146</v>
      </c>
      <c r="B19" s="20" t="s">
        <v>147</v>
      </c>
      <c r="C19" s="50" t="s">
        <v>5</v>
      </c>
      <c r="D19" s="26"/>
      <c r="E19" s="16">
        <v>107.67</v>
      </c>
      <c r="F19" s="16">
        <v>41.04</v>
      </c>
      <c r="G19" s="16">
        <f>H19+I19+J19+K19+L19</f>
        <v>649.03608950916009</v>
      </c>
      <c r="H19" s="18">
        <f>E19*1.07</f>
        <v>115.2069</v>
      </c>
      <c r="I19" s="18">
        <f>H19*1.07</f>
        <v>123.27138300000001</v>
      </c>
      <c r="J19" s="18">
        <f>I19*1.06</f>
        <v>130.66766598000001</v>
      </c>
      <c r="K19" s="18">
        <f>J19*1.05</f>
        <v>137.20104927900002</v>
      </c>
      <c r="L19" s="18">
        <f>K19*1.04</f>
        <v>142.68909125016003</v>
      </c>
    </row>
    <row r="20" spans="1:13" ht="15.75">
      <c r="A20" s="74" t="s">
        <v>148</v>
      </c>
      <c r="B20" s="20" t="s">
        <v>149</v>
      </c>
      <c r="C20" s="50" t="s">
        <v>5</v>
      </c>
      <c r="D20" s="26">
        <v>270</v>
      </c>
      <c r="E20" s="16">
        <v>1253.2</v>
      </c>
      <c r="F20" s="16">
        <v>857.67</v>
      </c>
      <c r="G20" s="16">
        <f>H20+I20+J20+K20+L20</f>
        <v>6082</v>
      </c>
      <c r="H20" s="16">
        <v>1058</v>
      </c>
      <c r="I20" s="16">
        <v>1131</v>
      </c>
      <c r="J20" s="16">
        <v>1211</v>
      </c>
      <c r="K20" s="16">
        <v>1296</v>
      </c>
      <c r="L20" s="16">
        <v>1386</v>
      </c>
      <c r="M20" s="62"/>
    </row>
    <row r="21" spans="1:13" ht="15.75">
      <c r="A21" s="74" t="s">
        <v>150</v>
      </c>
      <c r="B21" s="20" t="s">
        <v>6</v>
      </c>
      <c r="C21" s="50" t="s">
        <v>5</v>
      </c>
      <c r="D21" s="26">
        <v>187</v>
      </c>
      <c r="E21" s="16">
        <v>258.44</v>
      </c>
      <c r="F21" s="16">
        <v>187.7</v>
      </c>
      <c r="G21" s="18">
        <f>H21+I21+J21+K21+L21</f>
        <v>894.56965000000002</v>
      </c>
      <c r="H21" s="18">
        <f>(5280+1465)*17.23/1000</f>
        <v>116.21635000000001</v>
      </c>
      <c r="I21" s="18">
        <f>(5808+1611)*19/1000</f>
        <v>140.96100000000001</v>
      </c>
      <c r="J21" s="18">
        <f>(6388+1772)*21/1000</f>
        <v>171.36</v>
      </c>
      <c r="K21" s="18">
        <f>(7026+1949)*23/1000</f>
        <v>206.42500000000001</v>
      </c>
      <c r="L21" s="18">
        <f>(7728+2143)*26.3/1000</f>
        <v>259.60730000000001</v>
      </c>
    </row>
    <row r="22" spans="1:13" ht="15.75">
      <c r="A22" s="74"/>
      <c r="B22" s="20"/>
      <c r="C22" s="50"/>
      <c r="D22" s="26"/>
      <c r="E22" s="16"/>
      <c r="F22" s="16"/>
      <c r="G22" s="18"/>
      <c r="H22" s="18"/>
      <c r="I22" s="18"/>
      <c r="J22" s="18"/>
      <c r="K22" s="18"/>
      <c r="L22" s="18"/>
    </row>
    <row r="23" spans="1:13" ht="15.75">
      <c r="A23" s="70" t="s">
        <v>67</v>
      </c>
      <c r="B23" s="57" t="s">
        <v>151</v>
      </c>
      <c r="C23" s="33" t="s">
        <v>5</v>
      </c>
      <c r="D23" s="63">
        <f>D25+D26+D27</f>
        <v>9077.7400000000016</v>
      </c>
      <c r="E23" s="91">
        <f t="shared" ref="E23:L23" si="2">E25+E26+E27</f>
        <v>8051.36</v>
      </c>
      <c r="F23" s="91">
        <f t="shared" si="2"/>
        <v>5093.3</v>
      </c>
      <c r="G23" s="91">
        <f t="shared" si="2"/>
        <v>39696.904763264058</v>
      </c>
      <c r="H23" s="91">
        <f t="shared" si="2"/>
        <v>7046.3837239459717</v>
      </c>
      <c r="I23" s="91">
        <f t="shared" si="2"/>
        <v>7539.6305846221894</v>
      </c>
      <c r="J23" s="91">
        <f t="shared" si="2"/>
        <v>7992.0084196995213</v>
      </c>
      <c r="K23" s="91">
        <f t="shared" si="2"/>
        <v>8391.6088406844992</v>
      </c>
      <c r="L23" s="91">
        <f t="shared" si="2"/>
        <v>8727.2731943118779</v>
      </c>
    </row>
    <row r="24" spans="1:13" ht="15.75">
      <c r="A24" s="64"/>
      <c r="B24" s="20" t="s">
        <v>4</v>
      </c>
      <c r="C24" s="52"/>
      <c r="D24" s="34"/>
      <c r="E24" s="16"/>
      <c r="F24" s="16"/>
      <c r="G24" s="16"/>
      <c r="H24" s="16"/>
      <c r="I24" s="16"/>
      <c r="J24" s="16"/>
      <c r="K24" s="16"/>
      <c r="L24" s="16"/>
    </row>
    <row r="25" spans="1:13" ht="21" customHeight="1">
      <c r="A25" s="74" t="s">
        <v>68</v>
      </c>
      <c r="B25" s="20" t="s">
        <v>152</v>
      </c>
      <c r="C25" s="50" t="s">
        <v>5</v>
      </c>
      <c r="D25" s="34">
        <v>8260</v>
      </c>
      <c r="E25" s="16">
        <v>7335.7</v>
      </c>
      <c r="F25" s="16">
        <v>4634.6000000000004</v>
      </c>
      <c r="G25" s="16">
        <f>H25+I25+J25+K25+L25</f>
        <v>36121.821768956004</v>
      </c>
      <c r="H25" s="18">
        <f>(366388/6/1000)*1.25*7*12</f>
        <v>6411.79</v>
      </c>
      <c r="I25" s="16">
        <f>H25*1.07</f>
        <v>6860.6153000000004</v>
      </c>
      <c r="J25" s="16">
        <f>I25*1.06</f>
        <v>7272.2522180000005</v>
      </c>
      <c r="K25" s="16">
        <f>J25*1.05</f>
        <v>7635.8648289000012</v>
      </c>
      <c r="L25" s="16">
        <f>K25*1.04</f>
        <v>7941.2994220560013</v>
      </c>
    </row>
    <row r="26" spans="1:13" ht="15.75">
      <c r="A26" s="74" t="s">
        <v>69</v>
      </c>
      <c r="B26" s="20" t="s">
        <v>9</v>
      </c>
      <c r="C26" s="50" t="s">
        <v>5</v>
      </c>
      <c r="D26" s="34">
        <v>446.04</v>
      </c>
      <c r="E26" s="16">
        <v>393.16</v>
      </c>
      <c r="F26" s="16">
        <v>250.2</v>
      </c>
      <c r="G26" s="16">
        <f>H26+I26+J26+K26+L26</f>
        <v>1950.0452696225759</v>
      </c>
      <c r="H26" s="18">
        <f>H25*(F26/F25%)%</f>
        <v>346.14203124325718</v>
      </c>
      <c r="I26" s="18">
        <f>H26*1.07</f>
        <v>370.37197343028521</v>
      </c>
      <c r="J26" s="18">
        <f>I26*1.06</f>
        <v>392.59429183610234</v>
      </c>
      <c r="K26" s="18">
        <f>J26*1.05</f>
        <v>412.22400642790745</v>
      </c>
      <c r="L26" s="18">
        <f>K26*1.04</f>
        <v>428.71296668502379</v>
      </c>
    </row>
    <row r="27" spans="1:13" ht="15.75">
      <c r="A27" s="74" t="s">
        <v>121</v>
      </c>
      <c r="B27" s="20" t="s">
        <v>122</v>
      </c>
      <c r="C27" s="50"/>
      <c r="D27" s="26">
        <v>371.7</v>
      </c>
      <c r="E27" s="16">
        <v>322.5</v>
      </c>
      <c r="F27" s="16">
        <v>208.5</v>
      </c>
      <c r="G27" s="16">
        <f>H27+I27+J27+K27+L27</f>
        <v>1625.03772468548</v>
      </c>
      <c r="H27" s="18">
        <f>H25*(F27/F25%)%</f>
        <v>288.45169270271435</v>
      </c>
      <c r="I27" s="18">
        <f>H27*1.07</f>
        <v>308.64331119190439</v>
      </c>
      <c r="J27" s="18">
        <f>I27*1.06</f>
        <v>327.16190986341866</v>
      </c>
      <c r="K27" s="18">
        <f>J27*1.05</f>
        <v>343.52000535658959</v>
      </c>
      <c r="L27" s="18">
        <f>K27*1.04</f>
        <v>357.26080557085317</v>
      </c>
    </row>
    <row r="28" spans="1:13" ht="15.75">
      <c r="A28" s="70" t="s">
        <v>70</v>
      </c>
      <c r="B28" s="57" t="s">
        <v>10</v>
      </c>
      <c r="C28" s="33" t="s">
        <v>5</v>
      </c>
      <c r="D28" s="36">
        <v>190</v>
      </c>
      <c r="E28" s="92">
        <f>([1]TDSheet!$H$232-3190141.96+515195.91)/1000</f>
        <v>6491.6925200000005</v>
      </c>
      <c r="F28" s="65">
        <f>[2]TDSheet!$H$265/1000</f>
        <v>2871.7727400000003</v>
      </c>
      <c r="G28" s="35">
        <f>H28+I28+J28+K28+L28</f>
        <v>14137.438295012136</v>
      </c>
      <c r="H28" s="78">
        <f>(242595*12)/1000</f>
        <v>2911.14</v>
      </c>
      <c r="I28" s="65">
        <f>(H28/([3]TDSheet!$D$274/1000)%)*(([3]TDSheet!$D$274/1000)-H28)%</f>
        <v>2889.6928944062561</v>
      </c>
      <c r="J28" s="65">
        <f>(I28/([3]TDSheet!$D$274/1000)%)*(([3]TDSheet!$D$274/1000)-I28-H28)%</f>
        <v>2847.2715379211008</v>
      </c>
      <c r="K28" s="65">
        <f>(J28/([3]TDSheet!$D$274/1000)%)*(([3]TDSheet!$D$274/1000)-J28-I28-H28)%</f>
        <v>2784.9565781572378</v>
      </c>
      <c r="L28" s="65">
        <f>(K28/([3]TDSheet!$D$274/1000)%)*(([3]TDSheet!$D$274/1000)-K28-J28-I28-H28)%</f>
        <v>2704.3772845275416</v>
      </c>
      <c r="M28" s="66"/>
    </row>
    <row r="29" spans="1:13" ht="15.75">
      <c r="A29" s="70" t="s">
        <v>71</v>
      </c>
      <c r="B29" s="57" t="s">
        <v>11</v>
      </c>
      <c r="C29" s="33" t="s">
        <v>5</v>
      </c>
      <c r="D29" s="36">
        <f>D31</f>
        <v>750</v>
      </c>
      <c r="E29" s="24">
        <f t="shared" ref="E29:L29" si="3">E31</f>
        <v>0</v>
      </c>
      <c r="F29" s="24">
        <f t="shared" si="3"/>
        <v>750</v>
      </c>
      <c r="G29" s="24">
        <f t="shared" si="3"/>
        <v>12435.42</v>
      </c>
      <c r="H29" s="24">
        <f t="shared" si="3"/>
        <v>2076.6999999999998</v>
      </c>
      <c r="I29" s="24">
        <f t="shared" si="3"/>
        <v>2242.85</v>
      </c>
      <c r="J29" s="24">
        <f t="shared" si="3"/>
        <v>2467.13</v>
      </c>
      <c r="K29" s="24">
        <f t="shared" si="3"/>
        <v>2664.5</v>
      </c>
      <c r="L29" s="24">
        <f t="shared" si="3"/>
        <v>2984.24</v>
      </c>
    </row>
    <row r="30" spans="1:13" ht="15.75">
      <c r="A30" s="64"/>
      <c r="B30" s="20" t="s">
        <v>4</v>
      </c>
      <c r="C30" s="52"/>
      <c r="D30" s="34"/>
      <c r="E30" s="16"/>
      <c r="F30" s="16"/>
      <c r="G30" s="16"/>
      <c r="H30" s="16"/>
      <c r="I30" s="16"/>
      <c r="J30" s="16"/>
      <c r="K30" s="16"/>
      <c r="L30" s="16"/>
    </row>
    <row r="31" spans="1:13" ht="47.25">
      <c r="A31" s="74" t="s">
        <v>72</v>
      </c>
      <c r="B31" s="45" t="s">
        <v>12</v>
      </c>
      <c r="C31" s="50" t="s">
        <v>5</v>
      </c>
      <c r="D31" s="26">
        <v>750</v>
      </c>
      <c r="E31" s="16"/>
      <c r="F31" s="18">
        <v>750</v>
      </c>
      <c r="G31" s="16">
        <f>H31+I31+J31+K31+L31</f>
        <v>12435.42</v>
      </c>
      <c r="H31" s="16">
        <v>2076.6999999999998</v>
      </c>
      <c r="I31" s="16">
        <v>2242.85</v>
      </c>
      <c r="J31" s="16">
        <v>2467.13</v>
      </c>
      <c r="K31" s="16">
        <v>2664.5</v>
      </c>
      <c r="L31" s="16">
        <v>2984.24</v>
      </c>
    </row>
    <row r="32" spans="1:13" ht="15.75">
      <c r="A32" s="70" t="s">
        <v>73</v>
      </c>
      <c r="B32" s="57" t="s">
        <v>153</v>
      </c>
      <c r="C32" s="33" t="s">
        <v>5</v>
      </c>
      <c r="D32" s="36">
        <f>D34+D35+D36+D37+D38+D39+D40+D41+D42+D43+D44+D45+D46</f>
        <v>60</v>
      </c>
      <c r="E32" s="24">
        <f t="shared" ref="E32:L32" si="4">E34+E35+E36+E37+E38+E39+E40+E41+E42+E43+E44+E45+E46</f>
        <v>206.26189000000002</v>
      </c>
      <c r="F32" s="24">
        <f t="shared" si="4"/>
        <v>382.73899999999998</v>
      </c>
      <c r="G32" s="24">
        <f t="shared" si="4"/>
        <v>4020.9136949411727</v>
      </c>
      <c r="H32" s="24">
        <f t="shared" si="4"/>
        <v>713.73072999999999</v>
      </c>
      <c r="I32" s="24">
        <f t="shared" si="4"/>
        <v>763.69188110000005</v>
      </c>
      <c r="J32" s="24">
        <f t="shared" si="4"/>
        <v>809.51339396599997</v>
      </c>
      <c r="K32" s="24">
        <f t="shared" si="4"/>
        <v>849.98906366430015</v>
      </c>
      <c r="L32" s="24">
        <f t="shared" si="4"/>
        <v>883.98862621087221</v>
      </c>
    </row>
    <row r="33" spans="1:12" ht="15.75">
      <c r="A33" s="64"/>
      <c r="B33" s="20" t="s">
        <v>4</v>
      </c>
      <c r="C33" s="52"/>
      <c r="D33" s="34"/>
      <c r="E33" s="16"/>
      <c r="F33" s="16"/>
      <c r="G33" s="16"/>
      <c r="H33" s="16"/>
      <c r="I33" s="16"/>
      <c r="J33" s="16"/>
      <c r="K33" s="16"/>
      <c r="L33" s="16"/>
    </row>
    <row r="34" spans="1:12" ht="47.25">
      <c r="A34" s="74" t="s">
        <v>74</v>
      </c>
      <c r="B34" s="20" t="s">
        <v>14</v>
      </c>
      <c r="C34" s="50" t="s">
        <v>5</v>
      </c>
      <c r="D34" s="26"/>
      <c r="E34" s="18"/>
      <c r="F34" s="18"/>
      <c r="G34" s="18">
        <f>H34+I34+J34+K34+L34</f>
        <v>0</v>
      </c>
      <c r="H34" s="18"/>
      <c r="I34" s="18"/>
      <c r="J34" s="18"/>
      <c r="K34" s="18"/>
      <c r="L34" s="18"/>
    </row>
    <row r="35" spans="1:12" ht="15.75">
      <c r="A35" s="74" t="s">
        <v>75</v>
      </c>
      <c r="B35" s="20" t="s">
        <v>15</v>
      </c>
      <c r="C35" s="50" t="s">
        <v>5</v>
      </c>
      <c r="D35" s="26"/>
      <c r="E35" s="18"/>
      <c r="F35" s="18"/>
      <c r="G35" s="18">
        <f t="shared" ref="G35:G46" si="5">H35+I35+J35+K35+L35</f>
        <v>0</v>
      </c>
      <c r="H35" s="18"/>
      <c r="I35" s="18"/>
      <c r="J35" s="18"/>
      <c r="K35" s="18"/>
      <c r="L35" s="18"/>
    </row>
    <row r="36" spans="1:12" ht="47.25">
      <c r="A36" s="74" t="s">
        <v>76</v>
      </c>
      <c r="B36" s="20" t="s">
        <v>16</v>
      </c>
      <c r="C36" s="50" t="s">
        <v>5</v>
      </c>
      <c r="D36" s="26"/>
      <c r="E36" s="18"/>
      <c r="F36" s="18"/>
      <c r="G36" s="18">
        <f t="shared" si="5"/>
        <v>0</v>
      </c>
      <c r="H36" s="18"/>
      <c r="I36" s="18"/>
      <c r="J36" s="18"/>
      <c r="K36" s="18"/>
      <c r="L36" s="18"/>
    </row>
    <row r="37" spans="1:12" ht="31.5">
      <c r="A37" s="74" t="s">
        <v>77</v>
      </c>
      <c r="B37" s="20" t="s">
        <v>17</v>
      </c>
      <c r="C37" s="50" t="s">
        <v>5</v>
      </c>
      <c r="D37" s="26">
        <v>60</v>
      </c>
      <c r="E37" s="18"/>
      <c r="F37" s="18"/>
      <c r="G37" s="18">
        <f t="shared" si="5"/>
        <v>361.68074088000003</v>
      </c>
      <c r="H37" s="18">
        <f>D37*1.07</f>
        <v>64.2</v>
      </c>
      <c r="I37" s="18">
        <f>H37*1.07</f>
        <v>68.694000000000003</v>
      </c>
      <c r="J37" s="18">
        <f>I37*1.06</f>
        <v>72.815640000000002</v>
      </c>
      <c r="K37" s="18">
        <f>J37*1.05</f>
        <v>76.456422000000003</v>
      </c>
      <c r="L37" s="18">
        <f>K37*1.04</f>
        <v>79.514678880000005</v>
      </c>
    </row>
    <row r="38" spans="1:12" ht="15.75">
      <c r="A38" s="74" t="s">
        <v>78</v>
      </c>
      <c r="B38" s="20" t="s">
        <v>18</v>
      </c>
      <c r="C38" s="50" t="s">
        <v>5</v>
      </c>
      <c r="D38" s="26"/>
      <c r="E38" s="18"/>
      <c r="F38" s="18"/>
      <c r="G38" s="18">
        <f t="shared" si="5"/>
        <v>281.68281999999999</v>
      </c>
      <c r="H38" s="18">
        <v>50</v>
      </c>
      <c r="I38" s="18">
        <f t="shared" ref="I38:I45" si="6">H38*1.07</f>
        <v>53.5</v>
      </c>
      <c r="J38" s="18">
        <f t="shared" ref="J38:J45" si="7">I38*1.06</f>
        <v>56.71</v>
      </c>
      <c r="K38" s="18">
        <f t="shared" ref="K38:K45" si="8">J38*1.05</f>
        <v>59.545500000000004</v>
      </c>
      <c r="L38" s="18">
        <f t="shared" ref="L38:L45" si="9">K38*1.04</f>
        <v>61.927320000000009</v>
      </c>
    </row>
    <row r="39" spans="1:12" ht="15.75">
      <c r="A39" s="74" t="s">
        <v>79</v>
      </c>
      <c r="B39" s="20" t="s">
        <v>19</v>
      </c>
      <c r="C39" s="50" t="s">
        <v>5</v>
      </c>
      <c r="D39" s="26"/>
      <c r="E39" s="18"/>
      <c r="F39" s="18"/>
      <c r="G39" s="18">
        <f t="shared" si="5"/>
        <v>169.00969200000003</v>
      </c>
      <c r="H39" s="18">
        <v>30</v>
      </c>
      <c r="I39" s="18">
        <f t="shared" si="6"/>
        <v>32.1</v>
      </c>
      <c r="J39" s="18">
        <f t="shared" si="7"/>
        <v>34.026000000000003</v>
      </c>
      <c r="K39" s="18">
        <f t="shared" si="8"/>
        <v>35.727300000000007</v>
      </c>
      <c r="L39" s="18">
        <f t="shared" si="9"/>
        <v>37.156392000000011</v>
      </c>
    </row>
    <row r="40" spans="1:12" ht="31.5">
      <c r="A40" s="74" t="s">
        <v>80</v>
      </c>
      <c r="B40" s="45" t="s">
        <v>125</v>
      </c>
      <c r="C40" s="50" t="s">
        <v>5</v>
      </c>
      <c r="D40" s="26"/>
      <c r="E40" s="18"/>
      <c r="F40" s="18"/>
      <c r="G40" s="18">
        <f t="shared" si="5"/>
        <v>281.68281999999999</v>
      </c>
      <c r="H40" s="18">
        <v>50</v>
      </c>
      <c r="I40" s="18">
        <f t="shared" si="6"/>
        <v>53.5</v>
      </c>
      <c r="J40" s="18">
        <f t="shared" si="7"/>
        <v>56.71</v>
      </c>
      <c r="K40" s="18">
        <f t="shared" si="8"/>
        <v>59.545500000000004</v>
      </c>
      <c r="L40" s="18">
        <f t="shared" si="9"/>
        <v>61.927320000000009</v>
      </c>
    </row>
    <row r="41" spans="1:12" ht="15.75">
      <c r="A41" s="74" t="s">
        <v>123</v>
      </c>
      <c r="B41" s="20" t="s">
        <v>126</v>
      </c>
      <c r="C41" s="50" t="s">
        <v>5</v>
      </c>
      <c r="D41" s="26"/>
      <c r="E41" s="18"/>
      <c r="F41" s="18"/>
      <c r="G41" s="18">
        <f t="shared" si="5"/>
        <v>0</v>
      </c>
      <c r="H41" s="18"/>
      <c r="I41" s="18">
        <f t="shared" si="6"/>
        <v>0</v>
      </c>
      <c r="J41" s="18">
        <f t="shared" si="7"/>
        <v>0</v>
      </c>
      <c r="K41" s="18">
        <f t="shared" si="8"/>
        <v>0</v>
      </c>
      <c r="L41" s="18">
        <f t="shared" si="9"/>
        <v>0</v>
      </c>
    </row>
    <row r="42" spans="1:12" ht="15.75">
      <c r="A42" s="74" t="s">
        <v>124</v>
      </c>
      <c r="B42" s="20" t="s">
        <v>130</v>
      </c>
      <c r="C42" s="50" t="s">
        <v>5</v>
      </c>
      <c r="D42" s="26"/>
      <c r="E42" s="18"/>
      <c r="F42" s="18"/>
      <c r="G42" s="18">
        <f t="shared" si="5"/>
        <v>338.01938400000006</v>
      </c>
      <c r="H42" s="18">
        <v>60</v>
      </c>
      <c r="I42" s="18">
        <f t="shared" si="6"/>
        <v>64.2</v>
      </c>
      <c r="J42" s="18">
        <f t="shared" si="7"/>
        <v>68.052000000000007</v>
      </c>
      <c r="K42" s="18">
        <f t="shared" si="8"/>
        <v>71.454600000000013</v>
      </c>
      <c r="L42" s="18">
        <f t="shared" si="9"/>
        <v>74.312784000000022</v>
      </c>
    </row>
    <row r="43" spans="1:12" ht="15.75">
      <c r="A43" s="74" t="s">
        <v>127</v>
      </c>
      <c r="B43" s="20" t="s">
        <v>131</v>
      </c>
      <c r="C43" s="50" t="s">
        <v>5</v>
      </c>
      <c r="D43" s="26"/>
      <c r="E43" s="18"/>
      <c r="F43" s="18"/>
      <c r="G43" s="18">
        <f t="shared" si="5"/>
        <v>281.68281999999999</v>
      </c>
      <c r="H43" s="18">
        <v>50</v>
      </c>
      <c r="I43" s="18">
        <f t="shared" si="6"/>
        <v>53.5</v>
      </c>
      <c r="J43" s="18">
        <f t="shared" si="7"/>
        <v>56.71</v>
      </c>
      <c r="K43" s="18">
        <f t="shared" si="8"/>
        <v>59.545500000000004</v>
      </c>
      <c r="L43" s="18">
        <f t="shared" si="9"/>
        <v>61.927320000000009</v>
      </c>
    </row>
    <row r="44" spans="1:12" ht="15.75">
      <c r="A44" s="74" t="s">
        <v>128</v>
      </c>
      <c r="B44" s="20" t="s">
        <v>30</v>
      </c>
      <c r="C44" s="50" t="s">
        <v>5</v>
      </c>
      <c r="D44" s="26"/>
      <c r="E44" s="18"/>
      <c r="F44" s="18"/>
      <c r="G44" s="18">
        <f t="shared" si="5"/>
        <v>0</v>
      </c>
      <c r="H44" s="18"/>
      <c r="I44" s="18">
        <f t="shared" si="6"/>
        <v>0</v>
      </c>
      <c r="J44" s="18">
        <f t="shared" si="7"/>
        <v>0</v>
      </c>
      <c r="K44" s="18">
        <f t="shared" si="8"/>
        <v>0</v>
      </c>
      <c r="L44" s="18">
        <f t="shared" si="9"/>
        <v>0</v>
      </c>
    </row>
    <row r="45" spans="1:12" ht="15.75">
      <c r="A45" s="74" t="s">
        <v>129</v>
      </c>
      <c r="B45" s="20" t="s">
        <v>33</v>
      </c>
      <c r="C45" s="50"/>
      <c r="D45" s="26"/>
      <c r="E45" s="18">
        <f>[4]TDSheet!$H$49/1000</f>
        <v>206.26189000000002</v>
      </c>
      <c r="F45" s="18">
        <f>[5]TDSheet!$I$58/1000</f>
        <v>382.73899999999998</v>
      </c>
      <c r="G45" s="18">
        <f t="shared" si="5"/>
        <v>2307.1554180611724</v>
      </c>
      <c r="H45" s="18">
        <f>F45*1.07</f>
        <v>409.53073000000001</v>
      </c>
      <c r="I45" s="18">
        <f t="shared" si="6"/>
        <v>438.19788110000002</v>
      </c>
      <c r="J45" s="18">
        <f t="shared" si="7"/>
        <v>464.48975396600002</v>
      </c>
      <c r="K45" s="18">
        <f t="shared" si="8"/>
        <v>487.71424166430006</v>
      </c>
      <c r="L45" s="18">
        <f t="shared" si="9"/>
        <v>507.2228113308721</v>
      </c>
    </row>
    <row r="46" spans="1:12" ht="31.5">
      <c r="A46" s="74" t="s">
        <v>136</v>
      </c>
      <c r="B46" s="20" t="s">
        <v>20</v>
      </c>
      <c r="C46" s="50" t="s">
        <v>5</v>
      </c>
      <c r="D46" s="26"/>
      <c r="E46" s="18"/>
      <c r="F46" s="18"/>
      <c r="G46" s="18">
        <f t="shared" si="5"/>
        <v>0</v>
      </c>
      <c r="H46" s="18"/>
      <c r="I46" s="18"/>
      <c r="J46" s="18"/>
      <c r="K46" s="18"/>
      <c r="L46" s="18"/>
    </row>
    <row r="47" spans="1:12" ht="15.75">
      <c r="A47" s="70" t="s">
        <v>21</v>
      </c>
      <c r="B47" s="57" t="s">
        <v>22</v>
      </c>
      <c r="C47" s="33" t="s">
        <v>5</v>
      </c>
      <c r="D47" s="36">
        <f t="shared" ref="D47:L47" si="10">D48+D80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4">
        <f t="shared" si="10"/>
        <v>0</v>
      </c>
      <c r="I47" s="24">
        <f t="shared" si="10"/>
        <v>0</v>
      </c>
      <c r="J47" s="24">
        <f t="shared" si="10"/>
        <v>0</v>
      </c>
      <c r="K47" s="24">
        <f t="shared" si="10"/>
        <v>0</v>
      </c>
      <c r="L47" s="24">
        <f t="shared" si="10"/>
        <v>0</v>
      </c>
    </row>
    <row r="48" spans="1:12" ht="15.75">
      <c r="A48" s="70" t="s">
        <v>81</v>
      </c>
      <c r="B48" s="57" t="s">
        <v>23</v>
      </c>
      <c r="C48" s="33" t="s">
        <v>5</v>
      </c>
      <c r="D48" s="36">
        <f>D50+D51+D52+D53+D54</f>
        <v>0</v>
      </c>
      <c r="E48" s="24">
        <f t="shared" ref="E48:L48" si="11">E50+E51+E52+E53+E54</f>
        <v>0</v>
      </c>
      <c r="F48" s="24">
        <f t="shared" si="11"/>
        <v>0</v>
      </c>
      <c r="G48" s="24">
        <f t="shared" si="11"/>
        <v>0</v>
      </c>
      <c r="H48" s="24">
        <f t="shared" si="11"/>
        <v>0</v>
      </c>
      <c r="I48" s="24">
        <f t="shared" si="11"/>
        <v>0</v>
      </c>
      <c r="J48" s="24">
        <f t="shared" si="11"/>
        <v>0</v>
      </c>
      <c r="K48" s="24">
        <f t="shared" si="11"/>
        <v>0</v>
      </c>
      <c r="L48" s="24">
        <f t="shared" si="11"/>
        <v>0</v>
      </c>
    </row>
    <row r="49" spans="1:12" ht="15.75">
      <c r="A49" s="64"/>
      <c r="B49" s="20" t="s">
        <v>4</v>
      </c>
      <c r="C49" s="52"/>
      <c r="D49" s="34"/>
      <c r="E49" s="16"/>
      <c r="F49" s="16"/>
      <c r="G49" s="16"/>
      <c r="H49" s="16"/>
      <c r="I49" s="16"/>
      <c r="J49" s="16"/>
      <c r="K49" s="16"/>
      <c r="L49" s="16"/>
    </row>
    <row r="50" spans="1:12" ht="31.5">
      <c r="A50" s="74" t="s">
        <v>82</v>
      </c>
      <c r="B50" s="20" t="s">
        <v>24</v>
      </c>
      <c r="C50" s="50" t="s">
        <v>5</v>
      </c>
      <c r="D50" s="34"/>
      <c r="E50" s="16"/>
      <c r="F50" s="16"/>
      <c r="G50" s="16">
        <f>H50+I50+J50+K50+L50</f>
        <v>0</v>
      </c>
      <c r="H50" s="16"/>
      <c r="I50" s="16"/>
      <c r="J50" s="16"/>
      <c r="K50" s="16"/>
      <c r="L50" s="16"/>
    </row>
    <row r="51" spans="1:12" ht="15.75">
      <c r="A51" s="74" t="s">
        <v>83</v>
      </c>
      <c r="B51" s="20" t="s">
        <v>9</v>
      </c>
      <c r="C51" s="50" t="s">
        <v>5</v>
      </c>
      <c r="D51" s="34"/>
      <c r="E51" s="16"/>
      <c r="F51" s="16"/>
      <c r="G51" s="16">
        <f>H51+I51+J51+K51+L51</f>
        <v>0</v>
      </c>
      <c r="H51" s="16"/>
      <c r="I51" s="16"/>
      <c r="J51" s="16"/>
      <c r="K51" s="16"/>
      <c r="L51" s="16"/>
    </row>
    <row r="52" spans="1:12" ht="15.75">
      <c r="A52" s="74" t="s">
        <v>134</v>
      </c>
      <c r="B52" s="20" t="s">
        <v>122</v>
      </c>
      <c r="C52" s="50"/>
      <c r="D52" s="34"/>
      <c r="E52" s="16"/>
      <c r="F52" s="16"/>
      <c r="G52" s="16">
        <f>H52+I52+J52+K52+L52</f>
        <v>0</v>
      </c>
      <c r="H52" s="16"/>
      <c r="I52" s="16"/>
      <c r="J52" s="16"/>
      <c r="K52" s="16"/>
      <c r="L52" s="16"/>
    </row>
    <row r="53" spans="1:12" ht="15.75">
      <c r="A53" s="74" t="s">
        <v>84</v>
      </c>
      <c r="B53" s="20" t="s">
        <v>154</v>
      </c>
      <c r="C53" s="52"/>
      <c r="D53" s="26"/>
      <c r="E53" s="18"/>
      <c r="F53" s="18"/>
      <c r="G53" s="16">
        <f>H53+I53+J53+K53+L53</f>
        <v>0</v>
      </c>
      <c r="H53" s="18"/>
      <c r="I53" s="18"/>
      <c r="J53" s="18"/>
      <c r="K53" s="18"/>
      <c r="L53" s="18"/>
    </row>
    <row r="54" spans="1:12" ht="15.75">
      <c r="A54" s="74" t="s">
        <v>85</v>
      </c>
      <c r="B54" s="20" t="s">
        <v>155</v>
      </c>
      <c r="C54" s="52"/>
      <c r="D54" s="26">
        <f>D55+D56+D57+D58+D59+D60+D61+D62+D63+D64+D65+D66+D67+D68+D69+D70+D71+D72+D73+D74+D75+D76+D77+D78+D79</f>
        <v>0</v>
      </c>
      <c r="E54" s="13">
        <f t="shared" ref="E54:L54" si="12">E55+E56+E57+E58+E59+E60+E61+E62+E63+E64+E65+E66+E67+E68+E69+E70+E71+E72+E73+E74+E75+E76+E77</f>
        <v>0</v>
      </c>
      <c r="F54" s="13">
        <f t="shared" si="12"/>
        <v>0</v>
      </c>
      <c r="G54" s="13">
        <f t="shared" si="12"/>
        <v>0</v>
      </c>
      <c r="H54" s="13">
        <f t="shared" si="12"/>
        <v>0</v>
      </c>
      <c r="I54" s="13">
        <f t="shared" si="12"/>
        <v>0</v>
      </c>
      <c r="J54" s="13">
        <f t="shared" si="12"/>
        <v>0</v>
      </c>
      <c r="K54" s="13">
        <f t="shared" si="12"/>
        <v>0</v>
      </c>
      <c r="L54" s="13">
        <f t="shared" si="12"/>
        <v>0</v>
      </c>
    </row>
    <row r="55" spans="1:12" ht="15.75">
      <c r="A55" s="23" t="s">
        <v>165</v>
      </c>
      <c r="B55" s="20" t="s">
        <v>144</v>
      </c>
      <c r="C55" s="50" t="s">
        <v>5</v>
      </c>
      <c r="D55" s="26"/>
      <c r="E55" s="18"/>
      <c r="F55" s="18"/>
      <c r="G55" s="18">
        <f>H55+I55+J55+K55+L55</f>
        <v>0</v>
      </c>
      <c r="H55" s="18"/>
      <c r="I55" s="18"/>
      <c r="J55" s="18"/>
      <c r="K55" s="18"/>
      <c r="L55" s="18"/>
    </row>
    <row r="56" spans="1:12" ht="15.75">
      <c r="A56" s="23" t="s">
        <v>166</v>
      </c>
      <c r="B56" s="20" t="s">
        <v>147</v>
      </c>
      <c r="C56" s="50" t="s">
        <v>5</v>
      </c>
      <c r="D56" s="26"/>
      <c r="E56" s="18"/>
      <c r="F56" s="18"/>
      <c r="G56" s="18">
        <f t="shared" ref="G56:G79" si="13">H56+I56+J56+K56+L56</f>
        <v>0</v>
      </c>
      <c r="H56" s="18"/>
      <c r="I56" s="18"/>
      <c r="J56" s="18"/>
      <c r="K56" s="18"/>
      <c r="L56" s="18"/>
    </row>
    <row r="57" spans="1:12" ht="15.75">
      <c r="A57" s="23" t="s">
        <v>167</v>
      </c>
      <c r="B57" s="20" t="s">
        <v>184</v>
      </c>
      <c r="C57" s="50" t="s">
        <v>5</v>
      </c>
      <c r="D57" s="26"/>
      <c r="E57" s="18"/>
      <c r="F57" s="18"/>
      <c r="G57" s="18">
        <f t="shared" si="13"/>
        <v>0</v>
      </c>
      <c r="H57" s="18"/>
      <c r="I57" s="18"/>
      <c r="J57" s="18"/>
      <c r="K57" s="18"/>
      <c r="L57" s="18"/>
    </row>
    <row r="58" spans="1:12" ht="15.75">
      <c r="A58" s="23" t="s">
        <v>168</v>
      </c>
      <c r="B58" s="20" t="s">
        <v>185</v>
      </c>
      <c r="C58" s="50" t="s">
        <v>5</v>
      </c>
      <c r="D58" s="26"/>
      <c r="E58" s="18"/>
      <c r="F58" s="18"/>
      <c r="G58" s="18">
        <f t="shared" si="13"/>
        <v>0</v>
      </c>
      <c r="H58" s="18"/>
      <c r="I58" s="18"/>
      <c r="J58" s="18"/>
      <c r="K58" s="18"/>
      <c r="L58" s="18"/>
    </row>
    <row r="59" spans="1:12" ht="15.75">
      <c r="A59" s="23" t="s">
        <v>169</v>
      </c>
      <c r="B59" s="20" t="s">
        <v>186</v>
      </c>
      <c r="C59" s="50" t="s">
        <v>5</v>
      </c>
      <c r="D59" s="26"/>
      <c r="E59" s="18"/>
      <c r="F59" s="18"/>
      <c r="G59" s="18">
        <f t="shared" si="13"/>
        <v>0</v>
      </c>
      <c r="H59" s="18"/>
      <c r="I59" s="18"/>
      <c r="J59" s="18"/>
      <c r="K59" s="18"/>
      <c r="L59" s="18"/>
    </row>
    <row r="60" spans="1:12" ht="15.75">
      <c r="A60" s="23" t="s">
        <v>170</v>
      </c>
      <c r="B60" s="20" t="s">
        <v>25</v>
      </c>
      <c r="C60" s="50" t="s">
        <v>5</v>
      </c>
      <c r="D60" s="26"/>
      <c r="E60" s="18"/>
      <c r="F60" s="18"/>
      <c r="G60" s="18">
        <f t="shared" si="13"/>
        <v>0</v>
      </c>
      <c r="H60" s="18"/>
      <c r="I60" s="18"/>
      <c r="J60" s="18"/>
      <c r="K60" s="18"/>
      <c r="L60" s="18"/>
    </row>
    <row r="61" spans="1:12" ht="15.75">
      <c r="A61" s="23" t="s">
        <v>171</v>
      </c>
      <c r="B61" s="20" t="s">
        <v>19</v>
      </c>
      <c r="C61" s="50" t="s">
        <v>5</v>
      </c>
      <c r="D61" s="26"/>
      <c r="E61" s="18"/>
      <c r="F61" s="18"/>
      <c r="G61" s="18">
        <f t="shared" si="13"/>
        <v>0</v>
      </c>
      <c r="H61" s="18"/>
      <c r="I61" s="18"/>
      <c r="J61" s="18"/>
      <c r="K61" s="18"/>
      <c r="L61" s="18"/>
    </row>
    <row r="62" spans="1:12" ht="15.75">
      <c r="A62" s="23" t="s">
        <v>172</v>
      </c>
      <c r="B62" s="20" t="s">
        <v>26</v>
      </c>
      <c r="C62" s="50" t="s">
        <v>5</v>
      </c>
      <c r="D62" s="26"/>
      <c r="E62" s="18"/>
      <c r="F62" s="18"/>
      <c r="G62" s="18">
        <f t="shared" si="13"/>
        <v>0</v>
      </c>
      <c r="H62" s="18"/>
      <c r="I62" s="18"/>
      <c r="J62" s="18"/>
      <c r="K62" s="18"/>
      <c r="L62" s="18"/>
    </row>
    <row r="63" spans="1:12" ht="47.25">
      <c r="A63" s="23" t="s">
        <v>173</v>
      </c>
      <c r="B63" s="20" t="s">
        <v>27</v>
      </c>
      <c r="C63" s="50" t="s">
        <v>5</v>
      </c>
      <c r="D63" s="26"/>
      <c r="E63" s="18"/>
      <c r="F63" s="18"/>
      <c r="G63" s="18">
        <f t="shared" si="13"/>
        <v>0</v>
      </c>
      <c r="H63" s="18"/>
      <c r="I63" s="18"/>
      <c r="J63" s="18"/>
      <c r="K63" s="18"/>
      <c r="L63" s="18"/>
    </row>
    <row r="64" spans="1:12" ht="15.75">
      <c r="A64" s="23" t="s">
        <v>174</v>
      </c>
      <c r="B64" s="20" t="s">
        <v>28</v>
      </c>
      <c r="C64" s="50" t="s">
        <v>5</v>
      </c>
      <c r="D64" s="26"/>
      <c r="E64" s="18"/>
      <c r="F64" s="18"/>
      <c r="G64" s="18">
        <f t="shared" si="13"/>
        <v>0</v>
      </c>
      <c r="H64" s="18"/>
      <c r="I64" s="18"/>
      <c r="J64" s="18"/>
      <c r="K64" s="18"/>
      <c r="L64" s="18"/>
    </row>
    <row r="65" spans="1:12" ht="15.75">
      <c r="A65" s="23" t="s">
        <v>175</v>
      </c>
      <c r="B65" s="20" t="s">
        <v>29</v>
      </c>
      <c r="C65" s="50" t="s">
        <v>5</v>
      </c>
      <c r="D65" s="26"/>
      <c r="E65" s="18"/>
      <c r="F65" s="18"/>
      <c r="G65" s="18">
        <f t="shared" si="13"/>
        <v>0</v>
      </c>
      <c r="H65" s="18"/>
      <c r="I65" s="18"/>
      <c r="J65" s="18"/>
      <c r="K65" s="18"/>
      <c r="L65" s="18"/>
    </row>
    <row r="66" spans="1:12" ht="15.75">
      <c r="A66" s="23" t="s">
        <v>176</v>
      </c>
      <c r="B66" s="20" t="s">
        <v>30</v>
      </c>
      <c r="C66" s="50" t="s">
        <v>5</v>
      </c>
      <c r="D66" s="26"/>
      <c r="E66" s="18"/>
      <c r="F66" s="18"/>
      <c r="G66" s="18">
        <f t="shared" si="13"/>
        <v>0</v>
      </c>
      <c r="H66" s="18"/>
      <c r="I66" s="18"/>
      <c r="J66" s="18"/>
      <c r="K66" s="18"/>
      <c r="L66" s="18"/>
    </row>
    <row r="67" spans="1:12" ht="31.5">
      <c r="A67" s="23" t="s">
        <v>177</v>
      </c>
      <c r="B67" s="20" t="s">
        <v>31</v>
      </c>
      <c r="C67" s="50" t="s">
        <v>5</v>
      </c>
      <c r="D67" s="26"/>
      <c r="E67" s="18"/>
      <c r="F67" s="18"/>
      <c r="G67" s="18">
        <f t="shared" si="13"/>
        <v>0</v>
      </c>
      <c r="H67" s="18"/>
      <c r="I67" s="18"/>
      <c r="J67" s="18"/>
      <c r="K67" s="18"/>
      <c r="L67" s="18"/>
    </row>
    <row r="68" spans="1:12" ht="15.75">
      <c r="A68" s="23" t="s">
        <v>178</v>
      </c>
      <c r="B68" s="20" t="s">
        <v>18</v>
      </c>
      <c r="C68" s="50" t="s">
        <v>5</v>
      </c>
      <c r="D68" s="26"/>
      <c r="E68" s="18"/>
      <c r="F68" s="18"/>
      <c r="G68" s="18">
        <f t="shared" si="13"/>
        <v>0</v>
      </c>
      <c r="H68" s="18"/>
      <c r="I68" s="18"/>
      <c r="J68" s="18"/>
      <c r="K68" s="18"/>
      <c r="L68" s="18"/>
    </row>
    <row r="69" spans="1:12" ht="31.5">
      <c r="A69" s="23" t="s">
        <v>179</v>
      </c>
      <c r="B69" s="20" t="s">
        <v>32</v>
      </c>
      <c r="C69" s="50" t="s">
        <v>5</v>
      </c>
      <c r="D69" s="26"/>
      <c r="E69" s="18"/>
      <c r="F69" s="18"/>
      <c r="G69" s="18">
        <f t="shared" si="13"/>
        <v>0</v>
      </c>
      <c r="H69" s="18"/>
      <c r="I69" s="18"/>
      <c r="J69" s="18"/>
      <c r="K69" s="18"/>
      <c r="L69" s="18"/>
    </row>
    <row r="70" spans="1:12" ht="15.75">
      <c r="A70" s="23" t="s">
        <v>180</v>
      </c>
      <c r="B70" s="20" t="s">
        <v>33</v>
      </c>
      <c r="C70" s="50" t="s">
        <v>5</v>
      </c>
      <c r="D70" s="26"/>
      <c r="E70" s="18"/>
      <c r="F70" s="18"/>
      <c r="G70" s="18">
        <f t="shared" si="13"/>
        <v>0</v>
      </c>
      <c r="H70" s="18"/>
      <c r="I70" s="18"/>
      <c r="J70" s="18"/>
      <c r="K70" s="18"/>
      <c r="L70" s="18"/>
    </row>
    <row r="71" spans="1:12" ht="31.5">
      <c r="A71" s="23" t="s">
        <v>181</v>
      </c>
      <c r="B71" s="20" t="s">
        <v>34</v>
      </c>
      <c r="C71" s="50" t="s">
        <v>5</v>
      </c>
      <c r="D71" s="26"/>
      <c r="E71" s="18"/>
      <c r="F71" s="18"/>
      <c r="G71" s="18">
        <f t="shared" si="13"/>
        <v>0</v>
      </c>
      <c r="H71" s="18"/>
      <c r="I71" s="18"/>
      <c r="J71" s="18"/>
      <c r="K71" s="18"/>
      <c r="L71" s="18"/>
    </row>
    <row r="72" spans="1:12" ht="15.75">
      <c r="A72" s="23" t="s">
        <v>182</v>
      </c>
      <c r="B72" s="20" t="s">
        <v>35</v>
      </c>
      <c r="C72" s="50" t="s">
        <v>5</v>
      </c>
      <c r="D72" s="26"/>
      <c r="E72" s="18"/>
      <c r="F72" s="18"/>
      <c r="G72" s="18">
        <f t="shared" si="13"/>
        <v>0</v>
      </c>
      <c r="H72" s="18"/>
      <c r="I72" s="18"/>
      <c r="J72" s="18"/>
      <c r="K72" s="18"/>
      <c r="L72" s="18"/>
    </row>
    <row r="73" spans="1:12" ht="15.75">
      <c r="A73" s="23" t="s">
        <v>183</v>
      </c>
      <c r="B73" s="20" t="s">
        <v>132</v>
      </c>
      <c r="C73" s="50" t="s">
        <v>5</v>
      </c>
      <c r="D73" s="26"/>
      <c r="E73" s="18"/>
      <c r="F73" s="18"/>
      <c r="G73" s="18">
        <f t="shared" si="13"/>
        <v>0</v>
      </c>
      <c r="H73" s="18"/>
      <c r="I73" s="18"/>
      <c r="J73" s="18"/>
      <c r="K73" s="18"/>
      <c r="L73" s="18"/>
    </row>
    <row r="74" spans="1:12" ht="15.75">
      <c r="A74" s="23" t="s">
        <v>187</v>
      </c>
      <c r="B74" s="20" t="s">
        <v>130</v>
      </c>
      <c r="C74" s="50"/>
      <c r="D74" s="26"/>
      <c r="E74" s="18"/>
      <c r="F74" s="18"/>
      <c r="G74" s="18">
        <f t="shared" si="13"/>
        <v>0</v>
      </c>
      <c r="H74" s="18"/>
      <c r="I74" s="18"/>
      <c r="J74" s="18"/>
      <c r="K74" s="18"/>
      <c r="L74" s="18"/>
    </row>
    <row r="75" spans="1:12" ht="15.75">
      <c r="A75" s="23" t="s">
        <v>188</v>
      </c>
      <c r="B75" s="20" t="s">
        <v>133</v>
      </c>
      <c r="C75" s="50"/>
      <c r="D75" s="26"/>
      <c r="E75" s="18"/>
      <c r="F75" s="18"/>
      <c r="G75" s="18">
        <f t="shared" si="13"/>
        <v>0</v>
      </c>
      <c r="H75" s="18"/>
      <c r="I75" s="18"/>
      <c r="J75" s="18"/>
      <c r="K75" s="18"/>
      <c r="L75" s="18"/>
    </row>
    <row r="76" spans="1:12" ht="15.75">
      <c r="A76" s="23" t="s">
        <v>189</v>
      </c>
      <c r="B76" s="20" t="s">
        <v>194</v>
      </c>
      <c r="C76" s="50"/>
      <c r="D76" s="26"/>
      <c r="E76" s="18"/>
      <c r="F76" s="18"/>
      <c r="G76" s="18">
        <f t="shared" si="13"/>
        <v>0</v>
      </c>
      <c r="H76" s="18"/>
      <c r="I76" s="18"/>
      <c r="J76" s="18"/>
      <c r="K76" s="18"/>
      <c r="L76" s="18"/>
    </row>
    <row r="77" spans="1:12" ht="15.75">
      <c r="A77" s="23" t="s">
        <v>190</v>
      </c>
      <c r="B77" s="20" t="s">
        <v>138</v>
      </c>
      <c r="C77" s="50"/>
      <c r="D77" s="26"/>
      <c r="E77" s="18"/>
      <c r="F77" s="18"/>
      <c r="G77" s="18">
        <f t="shared" si="13"/>
        <v>0</v>
      </c>
      <c r="H77" s="18"/>
      <c r="I77" s="18"/>
      <c r="J77" s="18"/>
      <c r="K77" s="18"/>
      <c r="L77" s="18"/>
    </row>
    <row r="78" spans="1:12" ht="15.75">
      <c r="A78" s="23" t="s">
        <v>192</v>
      </c>
      <c r="B78" s="20" t="s">
        <v>139</v>
      </c>
      <c r="C78" s="50"/>
      <c r="D78" s="26"/>
      <c r="E78" s="18"/>
      <c r="F78" s="18"/>
      <c r="G78" s="18">
        <f t="shared" si="13"/>
        <v>0</v>
      </c>
      <c r="H78" s="18"/>
      <c r="I78" s="18"/>
      <c r="J78" s="18"/>
      <c r="K78" s="18"/>
      <c r="L78" s="18"/>
    </row>
    <row r="79" spans="1:12" ht="31.5">
      <c r="A79" s="23" t="s">
        <v>193</v>
      </c>
      <c r="B79" s="20" t="s">
        <v>36</v>
      </c>
      <c r="C79" s="50"/>
      <c r="D79" s="26"/>
      <c r="E79" s="18"/>
      <c r="F79" s="18"/>
      <c r="G79" s="18">
        <f t="shared" si="13"/>
        <v>0</v>
      </c>
      <c r="H79" s="18"/>
      <c r="I79" s="18"/>
      <c r="J79" s="18"/>
      <c r="K79" s="18"/>
      <c r="L79" s="18"/>
    </row>
    <row r="80" spans="1:12" ht="15.75">
      <c r="A80" s="70" t="s">
        <v>86</v>
      </c>
      <c r="B80" s="57" t="s">
        <v>37</v>
      </c>
      <c r="C80" s="33" t="s">
        <v>5</v>
      </c>
      <c r="D80" s="36"/>
      <c r="E80" s="92"/>
      <c r="F80" s="92"/>
      <c r="G80" s="92">
        <f>H80+I80+J80+K80+L80</f>
        <v>0</v>
      </c>
      <c r="H80" s="92"/>
      <c r="I80" s="92"/>
      <c r="J80" s="92"/>
      <c r="K80" s="92"/>
      <c r="L80" s="92"/>
    </row>
    <row r="81" spans="1:12" ht="15.75">
      <c r="A81" s="70" t="s">
        <v>38</v>
      </c>
      <c r="B81" s="57" t="s">
        <v>156</v>
      </c>
      <c r="C81" s="33" t="s">
        <v>5</v>
      </c>
      <c r="D81" s="36">
        <f>D47+D14</f>
        <v>10752.740000000002</v>
      </c>
      <c r="E81" s="24">
        <f>E47+E14</f>
        <v>17634.624410000004</v>
      </c>
      <c r="F81" s="24">
        <f>F47+F14</f>
        <v>10683.42174</v>
      </c>
      <c r="G81" s="24">
        <f>G47+G14</f>
        <v>82888.547631366528</v>
      </c>
      <c r="H81" s="24">
        <f>(H47+H14)+(H47+H14)*H87%</f>
        <v>14994.577592465699</v>
      </c>
      <c r="I81" s="24">
        <f>(I47+I14)+(I47+I14)*I87%</f>
        <v>15854.357141844088</v>
      </c>
      <c r="J81" s="24">
        <f>(J47+J14)+(J47+J14)*J87%</f>
        <v>16713.145917254456</v>
      </c>
      <c r="K81" s="24">
        <f>(K47+K14)+(K47+K14)*K87%</f>
        <v>17468.686586273961</v>
      </c>
      <c r="L81" s="24">
        <f>(L47+L14)+(L47+L14)*L87%</f>
        <v>18272.223131685154</v>
      </c>
    </row>
    <row r="82" spans="1:12" ht="15.75">
      <c r="A82" s="70" t="s">
        <v>40</v>
      </c>
      <c r="B82" s="57" t="s">
        <v>197</v>
      </c>
      <c r="C82" s="33" t="s">
        <v>5</v>
      </c>
      <c r="D82" s="63">
        <v>0</v>
      </c>
      <c r="E82" s="35"/>
      <c r="F82" s="35"/>
      <c r="G82" s="35"/>
      <c r="H82" s="16">
        <v>2744</v>
      </c>
      <c r="I82" s="16">
        <v>2800</v>
      </c>
      <c r="J82" s="16">
        <v>2850</v>
      </c>
      <c r="K82" s="16">
        <v>2953</v>
      </c>
      <c r="L82" s="16">
        <v>2992</v>
      </c>
    </row>
    <row r="83" spans="1:12" ht="15.75">
      <c r="A83" s="70" t="s">
        <v>41</v>
      </c>
      <c r="B83" s="71" t="s">
        <v>198</v>
      </c>
      <c r="C83" s="33" t="s">
        <v>5</v>
      </c>
      <c r="D83" s="26"/>
      <c r="E83" s="29"/>
      <c r="F83" s="29"/>
      <c r="G83" s="29"/>
      <c r="H83" s="76">
        <v>49897</v>
      </c>
      <c r="I83" s="76">
        <v>50908</v>
      </c>
      <c r="J83" s="76">
        <v>51812</v>
      </c>
      <c r="K83" s="76">
        <v>53696</v>
      </c>
      <c r="L83" s="76">
        <v>54396</v>
      </c>
    </row>
    <row r="84" spans="1:12" ht="15.75">
      <c r="A84" s="70" t="s">
        <v>43</v>
      </c>
      <c r="B84" s="71" t="s">
        <v>42</v>
      </c>
      <c r="C84" s="33"/>
      <c r="D84" s="26">
        <f>D81</f>
        <v>10752.740000000002</v>
      </c>
      <c r="E84" s="29"/>
      <c r="F84" s="29"/>
      <c r="G84" s="29"/>
      <c r="H84" s="32">
        <f>H81+H82</f>
        <v>17738.577592465699</v>
      </c>
      <c r="I84" s="32">
        <f>I81+I82</f>
        <v>18654.357141844088</v>
      </c>
      <c r="J84" s="32">
        <f>J81+J82</f>
        <v>19563.145917254456</v>
      </c>
      <c r="K84" s="32">
        <f>K81+K82</f>
        <v>20421.686586273961</v>
      </c>
      <c r="L84" s="32">
        <f>L81+L82</f>
        <v>21264.223131685154</v>
      </c>
    </row>
    <row r="85" spans="1:12" ht="18.75">
      <c r="A85" s="386" t="s">
        <v>45</v>
      </c>
      <c r="B85" s="387" t="s">
        <v>44</v>
      </c>
      <c r="C85" s="33" t="s">
        <v>100</v>
      </c>
      <c r="D85" s="63">
        <v>21.5</v>
      </c>
      <c r="E85" s="93">
        <v>6.2</v>
      </c>
      <c r="F85" s="94">
        <f>'[6]сентябрь '!$D$25/1000+[7]октябрь!$E$25+[7]ноябрь!$E$25+[7]декабрь!$E$25</f>
        <v>7.7458350000000005</v>
      </c>
      <c r="G85" s="35">
        <f>H85+I85+J85+K85+L85</f>
        <v>51.84</v>
      </c>
      <c r="H85" s="35">
        <v>9.3800000000000008</v>
      </c>
      <c r="I85" s="35">
        <v>9.85</v>
      </c>
      <c r="J85" s="35">
        <v>10.34</v>
      </c>
      <c r="K85" s="35">
        <v>10.86</v>
      </c>
      <c r="L85" s="35">
        <v>11.41</v>
      </c>
    </row>
    <row r="86" spans="1:12" ht="31.5">
      <c r="A86" s="386"/>
      <c r="B86" s="387"/>
      <c r="C86" s="33" t="s">
        <v>2</v>
      </c>
      <c r="D86" s="26">
        <f>D84</f>
        <v>10752.740000000002</v>
      </c>
      <c r="E86" s="18">
        <f>E85*D89</f>
        <v>3484.5239999999999</v>
      </c>
      <c r="F86" s="18">
        <f>F85*D89</f>
        <v>4353.3141867000004</v>
      </c>
      <c r="G86" s="16"/>
      <c r="H86" s="16">
        <f ca="1">H85*H89</f>
        <v>0</v>
      </c>
      <c r="I86" s="16">
        <f>I85*I89</f>
        <v>18654.357141844088</v>
      </c>
      <c r="J86" s="16">
        <f>J85*J89</f>
        <v>19563.145917254456</v>
      </c>
      <c r="K86" s="16">
        <f>K85*K89</f>
        <v>20421.686586273961</v>
      </c>
      <c r="L86" s="16">
        <f>L85*L89</f>
        <v>21264.223131685154</v>
      </c>
    </row>
    <row r="87" spans="1:12" ht="15.75">
      <c r="A87" s="386" t="s">
        <v>47</v>
      </c>
      <c r="B87" s="388" t="s">
        <v>191</v>
      </c>
      <c r="C87" s="33" t="s">
        <v>46</v>
      </c>
      <c r="D87" s="37">
        <v>0.4</v>
      </c>
      <c r="E87" s="95">
        <v>0.4</v>
      </c>
      <c r="F87" s="95">
        <v>0.4</v>
      </c>
      <c r="G87" s="16"/>
      <c r="H87" s="18">
        <v>0.5</v>
      </c>
      <c r="I87" s="18">
        <v>0.5</v>
      </c>
      <c r="J87" s="18">
        <v>0.5</v>
      </c>
      <c r="K87" s="18">
        <v>0.5</v>
      </c>
      <c r="L87" s="18">
        <v>0.5</v>
      </c>
    </row>
    <row r="88" spans="1:12" ht="18.75">
      <c r="A88" s="386"/>
      <c r="B88" s="388"/>
      <c r="C88" s="33" t="s">
        <v>100</v>
      </c>
      <c r="D88" s="26">
        <f>D85*D87%</f>
        <v>8.6000000000000007E-2</v>
      </c>
      <c r="E88" s="18">
        <f>(E85*1.04)*E87%</f>
        <v>2.5792000000000002E-2</v>
      </c>
      <c r="F88" s="18">
        <f>(F85*1.04)*F87%</f>
        <v>3.2222673600000001E-2</v>
      </c>
      <c r="G88" s="16"/>
      <c r="H88" s="18">
        <f>H85*H87%</f>
        <v>4.6900000000000004E-2</v>
      </c>
      <c r="I88" s="31">
        <f>I85*I87%</f>
        <v>4.9250000000000002E-2</v>
      </c>
      <c r="J88" s="31">
        <f>J85*J87%</f>
        <v>5.1700000000000003E-2</v>
      </c>
      <c r="K88" s="31">
        <f>K85*K87%</f>
        <v>5.4300000000000001E-2</v>
      </c>
      <c r="L88" s="31">
        <f>L85*L87%</f>
        <v>5.7050000000000003E-2</v>
      </c>
    </row>
    <row r="89" spans="1:12" ht="18.75">
      <c r="A89" s="70" t="s">
        <v>157</v>
      </c>
      <c r="B89" s="72" t="s">
        <v>48</v>
      </c>
      <c r="C89" s="33" t="s">
        <v>101</v>
      </c>
      <c r="D89" s="96">
        <v>562.02</v>
      </c>
      <c r="E89" s="96">
        <v>562.02</v>
      </c>
      <c r="F89" s="96">
        <v>562.02</v>
      </c>
      <c r="G89" s="16">
        <f ca="1">(H89+I89+J89+K89+L89)/5</f>
        <v>1505.9856622237494</v>
      </c>
      <c r="H89" s="18">
        <f ca="1">H85/H86</f>
        <v>0</v>
      </c>
      <c r="I89" s="18">
        <f>I84/I85</f>
        <v>1893.8433646542221</v>
      </c>
      <c r="J89" s="18">
        <f>J84/J85</f>
        <v>1891.9870326164851</v>
      </c>
      <c r="K89" s="18">
        <f>K84/K85</f>
        <v>1880.4499619036799</v>
      </c>
      <c r="L89" s="18">
        <f>L84/L85</f>
        <v>1863.6479519443606</v>
      </c>
    </row>
    <row r="90" spans="1:12" ht="15.75">
      <c r="A90" s="64"/>
      <c r="B90" s="20" t="s">
        <v>49</v>
      </c>
      <c r="C90" s="52"/>
      <c r="D90" s="34"/>
      <c r="E90" s="16">
        <v>652.9</v>
      </c>
      <c r="F90" s="16">
        <v>500.13</v>
      </c>
      <c r="G90" s="16"/>
      <c r="H90" s="16"/>
      <c r="I90" s="16"/>
      <c r="J90" s="16"/>
      <c r="K90" s="16"/>
      <c r="L90" s="16"/>
    </row>
    <row r="91" spans="1:12" ht="31.5">
      <c r="A91" s="74" t="s">
        <v>87</v>
      </c>
      <c r="B91" s="20" t="s">
        <v>158</v>
      </c>
      <c r="C91" s="50" t="s">
        <v>51</v>
      </c>
      <c r="D91" s="34"/>
      <c r="E91" s="16"/>
      <c r="F91" s="16"/>
      <c r="G91" s="16"/>
      <c r="H91" s="16"/>
      <c r="I91" s="16"/>
      <c r="J91" s="16"/>
      <c r="K91" s="16"/>
      <c r="L91" s="16"/>
    </row>
    <row r="92" spans="1:12" ht="15.75">
      <c r="A92" s="64"/>
      <c r="B92" s="20" t="s">
        <v>4</v>
      </c>
      <c r="C92" s="52"/>
      <c r="D92" s="34"/>
      <c r="E92" s="16"/>
      <c r="F92" s="16"/>
      <c r="G92" s="16"/>
      <c r="H92" s="16"/>
      <c r="I92" s="16"/>
      <c r="J92" s="16"/>
      <c r="K92" s="16"/>
      <c r="L92" s="16"/>
    </row>
    <row r="93" spans="1:12" ht="15.75">
      <c r="A93" s="74" t="s">
        <v>88</v>
      </c>
      <c r="B93" s="20" t="s">
        <v>159</v>
      </c>
      <c r="C93" s="50" t="s">
        <v>5</v>
      </c>
      <c r="D93" s="34"/>
      <c r="E93" s="16"/>
      <c r="F93" s="16"/>
      <c r="G93" s="16"/>
      <c r="H93" s="16"/>
      <c r="I93" s="16"/>
      <c r="J93" s="16"/>
      <c r="K93" s="16"/>
      <c r="L93" s="16"/>
    </row>
    <row r="94" spans="1:12" ht="15.75">
      <c r="A94" s="74" t="s">
        <v>89</v>
      </c>
      <c r="B94" s="20" t="s">
        <v>160</v>
      </c>
      <c r="C94" s="50" t="s">
        <v>5</v>
      </c>
      <c r="D94" s="34"/>
      <c r="E94" s="16"/>
      <c r="F94" s="16"/>
      <c r="G94" s="16"/>
      <c r="H94" s="16"/>
      <c r="I94" s="16"/>
      <c r="J94" s="16"/>
      <c r="K94" s="16"/>
      <c r="L94" s="16"/>
    </row>
    <row r="95" spans="1:12" ht="15.75">
      <c r="A95" s="74" t="s">
        <v>90</v>
      </c>
      <c r="B95" s="20" t="s">
        <v>54</v>
      </c>
      <c r="C95" s="50" t="s">
        <v>55</v>
      </c>
      <c r="D95" s="34"/>
      <c r="E95" s="16"/>
      <c r="F95" s="16"/>
      <c r="G95" s="16"/>
      <c r="H95" s="16"/>
      <c r="I95" s="16"/>
      <c r="J95" s="16"/>
      <c r="K95" s="16"/>
      <c r="L95" s="16"/>
    </row>
    <row r="96" spans="1:12" ht="15.75">
      <c r="A96" s="64"/>
      <c r="B96" s="20" t="s">
        <v>4</v>
      </c>
      <c r="C96" s="52"/>
      <c r="D96" s="34"/>
      <c r="E96" s="16"/>
      <c r="F96" s="16"/>
      <c r="G96" s="16"/>
      <c r="H96" s="16"/>
      <c r="I96" s="16"/>
      <c r="J96" s="16"/>
      <c r="K96" s="16"/>
      <c r="L96" s="16"/>
    </row>
    <row r="97" spans="1:12" ht="15.75">
      <c r="A97" s="74" t="s">
        <v>91</v>
      </c>
      <c r="B97" s="20" t="s">
        <v>159</v>
      </c>
      <c r="C97" s="50" t="s">
        <v>5</v>
      </c>
      <c r="D97" s="34"/>
      <c r="E97" s="16"/>
      <c r="F97" s="16"/>
      <c r="G97" s="16"/>
      <c r="H97" s="16"/>
      <c r="I97" s="16"/>
      <c r="J97" s="16"/>
      <c r="K97" s="16"/>
      <c r="L97" s="16"/>
    </row>
    <row r="98" spans="1:12" ht="15.75">
      <c r="A98" s="74" t="s">
        <v>92</v>
      </c>
      <c r="B98" s="20" t="s">
        <v>160</v>
      </c>
      <c r="C98" s="50" t="s">
        <v>5</v>
      </c>
      <c r="D98" s="34"/>
      <c r="E98" s="16"/>
      <c r="F98" s="16"/>
      <c r="G98" s="16"/>
      <c r="H98" s="16"/>
      <c r="I98" s="16"/>
      <c r="J98" s="16"/>
      <c r="K98" s="16"/>
      <c r="L98" s="16"/>
    </row>
    <row r="99" spans="1:12" ht="47.25">
      <c r="A99" s="74" t="s">
        <v>93</v>
      </c>
      <c r="B99" s="45" t="s">
        <v>56</v>
      </c>
      <c r="C99" s="50" t="s">
        <v>2</v>
      </c>
      <c r="D99" s="34"/>
      <c r="E99" s="16"/>
      <c r="F99" s="16"/>
      <c r="G99" s="16"/>
      <c r="H99" s="16"/>
      <c r="I99" s="16"/>
      <c r="J99" s="16"/>
      <c r="K99" s="16"/>
      <c r="L99" s="16"/>
    </row>
    <row r="100" spans="1:12" ht="31.5">
      <c r="A100" s="74" t="s">
        <v>94</v>
      </c>
      <c r="B100" s="20" t="s">
        <v>57</v>
      </c>
      <c r="C100" s="50" t="s">
        <v>5</v>
      </c>
      <c r="D100" s="34"/>
      <c r="E100" s="16"/>
      <c r="F100" s="16"/>
      <c r="G100" s="16"/>
      <c r="H100" s="16"/>
      <c r="I100" s="16"/>
      <c r="J100" s="16"/>
      <c r="K100" s="16"/>
      <c r="L100" s="16"/>
    </row>
    <row r="101" spans="1:12" ht="47.25">
      <c r="A101" s="74" t="s">
        <v>95</v>
      </c>
      <c r="B101" s="20" t="s">
        <v>161</v>
      </c>
      <c r="C101" s="50" t="s">
        <v>5</v>
      </c>
      <c r="D101" s="34"/>
      <c r="E101" s="16"/>
      <c r="F101" s="16"/>
      <c r="G101" s="16"/>
      <c r="H101" s="16"/>
      <c r="I101" s="16"/>
      <c r="J101" s="16"/>
      <c r="K101" s="16"/>
      <c r="L101" s="16"/>
    </row>
    <row r="102" spans="1:12" ht="15.75">
      <c r="A102" s="64"/>
      <c r="B102" s="20" t="s">
        <v>4</v>
      </c>
      <c r="C102" s="52"/>
      <c r="D102" s="34"/>
      <c r="E102" s="16"/>
      <c r="F102" s="16"/>
      <c r="G102" s="16"/>
      <c r="H102" s="16"/>
      <c r="I102" s="16"/>
      <c r="J102" s="16"/>
      <c r="K102" s="16"/>
      <c r="L102" s="16"/>
    </row>
    <row r="103" spans="1:12" ht="15.75">
      <c r="A103" s="74" t="s">
        <v>96</v>
      </c>
      <c r="B103" s="20" t="s">
        <v>59</v>
      </c>
      <c r="C103" s="50" t="s">
        <v>5</v>
      </c>
      <c r="D103" s="34"/>
      <c r="E103" s="16"/>
      <c r="F103" s="16"/>
      <c r="G103" s="16"/>
      <c r="H103" s="16"/>
      <c r="I103" s="16"/>
      <c r="J103" s="16"/>
      <c r="K103" s="16"/>
      <c r="L103" s="16"/>
    </row>
    <row r="104" spans="1:12" ht="15.75">
      <c r="A104" s="74" t="s">
        <v>97</v>
      </c>
      <c r="B104" s="20" t="s">
        <v>8</v>
      </c>
      <c r="C104" s="50" t="s">
        <v>5</v>
      </c>
      <c r="D104" s="34"/>
      <c r="E104" s="16"/>
      <c r="F104" s="16"/>
      <c r="G104" s="16"/>
      <c r="H104" s="16"/>
      <c r="I104" s="16"/>
      <c r="J104" s="16"/>
      <c r="K104" s="16"/>
      <c r="L104" s="16"/>
    </row>
    <row r="105" spans="1:12" ht="15.75">
      <c r="A105" s="74" t="s">
        <v>98</v>
      </c>
      <c r="B105" s="20" t="s">
        <v>9</v>
      </c>
      <c r="C105" s="50" t="s">
        <v>5</v>
      </c>
      <c r="D105" s="34"/>
      <c r="E105" s="16"/>
      <c r="F105" s="16"/>
      <c r="G105" s="16"/>
      <c r="H105" s="16"/>
      <c r="I105" s="16"/>
      <c r="J105" s="16"/>
      <c r="K105" s="16"/>
      <c r="L105" s="16"/>
    </row>
    <row r="106" spans="1:12" ht="15.75">
      <c r="A106" s="75" t="s">
        <v>61</v>
      </c>
      <c r="B106" s="47"/>
      <c r="C106" s="47"/>
      <c r="D106" s="47"/>
    </row>
    <row r="107" spans="1:12" ht="15.75">
      <c r="A107" s="75"/>
      <c r="B107" s="47"/>
      <c r="C107" s="47"/>
      <c r="D107" s="47"/>
    </row>
    <row r="108" spans="1:12" ht="15.75">
      <c r="A108" s="75" t="s">
        <v>62</v>
      </c>
      <c r="B108" s="47"/>
      <c r="C108" s="47"/>
      <c r="D108" s="47"/>
    </row>
    <row r="109" spans="1:12" ht="15.75">
      <c r="A109" s="75" t="s">
        <v>63</v>
      </c>
      <c r="B109" s="47"/>
      <c r="C109" s="47"/>
      <c r="D109" s="47"/>
    </row>
    <row r="110" spans="1:12" ht="15.75">
      <c r="A110" s="75" t="s">
        <v>64</v>
      </c>
      <c r="B110" s="47"/>
      <c r="C110" s="47"/>
      <c r="D110" s="47"/>
    </row>
    <row r="111" spans="1:12" ht="15.75">
      <c r="A111" s="47"/>
      <c r="B111" s="47"/>
      <c r="C111" s="47"/>
      <c r="D111" s="47"/>
    </row>
    <row r="112" spans="1:12" ht="15.75">
      <c r="A112" s="47"/>
      <c r="B112" s="47"/>
      <c r="C112" s="47"/>
      <c r="D112" s="47"/>
    </row>
  </sheetData>
  <mergeCells count="20">
    <mergeCell ref="A8:L8"/>
    <mergeCell ref="J1:L1"/>
    <mergeCell ref="H2:L2"/>
    <mergeCell ref="H3:L3"/>
    <mergeCell ref="H4:L4"/>
    <mergeCell ref="A7:L7"/>
    <mergeCell ref="I6:L6"/>
    <mergeCell ref="A9:L9"/>
    <mergeCell ref="A11:A12"/>
    <mergeCell ref="B11:B12"/>
    <mergeCell ref="C11:C12"/>
    <mergeCell ref="D11:D12"/>
    <mergeCell ref="E11:E12"/>
    <mergeCell ref="F11:F12"/>
    <mergeCell ref="G11:L11"/>
    <mergeCell ref="A15:A16"/>
    <mergeCell ref="A85:A86"/>
    <mergeCell ref="B85:B86"/>
    <mergeCell ref="A87:A88"/>
    <mergeCell ref="B87:B8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topLeftCell="A77" workbookViewId="0">
      <selection activeCell="H83" sqref="H83"/>
    </sheetView>
  </sheetViews>
  <sheetFormatPr defaultRowHeight="15"/>
  <cols>
    <col min="1" max="1" width="6.85546875" customWidth="1"/>
    <col min="2" max="2" width="42.5703125" customWidth="1"/>
    <col min="3" max="3" width="9.140625" customWidth="1"/>
    <col min="4" max="4" width="9.28515625" customWidth="1"/>
    <col min="5" max="5" width="10.28515625" customWidth="1"/>
    <col min="6" max="6" width="10" customWidth="1"/>
    <col min="7" max="7" width="11.7109375" customWidth="1"/>
    <col min="8" max="8" width="10.42578125" style="1" customWidth="1"/>
    <col min="9" max="9" width="10.5703125" customWidth="1"/>
    <col min="10" max="10" width="11" customWidth="1"/>
    <col min="11" max="12" width="10.85546875" customWidth="1"/>
    <col min="13" max="13" width="5.85546875" customWidth="1"/>
    <col min="14" max="14" width="9.7109375" customWidth="1"/>
  </cols>
  <sheetData>
    <row r="1" spans="1:14" ht="15.75">
      <c r="A1" s="98"/>
      <c r="B1" s="99"/>
      <c r="C1" s="99"/>
      <c r="D1" s="99"/>
      <c r="E1" s="99"/>
      <c r="F1" s="99"/>
      <c r="G1" s="99"/>
      <c r="H1" s="99"/>
      <c r="I1" s="99"/>
      <c r="J1" s="395" t="s">
        <v>141</v>
      </c>
      <c r="K1" s="395"/>
      <c r="L1" s="395"/>
      <c r="M1" s="3"/>
    </row>
    <row r="2" spans="1:14" ht="15.75">
      <c r="A2" s="98"/>
      <c r="B2" s="99"/>
      <c r="C2" s="99"/>
      <c r="D2" s="99"/>
      <c r="E2" s="99"/>
      <c r="F2" s="99"/>
      <c r="G2" s="99"/>
      <c r="H2" s="395" t="s">
        <v>115</v>
      </c>
      <c r="I2" s="395"/>
      <c r="J2" s="395"/>
      <c r="K2" s="395"/>
      <c r="L2" s="395"/>
      <c r="M2" s="4"/>
      <c r="N2" s="4"/>
    </row>
    <row r="3" spans="1:14" ht="15.75">
      <c r="A3" s="98"/>
      <c r="B3" s="99"/>
      <c r="C3" s="99"/>
      <c r="D3" s="99"/>
      <c r="E3" s="99"/>
      <c r="F3" s="99"/>
      <c r="G3" s="99"/>
      <c r="H3" s="395" t="s">
        <v>116</v>
      </c>
      <c r="I3" s="395"/>
      <c r="J3" s="395"/>
      <c r="K3" s="395"/>
      <c r="L3" s="395"/>
      <c r="M3" s="4"/>
      <c r="N3" s="4"/>
    </row>
    <row r="4" spans="1:14" ht="15.75">
      <c r="A4" s="98"/>
      <c r="B4" s="99"/>
      <c r="C4" s="99"/>
      <c r="D4" s="99"/>
      <c r="E4" s="99"/>
      <c r="F4" s="99"/>
      <c r="G4" s="99"/>
      <c r="H4" s="395" t="s">
        <v>117</v>
      </c>
      <c r="I4" s="395"/>
      <c r="J4" s="395"/>
      <c r="K4" s="395"/>
      <c r="L4" s="395"/>
      <c r="M4" s="3"/>
    </row>
    <row r="5" spans="1:14" ht="15.7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8" t="s">
        <v>118</v>
      </c>
      <c r="M5" s="3"/>
    </row>
    <row r="6" spans="1:14" ht="15.75">
      <c r="A6" s="98"/>
      <c r="B6" s="99"/>
      <c r="C6" s="99"/>
      <c r="D6" s="99"/>
      <c r="E6" s="99"/>
      <c r="F6" s="99"/>
      <c r="G6" s="99"/>
      <c r="H6" s="99"/>
      <c r="I6" s="396" t="s">
        <v>142</v>
      </c>
      <c r="J6" s="396"/>
      <c r="K6" s="396"/>
      <c r="L6" s="396"/>
      <c r="M6" s="21"/>
    </row>
    <row r="7" spans="1:14" ht="16.5" customHeight="1">
      <c r="A7" s="394" t="s">
        <v>103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1:14" ht="16.5" customHeight="1">
      <c r="A8" s="375" t="s">
        <v>119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</row>
    <row r="9" spans="1:14" ht="16.5" customHeight="1">
      <c r="A9" s="375" t="s">
        <v>120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</row>
    <row r="10" spans="1:14" ht="9.75" customHeight="1">
      <c r="A10" s="98"/>
      <c r="B10" s="100"/>
      <c r="C10" s="100"/>
      <c r="D10" s="100"/>
      <c r="E10" s="99"/>
      <c r="F10" s="99"/>
      <c r="G10" s="99"/>
      <c r="H10" s="99"/>
      <c r="I10" s="99"/>
      <c r="J10" s="99"/>
      <c r="K10" s="99"/>
      <c r="L10" s="99"/>
    </row>
    <row r="11" spans="1:14" ht="24.75" customHeight="1">
      <c r="A11" s="365" t="s">
        <v>65</v>
      </c>
      <c r="B11" s="367" t="s">
        <v>0</v>
      </c>
      <c r="C11" s="367" t="s">
        <v>104</v>
      </c>
      <c r="D11" s="362" t="s">
        <v>105</v>
      </c>
      <c r="E11" s="362" t="s">
        <v>106</v>
      </c>
      <c r="F11" s="362" t="s">
        <v>107</v>
      </c>
      <c r="G11" s="368" t="s">
        <v>108</v>
      </c>
      <c r="H11" s="368"/>
      <c r="I11" s="368"/>
      <c r="J11" s="368"/>
      <c r="K11" s="368"/>
      <c r="L11" s="368"/>
      <c r="N11" s="10"/>
    </row>
    <row r="12" spans="1:14" ht="135" customHeight="1">
      <c r="A12" s="365"/>
      <c r="B12" s="367"/>
      <c r="C12" s="367"/>
      <c r="D12" s="362"/>
      <c r="E12" s="362"/>
      <c r="F12" s="362"/>
      <c r="G12" s="101" t="s">
        <v>109</v>
      </c>
      <c r="H12" s="101" t="s">
        <v>110</v>
      </c>
      <c r="I12" s="101" t="s">
        <v>111</v>
      </c>
      <c r="J12" s="101" t="s">
        <v>112</v>
      </c>
      <c r="K12" s="101" t="s">
        <v>113</v>
      </c>
      <c r="L12" s="101" t="s">
        <v>114</v>
      </c>
    </row>
    <row r="13" spans="1:14" ht="15.75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  <c r="K13" s="102">
        <v>11</v>
      </c>
      <c r="L13" s="102">
        <v>12</v>
      </c>
    </row>
    <row r="14" spans="1:14" ht="31.5">
      <c r="A14" s="103" t="s">
        <v>1</v>
      </c>
      <c r="B14" s="104" t="s">
        <v>143</v>
      </c>
      <c r="C14" s="103" t="s">
        <v>2</v>
      </c>
      <c r="D14" s="105">
        <f>D15+D23+D28+D29+D32+195</f>
        <v>25104.219999999998</v>
      </c>
      <c r="E14" s="106">
        <f t="shared" ref="E14:L14" si="0">E15+E23+E28+E29+E32</f>
        <v>21510.569649032157</v>
      </c>
      <c r="F14" s="106">
        <f t="shared" si="0"/>
        <v>27657.305246899014</v>
      </c>
      <c r="G14" s="106">
        <f t="shared" si="0"/>
        <v>292345.18744993961</v>
      </c>
      <c r="H14" s="106">
        <f t="shared" si="0"/>
        <v>51875.843220391696</v>
      </c>
      <c r="I14" s="106">
        <f t="shared" si="0"/>
        <v>55590.357662921</v>
      </c>
      <c r="J14" s="106">
        <f t="shared" si="0"/>
        <v>59433.738395625478</v>
      </c>
      <c r="K14" s="106">
        <f t="shared" si="0"/>
        <v>62943.384640453929</v>
      </c>
      <c r="L14" s="106">
        <f t="shared" si="0"/>
        <v>67066.599525500729</v>
      </c>
    </row>
    <row r="15" spans="1:14" ht="15.75">
      <c r="A15" s="371">
        <v>1</v>
      </c>
      <c r="B15" s="107" t="s">
        <v>3</v>
      </c>
      <c r="C15" s="108" t="s">
        <v>5</v>
      </c>
      <c r="D15" s="109">
        <f>D17+D18+D19+D20+D21</f>
        <v>4828</v>
      </c>
      <c r="E15" s="110">
        <f t="shared" ref="E15:L15" si="1">E17+E18+E19+E20+E21</f>
        <v>5986.7816490321575</v>
      </c>
      <c r="F15" s="110">
        <f t="shared" si="1"/>
        <v>7553.8485824256441</v>
      </c>
      <c r="G15" s="110">
        <f t="shared" si="1"/>
        <v>64212.263215122046</v>
      </c>
      <c r="H15" s="110">
        <f t="shared" si="1"/>
        <v>10705.238442695441</v>
      </c>
      <c r="I15" s="110">
        <f t="shared" si="1"/>
        <v>12087.719850884121</v>
      </c>
      <c r="J15" s="110">
        <f t="shared" si="1"/>
        <v>13613.920099297167</v>
      </c>
      <c r="K15" s="110">
        <f t="shared" si="1"/>
        <v>15142.850008862026</v>
      </c>
      <c r="L15" s="110">
        <f t="shared" si="1"/>
        <v>17227.270808336507</v>
      </c>
    </row>
    <row r="16" spans="1:14" ht="15.75">
      <c r="A16" s="372"/>
      <c r="B16" s="111" t="s">
        <v>4</v>
      </c>
      <c r="C16" s="112"/>
      <c r="D16" s="113"/>
      <c r="E16" s="114"/>
      <c r="F16" s="114"/>
      <c r="G16" s="114"/>
      <c r="H16" s="114"/>
      <c r="I16" s="114"/>
      <c r="J16" s="114"/>
      <c r="K16" s="114"/>
      <c r="L16" s="114"/>
    </row>
    <row r="17" spans="1:13" ht="15.75">
      <c r="A17" s="115" t="s">
        <v>66</v>
      </c>
      <c r="B17" s="116" t="s">
        <v>144</v>
      </c>
      <c r="C17" s="117" t="s">
        <v>5</v>
      </c>
      <c r="D17" s="118">
        <f>478+185</f>
        <v>663</v>
      </c>
      <c r="E17" s="119">
        <v>860</v>
      </c>
      <c r="F17" s="119">
        <f>[8]TDSheet!$T$170</f>
        <v>1467.5285100000001</v>
      </c>
      <c r="G17" s="120">
        <f>H17+I17+J17+K17+L17</f>
        <v>8846.2799793220438</v>
      </c>
      <c r="H17" s="121">
        <f>F17*1.07</f>
        <v>1570.2555057000002</v>
      </c>
      <c r="I17" s="121">
        <f>H17*1.07</f>
        <v>1680.1733910990004</v>
      </c>
      <c r="J17" s="121">
        <f>I17*1.06</f>
        <v>1780.9837945649404</v>
      </c>
      <c r="K17" s="121">
        <f>J17*1.05</f>
        <v>1870.0329842931874</v>
      </c>
      <c r="L17" s="121">
        <f>K17*1.04</f>
        <v>1944.8343036649148</v>
      </c>
      <c r="M17" s="15"/>
    </row>
    <row r="18" spans="1:13" s="1" customFormat="1" ht="15.75">
      <c r="A18" s="122" t="s">
        <v>145</v>
      </c>
      <c r="B18" s="111" t="s">
        <v>162</v>
      </c>
      <c r="C18" s="112" t="s">
        <v>5</v>
      </c>
      <c r="D18" s="118">
        <v>1675</v>
      </c>
      <c r="E18" s="114">
        <f>[9]TDSheet!$G$17/1000</f>
        <v>1427.41984</v>
      </c>
      <c r="F18" s="123">
        <f>[10]TDSheet!$G$13/1000</f>
        <v>1552.8228799999999</v>
      </c>
      <c r="G18" s="123">
        <f>H18+I18+J18+K18+L18</f>
        <v>13278.475555800003</v>
      </c>
      <c r="H18" s="123">
        <f>(H85+H88)*20.92</f>
        <v>2219.8839600000001</v>
      </c>
      <c r="I18" s="123">
        <f>(I85+I88)*20.92*1.07</f>
        <v>2496.0844440000005</v>
      </c>
      <c r="J18" s="123">
        <f>(J85+J88)*20.92*1.06</f>
        <v>2742.8504880000005</v>
      </c>
      <c r="K18" s="123">
        <f>(K85+K88)*20.92*1.05</f>
        <v>2852.8232670000007</v>
      </c>
      <c r="L18" s="123">
        <f>(L85+L88)*20.92*1.04</f>
        <v>2966.8333968000006</v>
      </c>
    </row>
    <row r="19" spans="1:13" s="19" customFormat="1" ht="15.75">
      <c r="A19" s="122" t="s">
        <v>146</v>
      </c>
      <c r="B19" s="111" t="s">
        <v>147</v>
      </c>
      <c r="C19" s="112" t="s">
        <v>5</v>
      </c>
      <c r="D19" s="118"/>
      <c r="E19" s="124">
        <f>[11]Лист1!$L$84</f>
        <v>278.96180903215736</v>
      </c>
      <c r="F19" s="125">
        <f>[11]Лист1!$M$84</f>
        <v>757.2539224256443</v>
      </c>
      <c r="G19" s="126"/>
      <c r="H19" s="125">
        <f>F19*1.07</f>
        <v>810.26169699543948</v>
      </c>
      <c r="I19" s="125">
        <f>H19*1.07</f>
        <v>866.98001578512026</v>
      </c>
      <c r="J19" s="125">
        <f>I19*1.06</f>
        <v>918.99881673222751</v>
      </c>
      <c r="K19" s="125">
        <f>J19*1.05</f>
        <v>964.94875756883891</v>
      </c>
      <c r="L19" s="125">
        <f>K19*1.04</f>
        <v>1003.5467078715925</v>
      </c>
    </row>
    <row r="20" spans="1:13" s="19" customFormat="1" ht="15.75">
      <c r="A20" s="122" t="s">
        <v>148</v>
      </c>
      <c r="B20" s="111" t="s">
        <v>149</v>
      </c>
      <c r="C20" s="112" t="s">
        <v>5</v>
      </c>
      <c r="D20" s="118">
        <v>860</v>
      </c>
      <c r="E20" s="114">
        <v>1170.1600000000001</v>
      </c>
      <c r="F20" s="127">
        <f>[12]TDSheet!$J$30/1000</f>
        <v>534.80989</v>
      </c>
      <c r="G20" s="114">
        <f>H20+I20+J20+K20+L20</f>
        <v>14503.58</v>
      </c>
      <c r="H20" s="123">
        <v>2522.1</v>
      </c>
      <c r="I20" s="114">
        <v>2698.65</v>
      </c>
      <c r="J20" s="114">
        <v>2887.55</v>
      </c>
      <c r="K20" s="114">
        <v>3089.68</v>
      </c>
      <c r="L20" s="114">
        <v>3305.6</v>
      </c>
      <c r="M20" s="12"/>
    </row>
    <row r="21" spans="1:13" s="19" customFormat="1" ht="15.75">
      <c r="A21" s="122" t="s">
        <v>150</v>
      </c>
      <c r="B21" s="111" t="s">
        <v>186</v>
      </c>
      <c r="C21" s="112"/>
      <c r="D21" s="118">
        <v>1630</v>
      </c>
      <c r="E21" s="114">
        <v>2250.2399999999998</v>
      </c>
      <c r="F21" s="123">
        <f>[11]Лист1!$M$98</f>
        <v>3241.4333799999999</v>
      </c>
      <c r="G21" s="123">
        <f>H21+I21+J21+K21+L21</f>
        <v>27583.927679999997</v>
      </c>
      <c r="H21" s="123">
        <f>(63360+74880+3168+31680+31680+3168)*17.23/1000</f>
        <v>3582.7372800000003</v>
      </c>
      <c r="I21" s="123">
        <f>(69696+82368+3484+34848+34848+3484)*19/1000</f>
        <v>4345.8320000000003</v>
      </c>
      <c r="J21" s="123">
        <f>(76665+90604+3832+38332+38332+3832)*21/1000</f>
        <v>5283.5370000000003</v>
      </c>
      <c r="K21" s="123">
        <f>(84331+99664+4215+42165+42165+4215)*23/1000</f>
        <v>6365.3649999999998</v>
      </c>
      <c r="L21" s="123">
        <f>(92764+109630+4636+46381+46381+4636)*26.3/1000</f>
        <v>8006.4564</v>
      </c>
      <c r="M21" s="15"/>
    </row>
    <row r="22" spans="1:13" s="19" customFormat="1" ht="15.75">
      <c r="A22" s="122"/>
      <c r="B22" s="111"/>
      <c r="C22" s="112"/>
      <c r="D22" s="118"/>
      <c r="E22" s="114"/>
      <c r="F22" s="123"/>
      <c r="G22" s="123"/>
      <c r="H22" s="114"/>
      <c r="I22" s="114"/>
      <c r="J22" s="114"/>
      <c r="K22" s="114"/>
      <c r="L22" s="114"/>
    </row>
    <row r="23" spans="1:13" ht="15.75">
      <c r="A23" s="128" t="s">
        <v>67</v>
      </c>
      <c r="B23" s="107" t="s">
        <v>151</v>
      </c>
      <c r="C23" s="108" t="s">
        <v>5</v>
      </c>
      <c r="D23" s="129">
        <f>D25+D26+D27</f>
        <v>14128.460000000001</v>
      </c>
      <c r="E23" s="130">
        <f t="shared" ref="E23:L23" si="2">E25+E26+E27</f>
        <v>11435.02</v>
      </c>
      <c r="F23" s="130">
        <f t="shared" si="2"/>
        <v>13772.32</v>
      </c>
      <c r="G23" s="130">
        <f t="shared" si="2"/>
        <v>149154.85257182684</v>
      </c>
      <c r="H23" s="130">
        <f t="shared" si="2"/>
        <v>26475.674407801445</v>
      </c>
      <c r="I23" s="130">
        <f t="shared" si="2"/>
        <v>28328.97161634755</v>
      </c>
      <c r="J23" s="130">
        <f t="shared" si="2"/>
        <v>30028.709913328403</v>
      </c>
      <c r="K23" s="130">
        <f t="shared" si="2"/>
        <v>31530.145408994824</v>
      </c>
      <c r="L23" s="130">
        <f t="shared" si="2"/>
        <v>32791.351225354621</v>
      </c>
    </row>
    <row r="24" spans="1:13" ht="15.75">
      <c r="A24" s="131"/>
      <c r="B24" s="111" t="s">
        <v>4</v>
      </c>
      <c r="C24" s="101"/>
      <c r="D24" s="132"/>
      <c r="E24" s="114"/>
      <c r="F24" s="114"/>
      <c r="G24" s="114"/>
      <c r="H24" s="114"/>
      <c r="I24" s="114"/>
      <c r="J24" s="114"/>
      <c r="K24" s="114"/>
      <c r="L24" s="114"/>
    </row>
    <row r="25" spans="1:13" ht="15.75">
      <c r="A25" s="122" t="s">
        <v>68</v>
      </c>
      <c r="B25" s="111" t="s">
        <v>8</v>
      </c>
      <c r="C25" s="112" t="s">
        <v>5</v>
      </c>
      <c r="D25" s="132">
        <v>12890.29</v>
      </c>
      <c r="E25" s="133">
        <v>10402.780000000001</v>
      </c>
      <c r="F25" s="114">
        <v>12533.06</v>
      </c>
      <c r="G25" s="123">
        <f>H25+I25+J25+K25+L25</f>
        <v>135733.61035568881</v>
      </c>
      <c r="H25" s="134">
        <f>(1147302/15/1000)*1.25*21*12</f>
        <v>24093.342000000001</v>
      </c>
      <c r="I25" s="114">
        <f>H25*1.07</f>
        <v>25779.875940000002</v>
      </c>
      <c r="J25" s="123">
        <f>I25*1.06</f>
        <v>27326.668496400001</v>
      </c>
      <c r="K25" s="114">
        <f>J25*1.05</f>
        <v>28693.001921220002</v>
      </c>
      <c r="L25" s="114">
        <f>K25*1.04</f>
        <v>29840.721998068802</v>
      </c>
    </row>
    <row r="26" spans="1:13" ht="15.75">
      <c r="A26" s="122" t="s">
        <v>69</v>
      </c>
      <c r="B26" s="111" t="s">
        <v>9</v>
      </c>
      <c r="C26" s="112" t="s">
        <v>5</v>
      </c>
      <c r="D26" s="132">
        <v>696.07</v>
      </c>
      <c r="E26" s="114">
        <v>563.04</v>
      </c>
      <c r="F26" s="114">
        <v>675.96</v>
      </c>
      <c r="G26" s="123">
        <f>H26+I26+J26+K26+L26</f>
        <v>7320.6775724389272</v>
      </c>
      <c r="H26" s="134">
        <f>H25*(F26/F25%)%</f>
        <v>1299.454040618971</v>
      </c>
      <c r="I26" s="114">
        <f>H26*1.07</f>
        <v>1390.4158234622992</v>
      </c>
      <c r="J26" s="123">
        <f>I26*1.06</f>
        <v>1473.8407728700372</v>
      </c>
      <c r="K26" s="123">
        <f>J26*1.05</f>
        <v>1547.5328115135392</v>
      </c>
      <c r="L26" s="114">
        <f>K26*1.04</f>
        <v>1609.4341239740809</v>
      </c>
    </row>
    <row r="27" spans="1:13" ht="15.75">
      <c r="A27" s="122" t="s">
        <v>121</v>
      </c>
      <c r="B27" s="111" t="s">
        <v>122</v>
      </c>
      <c r="C27" s="112"/>
      <c r="D27" s="132">
        <v>542.1</v>
      </c>
      <c r="E27" s="114">
        <v>469.2</v>
      </c>
      <c r="F27" s="114">
        <v>563.29999999999995</v>
      </c>
      <c r="G27" s="123">
        <f>H27+I27+J27+K27+L27</f>
        <v>6100.5646436991065</v>
      </c>
      <c r="H27" s="134">
        <f>H25*(F27/F25%)%</f>
        <v>1082.878367182476</v>
      </c>
      <c r="I27" s="123">
        <f>H27*1.07</f>
        <v>1158.6798528852494</v>
      </c>
      <c r="J27" s="123">
        <f>I27*1.06</f>
        <v>1228.2006440583643</v>
      </c>
      <c r="K27" s="123">
        <f>J27*1.05</f>
        <v>1289.6106762612826</v>
      </c>
      <c r="L27" s="123">
        <f>K27*1.04</f>
        <v>1341.1951033117339</v>
      </c>
    </row>
    <row r="28" spans="1:13" ht="15.75">
      <c r="A28" s="128" t="s">
        <v>70</v>
      </c>
      <c r="B28" s="107" t="s">
        <v>10</v>
      </c>
      <c r="C28" s="108" t="s">
        <v>5</v>
      </c>
      <c r="D28" s="135">
        <v>2112</v>
      </c>
      <c r="E28" s="136">
        <v>3424.05</v>
      </c>
      <c r="F28" s="137">
        <v>3947.88</v>
      </c>
      <c r="G28" s="138">
        <f>H28+I28+J28+K28+L28</f>
        <v>38065.61507876886</v>
      </c>
      <c r="H28" s="139">
        <f>(647073*12)/1000</f>
        <v>7764.8760000000002</v>
      </c>
      <c r="I28" s="138">
        <f>(H28/1019220.6%)*(1019220.6-H28)%</f>
        <v>7705.7197199018783</v>
      </c>
      <c r="J28" s="138">
        <f>(H28/1019220.6%)*(1019220.6-I28-H28)%</f>
        <v>7647.0141186652145</v>
      </c>
      <c r="K28" s="138">
        <f>(I28/1019220.6%)*(1019220.6-J28-I28-H28)%</f>
        <v>7530.9412450456539</v>
      </c>
      <c r="L28" s="138">
        <f>(J28/1019220.6%)*(1019220.6-K28-J28-I28-H28)%</f>
        <v>7417.0639951561143</v>
      </c>
      <c r="M28" s="14"/>
    </row>
    <row r="29" spans="1:13" ht="15.75">
      <c r="A29" s="128" t="s">
        <v>71</v>
      </c>
      <c r="B29" s="107" t="s">
        <v>11</v>
      </c>
      <c r="C29" s="108" t="s">
        <v>5</v>
      </c>
      <c r="D29" s="129">
        <f>D31</f>
        <v>1516.76</v>
      </c>
      <c r="E29" s="130">
        <f t="shared" ref="E29:L29" si="3">E31</f>
        <v>0</v>
      </c>
      <c r="F29" s="130">
        <f t="shared" si="3"/>
        <v>1516.76</v>
      </c>
      <c r="G29" s="130">
        <f t="shared" si="3"/>
        <v>31612.73</v>
      </c>
      <c r="H29" s="130">
        <f t="shared" si="3"/>
        <v>5279.31</v>
      </c>
      <c r="I29" s="130">
        <f t="shared" si="3"/>
        <v>5701.65</v>
      </c>
      <c r="J29" s="130">
        <f>J31</f>
        <v>6271.82</v>
      </c>
      <c r="K29" s="130">
        <f t="shared" si="3"/>
        <v>6773.56</v>
      </c>
      <c r="L29" s="130">
        <f t="shared" si="3"/>
        <v>7586.39</v>
      </c>
    </row>
    <row r="30" spans="1:13" ht="15.75">
      <c r="A30" s="131"/>
      <c r="B30" s="111" t="s">
        <v>4</v>
      </c>
      <c r="C30" s="101"/>
      <c r="D30" s="132"/>
      <c r="E30" s="114"/>
      <c r="F30" s="114"/>
      <c r="G30" s="114"/>
      <c r="H30" s="114"/>
      <c r="I30" s="114"/>
      <c r="J30" s="114"/>
      <c r="K30" s="114"/>
      <c r="L30" s="114"/>
    </row>
    <row r="31" spans="1:13" ht="47.25">
      <c r="A31" s="122" t="s">
        <v>72</v>
      </c>
      <c r="B31" s="140" t="s">
        <v>12</v>
      </c>
      <c r="C31" s="112" t="s">
        <v>5</v>
      </c>
      <c r="D31" s="132">
        <v>1516.76</v>
      </c>
      <c r="E31" s="114"/>
      <c r="F31" s="114">
        <v>1516.76</v>
      </c>
      <c r="G31" s="114">
        <f>H31+I31+J31+K31+L31</f>
        <v>31612.73</v>
      </c>
      <c r="H31" s="114">
        <v>5279.31</v>
      </c>
      <c r="I31" s="114">
        <v>5701.65</v>
      </c>
      <c r="J31" s="114">
        <v>6271.82</v>
      </c>
      <c r="K31" s="114">
        <v>6773.56</v>
      </c>
      <c r="L31" s="114">
        <v>7586.39</v>
      </c>
    </row>
    <row r="32" spans="1:13" ht="15.75">
      <c r="A32" s="128" t="s">
        <v>73</v>
      </c>
      <c r="B32" s="107" t="s">
        <v>13</v>
      </c>
      <c r="C32" s="108" t="s">
        <v>5</v>
      </c>
      <c r="D32" s="135">
        <f>D34+D35+D36+D37+D38+D39+D40+D41+D42+D43+D44+D45+D46</f>
        <v>2324</v>
      </c>
      <c r="E32" s="141">
        <f t="shared" ref="E32:L32" si="4">E34+E35+E36+E37+E38+E39+E40+E41+E42+E43+E44+E45+E46</f>
        <v>664.71800000000007</v>
      </c>
      <c r="F32" s="141">
        <f t="shared" si="4"/>
        <v>866.49666447337222</v>
      </c>
      <c r="G32" s="141">
        <f t="shared" si="4"/>
        <v>9299.7265842218767</v>
      </c>
      <c r="H32" s="141">
        <f t="shared" si="4"/>
        <v>1650.7443698948123</v>
      </c>
      <c r="I32" s="141">
        <f t="shared" si="4"/>
        <v>1766.2964757874493</v>
      </c>
      <c r="J32" s="141">
        <f t="shared" si="4"/>
        <v>1872.2742643346962</v>
      </c>
      <c r="K32" s="141">
        <f t="shared" si="4"/>
        <v>1965.8879775514306</v>
      </c>
      <c r="L32" s="141">
        <f t="shared" si="4"/>
        <v>2044.5234966534883</v>
      </c>
    </row>
    <row r="33" spans="1:14" ht="15.75">
      <c r="A33" s="131"/>
      <c r="B33" s="111" t="s">
        <v>4</v>
      </c>
      <c r="C33" s="101"/>
      <c r="D33" s="132"/>
      <c r="E33" s="114"/>
      <c r="F33" s="114"/>
      <c r="G33" s="114"/>
      <c r="H33" s="114"/>
      <c r="I33" s="114"/>
      <c r="J33" s="114"/>
      <c r="K33" s="114"/>
      <c r="L33" s="114"/>
    </row>
    <row r="34" spans="1:14" ht="47.25">
      <c r="A34" s="122" t="s">
        <v>74</v>
      </c>
      <c r="B34" s="111" t="s">
        <v>14</v>
      </c>
      <c r="C34" s="112" t="s">
        <v>5</v>
      </c>
      <c r="D34" s="118"/>
      <c r="E34" s="123"/>
      <c r="F34" s="123"/>
      <c r="G34" s="123">
        <f>H34+I34+J34+K34+L34</f>
        <v>0</v>
      </c>
      <c r="H34" s="123"/>
      <c r="I34" s="123"/>
      <c r="J34" s="123"/>
      <c r="K34" s="123"/>
      <c r="L34" s="123"/>
    </row>
    <row r="35" spans="1:14" ht="31.5">
      <c r="A35" s="122" t="s">
        <v>75</v>
      </c>
      <c r="B35" s="111" t="s">
        <v>195</v>
      </c>
      <c r="C35" s="112" t="s">
        <v>5</v>
      </c>
      <c r="D35" s="118"/>
      <c r="E35" s="123"/>
      <c r="F35" s="123">
        <f>[11]Лист1!$M$104</f>
        <v>192.48633223668614</v>
      </c>
      <c r="G35" s="123">
        <f>H35+I35+J35+K35+L35</f>
        <v>1145.1457963693831</v>
      </c>
      <c r="H35" s="123">
        <f>[11]Лист1!$N$104</f>
        <v>203.26866160481194</v>
      </c>
      <c r="I35" s="123">
        <f t="shared" ref="I35:I45" si="5">H35*1.07</f>
        <v>217.49746791714878</v>
      </c>
      <c r="J35" s="123">
        <f t="shared" ref="J35:J45" si="6">I35*1.06</f>
        <v>230.54731599217772</v>
      </c>
      <c r="K35" s="123">
        <f t="shared" ref="K35:K45" si="7">J35*1.05</f>
        <v>242.07468179178662</v>
      </c>
      <c r="L35" s="123">
        <f t="shared" ref="L35:L45" si="8">K35*1.04</f>
        <v>251.75766906345808</v>
      </c>
      <c r="M35" s="38"/>
      <c r="N35" s="39"/>
    </row>
    <row r="36" spans="1:14" ht="47.25">
      <c r="A36" s="122" t="s">
        <v>76</v>
      </c>
      <c r="B36" s="111" t="s">
        <v>16</v>
      </c>
      <c r="C36" s="112" t="s">
        <v>5</v>
      </c>
      <c r="D36" s="118"/>
      <c r="E36" s="123">
        <v>48.7</v>
      </c>
      <c r="F36" s="142">
        <v>19.7</v>
      </c>
      <c r="G36" s="123">
        <f t="shared" ref="G36:G46" si="9">H36+I36+J36+K36+L36</f>
        <v>293.56420134760009</v>
      </c>
      <c r="H36" s="123">
        <f>E36*1.07</f>
        <v>52.109000000000009</v>
      </c>
      <c r="I36" s="123">
        <f t="shared" si="5"/>
        <v>55.756630000000015</v>
      </c>
      <c r="J36" s="123">
        <f t="shared" si="6"/>
        <v>59.102027800000016</v>
      </c>
      <c r="K36" s="123">
        <f t="shared" si="7"/>
        <v>62.057129190000019</v>
      </c>
      <c r="L36" s="123">
        <f t="shared" si="8"/>
        <v>64.539414357600023</v>
      </c>
      <c r="M36" s="38"/>
      <c r="N36" s="39"/>
    </row>
    <row r="37" spans="1:14" ht="31.5">
      <c r="A37" s="122" t="s">
        <v>77</v>
      </c>
      <c r="B37" s="111" t="s">
        <v>17</v>
      </c>
      <c r="C37" s="112" t="s">
        <v>5</v>
      </c>
      <c r="D37" s="118">
        <v>350</v>
      </c>
      <c r="E37" s="123"/>
      <c r="F37" s="142">
        <v>84.24</v>
      </c>
      <c r="G37" s="123">
        <f t="shared" si="9"/>
        <v>507.79976019551998</v>
      </c>
      <c r="H37" s="123">
        <f>F37*1.07</f>
        <v>90.136799999999994</v>
      </c>
      <c r="I37" s="123">
        <f t="shared" si="5"/>
        <v>96.446376000000001</v>
      </c>
      <c r="J37" s="123">
        <f t="shared" si="6"/>
        <v>102.23315856000001</v>
      </c>
      <c r="K37" s="123">
        <f t="shared" si="7"/>
        <v>107.34481648800001</v>
      </c>
      <c r="L37" s="123">
        <f t="shared" si="8"/>
        <v>111.63860914752001</v>
      </c>
    </row>
    <row r="38" spans="1:14" ht="15.75">
      <c r="A38" s="122" t="s">
        <v>78</v>
      </c>
      <c r="B38" s="111" t="s">
        <v>18</v>
      </c>
      <c r="C38" s="112" t="s">
        <v>5</v>
      </c>
      <c r="D38" s="118">
        <v>254</v>
      </c>
      <c r="E38" s="123">
        <v>140.06</v>
      </c>
      <c r="F38" s="123"/>
      <c r="G38" s="123">
        <f t="shared" si="9"/>
        <v>844.28340946088019</v>
      </c>
      <c r="H38" s="123">
        <f>E38*1.07</f>
        <v>149.86420000000001</v>
      </c>
      <c r="I38" s="123">
        <f t="shared" si="5"/>
        <v>160.35469400000002</v>
      </c>
      <c r="J38" s="123">
        <f t="shared" si="6"/>
        <v>169.97597564000003</v>
      </c>
      <c r="K38" s="123">
        <f t="shared" si="7"/>
        <v>178.47477442200005</v>
      </c>
      <c r="L38" s="123">
        <f t="shared" si="8"/>
        <v>185.61376539888005</v>
      </c>
    </row>
    <row r="39" spans="1:14" ht="15.75">
      <c r="A39" s="122" t="s">
        <v>79</v>
      </c>
      <c r="B39" s="111" t="s">
        <v>19</v>
      </c>
      <c r="C39" s="112" t="s">
        <v>5</v>
      </c>
      <c r="D39" s="118"/>
      <c r="E39" s="123">
        <v>10.71</v>
      </c>
      <c r="F39" s="123"/>
      <c r="G39" s="123">
        <f t="shared" si="9"/>
        <v>743.64264480000008</v>
      </c>
      <c r="H39" s="123">
        <f>11*12</f>
        <v>132</v>
      </c>
      <c r="I39" s="123">
        <f t="shared" si="5"/>
        <v>141.24</v>
      </c>
      <c r="J39" s="123">
        <f t="shared" si="6"/>
        <v>149.71440000000001</v>
      </c>
      <c r="K39" s="123">
        <f t="shared" si="7"/>
        <v>157.20012000000003</v>
      </c>
      <c r="L39" s="123">
        <f t="shared" si="8"/>
        <v>163.48812480000004</v>
      </c>
      <c r="M39" s="27"/>
    </row>
    <row r="40" spans="1:14" ht="31.5">
      <c r="A40" s="122" t="s">
        <v>80</v>
      </c>
      <c r="B40" s="140" t="s">
        <v>125</v>
      </c>
      <c r="C40" s="112" t="s">
        <v>5</v>
      </c>
      <c r="D40" s="118">
        <v>400</v>
      </c>
      <c r="E40" s="142">
        <v>217.1</v>
      </c>
      <c r="F40" s="123">
        <f>[11]Лист1!$M$104</f>
        <v>192.48633223668614</v>
      </c>
      <c r="G40" s="123">
        <f t="shared" si="9"/>
        <v>1308.6814807507999</v>
      </c>
      <c r="H40" s="123">
        <f>E40*1.07</f>
        <v>232.297</v>
      </c>
      <c r="I40" s="123">
        <f t="shared" si="5"/>
        <v>248.55779000000001</v>
      </c>
      <c r="J40" s="123">
        <f t="shared" si="6"/>
        <v>263.47125740000001</v>
      </c>
      <c r="K40" s="123">
        <f t="shared" si="7"/>
        <v>276.64482027000003</v>
      </c>
      <c r="L40" s="123">
        <f t="shared" si="8"/>
        <v>287.71061308080004</v>
      </c>
    </row>
    <row r="41" spans="1:14" ht="15.75">
      <c r="A41" s="122" t="s">
        <v>123</v>
      </c>
      <c r="B41" s="111" t="s">
        <v>126</v>
      </c>
      <c r="C41" s="112" t="s">
        <v>5</v>
      </c>
      <c r="D41" s="118">
        <v>500</v>
      </c>
      <c r="E41" s="123"/>
      <c r="F41" s="142">
        <v>40</v>
      </c>
      <c r="G41" s="123">
        <f t="shared" si="9"/>
        <v>241.12049392000006</v>
      </c>
      <c r="H41" s="123">
        <f>F41*1.07</f>
        <v>42.800000000000004</v>
      </c>
      <c r="I41" s="123">
        <f t="shared" si="5"/>
        <v>45.796000000000006</v>
      </c>
      <c r="J41" s="123">
        <f t="shared" si="6"/>
        <v>48.543760000000006</v>
      </c>
      <c r="K41" s="123">
        <f t="shared" si="7"/>
        <v>50.970948000000007</v>
      </c>
      <c r="L41" s="123">
        <f t="shared" si="8"/>
        <v>53.009785920000006</v>
      </c>
    </row>
    <row r="42" spans="1:14" ht="15.75">
      <c r="A42" s="122" t="s">
        <v>124</v>
      </c>
      <c r="B42" s="111" t="s">
        <v>130</v>
      </c>
      <c r="C42" s="112" t="s">
        <v>5</v>
      </c>
      <c r="D42" s="118">
        <v>300</v>
      </c>
      <c r="E42" s="123"/>
      <c r="F42" s="142">
        <v>103.4</v>
      </c>
      <c r="G42" s="123">
        <f t="shared" si="9"/>
        <v>623.29647678320021</v>
      </c>
      <c r="H42" s="123">
        <f>F42*1.07</f>
        <v>110.63800000000002</v>
      </c>
      <c r="I42" s="123">
        <f t="shared" si="5"/>
        <v>118.38266000000003</v>
      </c>
      <c r="J42" s="123">
        <f t="shared" si="6"/>
        <v>125.48561960000004</v>
      </c>
      <c r="K42" s="123">
        <f t="shared" si="7"/>
        <v>131.75990058000005</v>
      </c>
      <c r="L42" s="123">
        <f t="shared" si="8"/>
        <v>137.03029660320004</v>
      </c>
    </row>
    <row r="43" spans="1:14" ht="15.75">
      <c r="A43" s="122" t="s">
        <v>127</v>
      </c>
      <c r="B43" s="111" t="s">
        <v>131</v>
      </c>
      <c r="C43" s="112" t="s">
        <v>5</v>
      </c>
      <c r="D43" s="118">
        <v>240</v>
      </c>
      <c r="E43" s="123"/>
      <c r="F43" s="123"/>
      <c r="G43" s="123">
        <f t="shared" si="9"/>
        <v>676.03876800000012</v>
      </c>
      <c r="H43" s="123">
        <f>D43/2</f>
        <v>120</v>
      </c>
      <c r="I43" s="123">
        <f t="shared" si="5"/>
        <v>128.4</v>
      </c>
      <c r="J43" s="123">
        <f t="shared" si="6"/>
        <v>136.10400000000001</v>
      </c>
      <c r="K43" s="123">
        <f t="shared" si="7"/>
        <v>142.90920000000003</v>
      </c>
      <c r="L43" s="123">
        <f t="shared" si="8"/>
        <v>148.62556800000004</v>
      </c>
    </row>
    <row r="44" spans="1:14" ht="15.75">
      <c r="A44" s="122" t="s">
        <v>128</v>
      </c>
      <c r="B44" s="111" t="s">
        <v>30</v>
      </c>
      <c r="C44" s="112" t="s">
        <v>5</v>
      </c>
      <c r="D44" s="118">
        <v>280</v>
      </c>
      <c r="E44" s="142">
        <v>33.299999999999997</v>
      </c>
      <c r="F44" s="123"/>
      <c r="G44" s="123">
        <f t="shared" si="9"/>
        <v>200.73281118840001</v>
      </c>
      <c r="H44" s="123">
        <f>E44*1.07</f>
        <v>35.631</v>
      </c>
      <c r="I44" s="123">
        <f t="shared" si="5"/>
        <v>38.125170000000004</v>
      </c>
      <c r="J44" s="123">
        <f t="shared" si="6"/>
        <v>40.412680200000004</v>
      </c>
      <c r="K44" s="123">
        <f t="shared" si="7"/>
        <v>42.433314210000006</v>
      </c>
      <c r="L44" s="123">
        <f t="shared" si="8"/>
        <v>44.130646778400006</v>
      </c>
    </row>
    <row r="45" spans="1:14" ht="15.75">
      <c r="A45" s="122" t="s">
        <v>129</v>
      </c>
      <c r="B45" s="111" t="s">
        <v>33</v>
      </c>
      <c r="C45" s="112"/>
      <c r="D45" s="118"/>
      <c r="E45" s="123">
        <f>[13]TDSheet!$H$45/1000</f>
        <v>214.84800000000001</v>
      </c>
      <c r="F45" s="123">
        <f>[14]TDSheet!$I$54/1000</f>
        <v>234.184</v>
      </c>
      <c r="G45" s="123">
        <f t="shared" si="9"/>
        <v>2715.4207414060925</v>
      </c>
      <c r="H45" s="123">
        <f>([14]TDSheet!$F$54+[15]TDSheet!$O$293)/1000</f>
        <v>481.99970829000006</v>
      </c>
      <c r="I45" s="123">
        <f t="shared" si="5"/>
        <v>515.73968787030014</v>
      </c>
      <c r="J45" s="123">
        <f t="shared" si="6"/>
        <v>546.68406914251818</v>
      </c>
      <c r="K45" s="123">
        <f t="shared" si="7"/>
        <v>574.01827259964409</v>
      </c>
      <c r="L45" s="123">
        <f t="shared" si="8"/>
        <v>596.97900350362988</v>
      </c>
      <c r="M45" s="30"/>
    </row>
    <row r="46" spans="1:14" ht="31.5">
      <c r="A46" s="122" t="s">
        <v>136</v>
      </c>
      <c r="B46" s="111" t="s">
        <v>20</v>
      </c>
      <c r="C46" s="112" t="s">
        <v>5</v>
      </c>
      <c r="D46" s="118"/>
      <c r="E46" s="123"/>
      <c r="F46" s="123"/>
      <c r="G46" s="123">
        <f t="shared" si="9"/>
        <v>0</v>
      </c>
      <c r="H46" s="123"/>
      <c r="I46" s="123"/>
      <c r="J46" s="123"/>
      <c r="K46" s="123"/>
      <c r="L46" s="123"/>
    </row>
    <row r="47" spans="1:14" ht="15.75">
      <c r="A47" s="128" t="s">
        <v>21</v>
      </c>
      <c r="B47" s="107" t="s">
        <v>22</v>
      </c>
      <c r="C47" s="108" t="s">
        <v>5</v>
      </c>
      <c r="D47" s="135">
        <f t="shared" ref="D47:L47" si="10">D48+D80</f>
        <v>13133.999999999998</v>
      </c>
      <c r="E47" s="141">
        <f t="shared" si="10"/>
        <v>14568.033894999997</v>
      </c>
      <c r="F47" s="141">
        <f t="shared" si="10"/>
        <v>14783.111054999999</v>
      </c>
      <c r="G47" s="141">
        <f t="shared" si="10"/>
        <v>93610.265472681436</v>
      </c>
      <c r="H47" s="141">
        <f t="shared" si="10"/>
        <v>17122.51808980207</v>
      </c>
      <c r="I47" s="141">
        <f t="shared" si="10"/>
        <v>17779.080493073063</v>
      </c>
      <c r="J47" s="141">
        <f t="shared" si="10"/>
        <v>18766.710056447442</v>
      </c>
      <c r="K47" s="141">
        <f t="shared" si="10"/>
        <v>19619.414347707192</v>
      </c>
      <c r="L47" s="141">
        <f t="shared" si="10"/>
        <v>20322.542485651662</v>
      </c>
    </row>
    <row r="48" spans="1:14" ht="31.5">
      <c r="A48" s="128" t="s">
        <v>81</v>
      </c>
      <c r="B48" s="143" t="s">
        <v>164</v>
      </c>
      <c r="C48" s="108" t="s">
        <v>5</v>
      </c>
      <c r="D48" s="135">
        <f>D50+D51+D52+D53+D54</f>
        <v>13133.999999999998</v>
      </c>
      <c r="E48" s="141">
        <f t="shared" ref="E48:L48" si="11">E50+E51+E52+E53+E54</f>
        <v>14568.033894999997</v>
      </c>
      <c r="F48" s="141">
        <f t="shared" si="11"/>
        <v>14783.111054999999</v>
      </c>
      <c r="G48" s="141">
        <f t="shared" si="11"/>
        <v>93610.265472681436</v>
      </c>
      <c r="H48" s="141">
        <f t="shared" si="11"/>
        <v>17122.51808980207</v>
      </c>
      <c r="I48" s="141">
        <f t="shared" si="11"/>
        <v>17779.080493073063</v>
      </c>
      <c r="J48" s="141">
        <f t="shared" si="11"/>
        <v>18766.710056447442</v>
      </c>
      <c r="K48" s="141">
        <f t="shared" si="11"/>
        <v>19619.414347707192</v>
      </c>
      <c r="L48" s="141">
        <f t="shared" si="11"/>
        <v>20322.542485651662</v>
      </c>
    </row>
    <row r="49" spans="1:13" ht="15.75">
      <c r="A49" s="131"/>
      <c r="B49" s="111" t="s">
        <v>4</v>
      </c>
      <c r="C49" s="101"/>
      <c r="D49" s="132"/>
      <c r="E49" s="114"/>
      <c r="F49" s="114"/>
      <c r="G49" s="114"/>
      <c r="H49" s="114"/>
      <c r="I49" s="114"/>
      <c r="J49" s="114"/>
      <c r="K49" s="114"/>
      <c r="L49" s="114"/>
    </row>
    <row r="50" spans="1:13" ht="31.5">
      <c r="A50" s="122" t="s">
        <v>82</v>
      </c>
      <c r="B50" s="111" t="s">
        <v>24</v>
      </c>
      <c r="C50" s="112" t="s">
        <v>5</v>
      </c>
      <c r="D50" s="132">
        <v>9409.39</v>
      </c>
      <c r="E50" s="114">
        <v>9213.81</v>
      </c>
      <c r="F50" s="114">
        <v>9918.86</v>
      </c>
      <c r="G50" s="123">
        <f>H50+I50+J50+K50+L50</f>
        <v>49826.429837660769</v>
      </c>
      <c r="H50" s="123">
        <f>((851685/13/1000)*1.25*(13+2+3)*12)/2</f>
        <v>8844.4211538461532</v>
      </c>
      <c r="I50" s="114">
        <f>H50*1.07</f>
        <v>9463.5306346153848</v>
      </c>
      <c r="J50" s="114">
        <f>I50*1.06</f>
        <v>10031.342472692308</v>
      </c>
      <c r="K50" s="114">
        <f>J50*1.05</f>
        <v>10532.909596326923</v>
      </c>
      <c r="L50" s="114">
        <f>K50*1.04</f>
        <v>10954.225980180001</v>
      </c>
      <c r="M50" s="10"/>
    </row>
    <row r="51" spans="1:13" ht="15.75">
      <c r="A51" s="122" t="s">
        <v>83</v>
      </c>
      <c r="B51" s="111" t="s">
        <v>9</v>
      </c>
      <c r="C51" s="112" t="s">
        <v>5</v>
      </c>
      <c r="D51" s="132">
        <v>508.24</v>
      </c>
      <c r="E51" s="114">
        <v>567.39</v>
      </c>
      <c r="F51" s="114">
        <v>592.54999999999995</v>
      </c>
      <c r="G51" s="123">
        <f>H51+I51+J51+K51+L51</f>
        <v>2976.6173733983428</v>
      </c>
      <c r="H51" s="134">
        <f>(F51/F50)*H50</f>
        <v>528.36331541241009</v>
      </c>
      <c r="I51" s="123">
        <f>H51*1.07</f>
        <v>565.3487474912788</v>
      </c>
      <c r="J51" s="123">
        <f>I51*1.06</f>
        <v>599.26967234075551</v>
      </c>
      <c r="K51" s="123">
        <f>J51*1.05</f>
        <v>629.23315595779331</v>
      </c>
      <c r="L51" s="123">
        <f>K51*1.04</f>
        <v>654.4024821961051</v>
      </c>
    </row>
    <row r="52" spans="1:13" s="25" customFormat="1" ht="15.75">
      <c r="A52" s="144" t="s">
        <v>134</v>
      </c>
      <c r="B52" s="111" t="s">
        <v>122</v>
      </c>
      <c r="C52" s="112"/>
      <c r="D52" s="132">
        <v>564.72</v>
      </c>
      <c r="E52" s="114">
        <v>367.8</v>
      </c>
      <c r="F52" s="114">
        <v>406.58</v>
      </c>
      <c r="G52" s="123">
        <f>H52+I52+J52+K52+L52</f>
        <v>2042.4151407919976</v>
      </c>
      <c r="H52" s="134">
        <f>(F52/F50)*H50</f>
        <v>362.53810949350714</v>
      </c>
      <c r="I52" s="123">
        <f>H52*1.07</f>
        <v>387.91577715805266</v>
      </c>
      <c r="J52" s="123">
        <f>I52*1.06</f>
        <v>411.19072378753583</v>
      </c>
      <c r="K52" s="123">
        <f>J52*1.05</f>
        <v>431.75025997691262</v>
      </c>
      <c r="L52" s="123">
        <f>K52*1.04</f>
        <v>449.02027037598913</v>
      </c>
    </row>
    <row r="53" spans="1:13" s="19" customFormat="1" ht="15.75">
      <c r="A53" s="122" t="s">
        <v>84</v>
      </c>
      <c r="B53" s="111" t="s">
        <v>154</v>
      </c>
      <c r="C53" s="112"/>
      <c r="D53" s="118">
        <v>925</v>
      </c>
      <c r="E53" s="123">
        <f>[13]TDSheet!$I$43/1000</f>
        <v>164.21405999999999</v>
      </c>
      <c r="F53" s="127">
        <f>[14]TDSheet!$I$41/1000</f>
        <v>153.5615</v>
      </c>
      <c r="G53" s="123">
        <f>H53+I53+J53+K53+L53</f>
        <v>989.88438139521293</v>
      </c>
      <c r="H53" s="134">
        <f>E53*1.07</f>
        <v>175.70904419999999</v>
      </c>
      <c r="I53" s="123">
        <f>H53*1.07</f>
        <v>188.00867729399999</v>
      </c>
      <c r="J53" s="123">
        <f>I53*1.06</f>
        <v>199.28919793164002</v>
      </c>
      <c r="K53" s="123">
        <f>J53*1.05</f>
        <v>209.25365782822203</v>
      </c>
      <c r="L53" s="123">
        <f>K53*1.04</f>
        <v>217.62380414135092</v>
      </c>
    </row>
    <row r="54" spans="1:13" s="19" customFormat="1" ht="15.75">
      <c r="A54" s="122" t="s">
        <v>85</v>
      </c>
      <c r="B54" s="107" t="s">
        <v>155</v>
      </c>
      <c r="C54" s="108"/>
      <c r="D54" s="135">
        <f>D55+D56+D57+D58+D59+D60+D61+D62+D63+D64+D65+D66+D67+D68+D69+D70+D71+D72+D73+D74+D75+D76+D77+D78+D79</f>
        <v>1726.65</v>
      </c>
      <c r="E54" s="141">
        <f t="shared" ref="E54:L54" si="12">E55+E56+E57+E58+E59+E60+E61+E62+E63+E64+E65+E66+E67+E68+E69+E70+E71+E72+E73+E74+E75+E76+E77+E78+E79</f>
        <v>4254.8198349999993</v>
      </c>
      <c r="F54" s="141">
        <f t="shared" si="12"/>
        <v>3711.5595549999998</v>
      </c>
      <c r="G54" s="141">
        <f t="shared" si="12"/>
        <v>37774.918739435103</v>
      </c>
      <c r="H54" s="141">
        <f t="shared" si="12"/>
        <v>7211.4864668499986</v>
      </c>
      <c r="I54" s="141">
        <f t="shared" si="12"/>
        <v>7174.2766565143484</v>
      </c>
      <c r="J54" s="141">
        <f t="shared" si="12"/>
        <v>7525.6179896952026</v>
      </c>
      <c r="K54" s="141">
        <f t="shared" si="12"/>
        <v>7816.2676776173439</v>
      </c>
      <c r="L54" s="141">
        <f t="shared" si="12"/>
        <v>8047.269948758214</v>
      </c>
    </row>
    <row r="55" spans="1:13" s="19" customFormat="1" ht="15.75">
      <c r="A55" s="144" t="s">
        <v>165</v>
      </c>
      <c r="B55" s="111" t="s">
        <v>144</v>
      </c>
      <c r="C55" s="112"/>
      <c r="D55" s="132"/>
      <c r="E55" s="145">
        <v>2700</v>
      </c>
      <c r="F55" s="114"/>
      <c r="G55" s="123">
        <f t="shared" ref="G55:G61" si="13">H55+I55+J55+K55+L55</f>
        <v>15210.872280000001</v>
      </c>
      <c r="H55" s="123">
        <f>E55</f>
        <v>2700</v>
      </c>
      <c r="I55" s="123">
        <f>H55*1.07</f>
        <v>2889</v>
      </c>
      <c r="J55" s="114">
        <f>I55*1.06</f>
        <v>3062.34</v>
      </c>
      <c r="K55" s="123">
        <f>J55*1.05</f>
        <v>3215.4570000000003</v>
      </c>
      <c r="L55" s="123">
        <f>K55*1.04</f>
        <v>3344.0752800000005</v>
      </c>
    </row>
    <row r="56" spans="1:13" s="19" customFormat="1" ht="15.75">
      <c r="A56" s="144" t="s">
        <v>166</v>
      </c>
      <c r="B56" s="111" t="s">
        <v>147</v>
      </c>
      <c r="C56" s="112"/>
      <c r="D56" s="132"/>
      <c r="E56" s="145">
        <v>4.9000000000000004</v>
      </c>
      <c r="F56" s="145">
        <v>4.9000000000000004</v>
      </c>
      <c r="G56" s="123">
        <f t="shared" si="13"/>
        <v>29.53726050520001</v>
      </c>
      <c r="H56" s="142">
        <f>4.9*1.07</f>
        <v>5.2430000000000003</v>
      </c>
      <c r="I56" s="123">
        <f>H56*1.07</f>
        <v>5.6100100000000008</v>
      </c>
      <c r="J56" s="123">
        <f>I56*1.06</f>
        <v>5.9466106000000014</v>
      </c>
      <c r="K56" s="123">
        <f>J56*1.05</f>
        <v>6.2439411300000014</v>
      </c>
      <c r="L56" s="123">
        <f>K56*1.04</f>
        <v>6.4936987752000013</v>
      </c>
    </row>
    <row r="57" spans="1:13" s="19" customFormat="1" ht="15.75">
      <c r="A57" s="144" t="s">
        <v>167</v>
      </c>
      <c r="B57" s="111" t="s">
        <v>184</v>
      </c>
      <c r="C57" s="112"/>
      <c r="D57" s="132"/>
      <c r="E57" s="145">
        <v>102.6</v>
      </c>
      <c r="F57" s="145">
        <v>83.2</v>
      </c>
      <c r="G57" s="123">
        <f t="shared" si="13"/>
        <v>618.47406690480011</v>
      </c>
      <c r="H57" s="142">
        <f>E57*1.07</f>
        <v>109.782</v>
      </c>
      <c r="I57" s="123">
        <f>H57*1.07</f>
        <v>117.46674</v>
      </c>
      <c r="J57" s="123">
        <f>I57*1.06</f>
        <v>124.51474440000001</v>
      </c>
      <c r="K57" s="123">
        <f>J57*1.05</f>
        <v>130.74048162000003</v>
      </c>
      <c r="L57" s="123">
        <f>K57*1.04</f>
        <v>135.97010088480002</v>
      </c>
      <c r="M57" s="17"/>
    </row>
    <row r="58" spans="1:13" s="44" customFormat="1" ht="15.75">
      <c r="A58" s="144" t="s">
        <v>168</v>
      </c>
      <c r="B58" s="111" t="s">
        <v>185</v>
      </c>
      <c r="C58" s="112"/>
      <c r="D58" s="132"/>
      <c r="E58" s="114"/>
      <c r="F58" s="114"/>
      <c r="G58" s="123">
        <f t="shared" si="13"/>
        <v>0</v>
      </c>
      <c r="H58" s="114"/>
      <c r="I58" s="114"/>
      <c r="J58" s="114"/>
      <c r="K58" s="114"/>
      <c r="L58" s="114"/>
    </row>
    <row r="59" spans="1:13" s="19" customFormat="1" ht="15.75">
      <c r="A59" s="144" t="s">
        <v>169</v>
      </c>
      <c r="B59" s="111" t="s">
        <v>186</v>
      </c>
      <c r="C59" s="112"/>
      <c r="D59" s="132"/>
      <c r="E59" s="123">
        <f>[16]TDSheet!$F$92/1000/2</f>
        <v>0.40448000000000001</v>
      </c>
      <c r="F59" s="123">
        <f>[17]TDSheet!$F$118/1000/2</f>
        <v>199.99845499999998</v>
      </c>
      <c r="G59" s="123">
        <f t="shared" si="13"/>
        <v>1205.5931563209224</v>
      </c>
      <c r="H59" s="123">
        <f>F59*1.07</f>
        <v>213.99834684999999</v>
      </c>
      <c r="I59" s="123">
        <f>H59*1.07</f>
        <v>228.97823112949999</v>
      </c>
      <c r="J59" s="123">
        <f>I59*1.06</f>
        <v>242.71692499727001</v>
      </c>
      <c r="K59" s="123">
        <f>J59*1.05</f>
        <v>254.85277124713352</v>
      </c>
      <c r="L59" s="123">
        <f>K59*1.04</f>
        <v>265.04688209701885</v>
      </c>
    </row>
    <row r="60" spans="1:13" ht="15.75">
      <c r="A60" s="144" t="s">
        <v>170</v>
      </c>
      <c r="B60" s="111" t="s">
        <v>25</v>
      </c>
      <c r="C60" s="101"/>
      <c r="D60" s="118">
        <v>130</v>
      </c>
      <c r="E60" s="142">
        <v>100</v>
      </c>
      <c r="F60" s="142">
        <v>144.30000000000001</v>
      </c>
      <c r="G60" s="123">
        <f t="shared" si="13"/>
        <v>869.84218181640028</v>
      </c>
      <c r="H60" s="142">
        <f>F60*1.07</f>
        <v>154.40100000000001</v>
      </c>
      <c r="I60" s="123">
        <f>H60*1.07</f>
        <v>165.20907000000003</v>
      </c>
      <c r="J60" s="123">
        <f>I60*1.06</f>
        <v>175.12161420000004</v>
      </c>
      <c r="K60" s="123">
        <f>J60*1.05</f>
        <v>183.87769491000006</v>
      </c>
      <c r="L60" s="123">
        <f>K60*1.04</f>
        <v>191.23280270640007</v>
      </c>
    </row>
    <row r="61" spans="1:13" ht="15.75">
      <c r="A61" s="144" t="s">
        <v>171</v>
      </c>
      <c r="B61" s="111" t="s">
        <v>19</v>
      </c>
      <c r="C61" s="101"/>
      <c r="D61" s="118">
        <v>780</v>
      </c>
      <c r="E61" s="142">
        <v>100</v>
      </c>
      <c r="F61" s="142">
        <v>126.4</v>
      </c>
      <c r="G61" s="123">
        <f t="shared" si="13"/>
        <v>761.94076078720013</v>
      </c>
      <c r="H61" s="142">
        <f>F61*1.07</f>
        <v>135.24800000000002</v>
      </c>
      <c r="I61" s="123">
        <f>H61*1.07</f>
        <v>144.71536000000003</v>
      </c>
      <c r="J61" s="123">
        <f>I61*1.06</f>
        <v>153.39828160000005</v>
      </c>
      <c r="K61" s="123">
        <f>J61*1.05</f>
        <v>161.06819568000006</v>
      </c>
      <c r="L61" s="123">
        <f>K61*1.04</f>
        <v>167.51092350720006</v>
      </c>
    </row>
    <row r="62" spans="1:13" ht="15.75">
      <c r="A62" s="144" t="s">
        <v>172</v>
      </c>
      <c r="B62" s="111" t="s">
        <v>26</v>
      </c>
      <c r="C62" s="112" t="s">
        <v>5</v>
      </c>
      <c r="D62" s="118"/>
      <c r="E62" s="123">
        <f>[18]TDSheet!$E$22/2/1000</f>
        <v>621.11535500000002</v>
      </c>
      <c r="F62" s="123">
        <f>[2]TDSheet!$H$138/2/1000</f>
        <v>628.54509999999993</v>
      </c>
      <c r="G62" s="123">
        <f>H62+I62+J62+K62+L62</f>
        <v>1896.5142814962112</v>
      </c>
      <c r="H62" s="123">
        <f>(38360+1130+0)*12/1000</f>
        <v>473.88</v>
      </c>
      <c r="I62" s="123">
        <f>(H62/(7669.3+135.68)%)*((7669.3+135.68)-H62)%</f>
        <v>445.10833698484817</v>
      </c>
      <c r="J62" s="123">
        <f>(I62/(7669.3+135.68)%)*((7669.3+135.68)-I62-H62)%</f>
        <v>392.69957099392985</v>
      </c>
      <c r="K62" s="123">
        <f>(J62/(7669.3+135.68)%)*((7669.3+135.68)-J62-I62-H62)%</f>
        <v>326.70333798100836</v>
      </c>
      <c r="L62" s="123">
        <f>(K62/(7669.3+135.68)%)*((7669.3+135.68)-K62-J62-I62-H62)%</f>
        <v>258.12303553642482</v>
      </c>
      <c r="M62" s="12"/>
    </row>
    <row r="63" spans="1:13" ht="47.25">
      <c r="A63" s="144" t="s">
        <v>173</v>
      </c>
      <c r="B63" s="111" t="s">
        <v>27</v>
      </c>
      <c r="C63" s="112" t="s">
        <v>5</v>
      </c>
      <c r="D63" s="118"/>
      <c r="E63" s="123"/>
      <c r="F63" s="123"/>
      <c r="G63" s="123">
        <f t="shared" ref="G63:G79" si="14">H63+I63+J63+K63+L63</f>
        <v>0</v>
      </c>
      <c r="H63" s="123"/>
      <c r="I63" s="123"/>
      <c r="J63" s="123"/>
      <c r="K63" s="123"/>
      <c r="L63" s="123"/>
    </row>
    <row r="64" spans="1:13" s="19" customFormat="1" ht="15.75">
      <c r="A64" s="144" t="s">
        <v>174</v>
      </c>
      <c r="B64" s="140" t="s">
        <v>28</v>
      </c>
      <c r="C64" s="112" t="s">
        <v>5</v>
      </c>
      <c r="D64" s="118">
        <v>48.15</v>
      </c>
      <c r="E64" s="123"/>
      <c r="F64" s="123"/>
      <c r="G64" s="123">
        <f t="shared" si="14"/>
        <v>676.03876800000012</v>
      </c>
      <c r="H64" s="123">
        <f>(20*12)/2</f>
        <v>120</v>
      </c>
      <c r="I64" s="123">
        <f>H64*1.07</f>
        <v>128.4</v>
      </c>
      <c r="J64" s="123">
        <f>I64*1.06</f>
        <v>136.10400000000001</v>
      </c>
      <c r="K64" s="123">
        <f>J64*1.05</f>
        <v>142.90920000000003</v>
      </c>
      <c r="L64" s="123">
        <f>K64*1.04</f>
        <v>148.62556800000004</v>
      </c>
    </row>
    <row r="65" spans="1:12" ht="15.75">
      <c r="A65" s="144" t="s">
        <v>175</v>
      </c>
      <c r="B65" s="111" t="s">
        <v>29</v>
      </c>
      <c r="C65" s="112" t="s">
        <v>5</v>
      </c>
      <c r="D65" s="118"/>
      <c r="E65" s="123"/>
      <c r="F65" s="142"/>
      <c r="G65" s="123">
        <f t="shared" si="14"/>
        <v>0</v>
      </c>
      <c r="H65" s="123"/>
      <c r="I65" s="123"/>
      <c r="J65" s="123"/>
      <c r="K65" s="123"/>
      <c r="L65" s="123"/>
    </row>
    <row r="66" spans="1:12" ht="15.75">
      <c r="A66" s="144" t="s">
        <v>176</v>
      </c>
      <c r="B66" s="111" t="s">
        <v>30</v>
      </c>
      <c r="C66" s="112" t="s">
        <v>5</v>
      </c>
      <c r="D66" s="118"/>
      <c r="E66" s="142">
        <v>400</v>
      </c>
      <c r="F66" s="142">
        <v>500</v>
      </c>
      <c r="G66" s="123">
        <f t="shared" si="14"/>
        <v>3014.0061740000001</v>
      </c>
      <c r="H66" s="142">
        <f>F66*1.07</f>
        <v>535</v>
      </c>
      <c r="I66" s="123">
        <f>H66*1.07</f>
        <v>572.45000000000005</v>
      </c>
      <c r="J66" s="123">
        <f>I66*1.06</f>
        <v>606.79700000000003</v>
      </c>
      <c r="K66" s="123">
        <f>J66*1.05</f>
        <v>637.13685000000009</v>
      </c>
      <c r="L66" s="123">
        <f>K66*1.04</f>
        <v>662.62232400000016</v>
      </c>
    </row>
    <row r="67" spans="1:12" ht="31.5">
      <c r="A67" s="144" t="s">
        <v>177</v>
      </c>
      <c r="B67" s="111" t="s">
        <v>31</v>
      </c>
      <c r="C67" s="112" t="s">
        <v>5</v>
      </c>
      <c r="D67" s="118"/>
      <c r="E67" s="123"/>
      <c r="F67" s="142">
        <v>44.6</v>
      </c>
      <c r="G67" s="123">
        <f t="shared" si="14"/>
        <v>268.84935072080003</v>
      </c>
      <c r="H67" s="142">
        <f>F67*1.07</f>
        <v>47.722000000000001</v>
      </c>
      <c r="I67" s="123">
        <f>H67*1.07</f>
        <v>51.062540000000006</v>
      </c>
      <c r="J67" s="123">
        <f>I67*1.06</f>
        <v>54.126292400000011</v>
      </c>
      <c r="K67" s="123">
        <f>J67*1.05</f>
        <v>56.832607020000012</v>
      </c>
      <c r="L67" s="123">
        <f>K67*1.04</f>
        <v>59.105911300800017</v>
      </c>
    </row>
    <row r="68" spans="1:12" ht="15.75">
      <c r="A68" s="144" t="s">
        <v>178</v>
      </c>
      <c r="B68" s="111" t="s">
        <v>18</v>
      </c>
      <c r="C68" s="112" t="s">
        <v>5</v>
      </c>
      <c r="D68" s="118"/>
      <c r="E68" s="123"/>
      <c r="F68" s="123"/>
      <c r="G68" s="123">
        <f t="shared" si="14"/>
        <v>0</v>
      </c>
      <c r="H68" s="123"/>
      <c r="I68" s="123"/>
      <c r="J68" s="123"/>
      <c r="K68" s="123"/>
      <c r="L68" s="123"/>
    </row>
    <row r="69" spans="1:12" s="89" customFormat="1" ht="31.5">
      <c r="A69" s="144" t="s">
        <v>179</v>
      </c>
      <c r="B69" s="111" t="s">
        <v>32</v>
      </c>
      <c r="C69" s="112" t="s">
        <v>5</v>
      </c>
      <c r="D69" s="118">
        <v>0</v>
      </c>
      <c r="E69" s="123"/>
      <c r="F69" s="146">
        <f>[19]TDSheet!$F$11/1000/2</f>
        <v>1696.0160000000001</v>
      </c>
      <c r="G69" s="134">
        <f t="shared" si="14"/>
        <v>10223.60539040557</v>
      </c>
      <c r="H69" s="146">
        <f>F69*1.07</f>
        <v>1814.7371200000002</v>
      </c>
      <c r="I69" s="123">
        <f>H69*1.07</f>
        <v>1941.7687184000004</v>
      </c>
      <c r="J69" s="123">
        <f>I69*1.06</f>
        <v>2058.2748415040005</v>
      </c>
      <c r="K69" s="123">
        <f>J69*1.05</f>
        <v>2161.1885835792004</v>
      </c>
      <c r="L69" s="123">
        <f>K69*1.04</f>
        <v>2247.6361269223685</v>
      </c>
    </row>
    <row r="70" spans="1:12" ht="15.75">
      <c r="A70" s="144" t="s">
        <v>180</v>
      </c>
      <c r="B70" s="111" t="s">
        <v>33</v>
      </c>
      <c r="C70" s="112" t="s">
        <v>5</v>
      </c>
      <c r="D70" s="118"/>
      <c r="E70" s="123"/>
      <c r="F70" s="123"/>
      <c r="G70" s="123">
        <f t="shared" si="14"/>
        <v>0</v>
      </c>
      <c r="H70" s="123"/>
      <c r="I70" s="123"/>
      <c r="J70" s="123"/>
      <c r="K70" s="123"/>
      <c r="L70" s="123"/>
    </row>
    <row r="71" spans="1:12" ht="31.5">
      <c r="A71" s="144" t="s">
        <v>181</v>
      </c>
      <c r="B71" s="111" t="s">
        <v>34</v>
      </c>
      <c r="C71" s="112" t="s">
        <v>5</v>
      </c>
      <c r="D71" s="118"/>
      <c r="E71" s="123"/>
      <c r="F71" s="123"/>
      <c r="G71" s="123">
        <f t="shared" si="14"/>
        <v>0</v>
      </c>
      <c r="H71" s="123"/>
      <c r="I71" s="123"/>
      <c r="J71" s="123"/>
      <c r="K71" s="123"/>
      <c r="L71" s="123"/>
    </row>
    <row r="72" spans="1:12" ht="15.75">
      <c r="A72" s="144" t="s">
        <v>182</v>
      </c>
      <c r="B72" s="111" t="s">
        <v>35</v>
      </c>
      <c r="C72" s="112" t="s">
        <v>5</v>
      </c>
      <c r="D72" s="118"/>
      <c r="E72" s="123"/>
      <c r="F72" s="123"/>
      <c r="G72" s="123">
        <f t="shared" si="14"/>
        <v>0</v>
      </c>
      <c r="H72" s="123"/>
      <c r="I72" s="123"/>
      <c r="J72" s="123"/>
      <c r="K72" s="123"/>
      <c r="L72" s="123"/>
    </row>
    <row r="73" spans="1:12" ht="15.75">
      <c r="A73" s="144" t="s">
        <v>183</v>
      </c>
      <c r="B73" s="111" t="s">
        <v>196</v>
      </c>
      <c r="C73" s="112" t="s">
        <v>5</v>
      </c>
      <c r="D73" s="118">
        <v>200</v>
      </c>
      <c r="E73" s="123"/>
      <c r="F73" s="142">
        <f>62.9+198</f>
        <v>260.89999999999998</v>
      </c>
      <c r="G73" s="123">
        <f t="shared" si="14"/>
        <v>1501.6839999999997</v>
      </c>
      <c r="H73" s="142">
        <f>(198*3)*1.07</f>
        <v>635.58000000000004</v>
      </c>
      <c r="I73" s="123">
        <v>200</v>
      </c>
      <c r="J73" s="123">
        <f>I73*1.06</f>
        <v>212</v>
      </c>
      <c r="K73" s="123">
        <f>J73*1.05</f>
        <v>222.60000000000002</v>
      </c>
      <c r="L73" s="123">
        <f>K73*1.04</f>
        <v>231.50400000000002</v>
      </c>
    </row>
    <row r="74" spans="1:12" ht="15.75">
      <c r="A74" s="144" t="s">
        <v>187</v>
      </c>
      <c r="B74" s="111" t="s">
        <v>130</v>
      </c>
      <c r="C74" s="112" t="s">
        <v>5</v>
      </c>
      <c r="D74" s="118">
        <v>147</v>
      </c>
      <c r="E74" s="123"/>
      <c r="F74" s="142">
        <v>22.7</v>
      </c>
      <c r="G74" s="123">
        <f t="shared" si="14"/>
        <v>136.83588029960003</v>
      </c>
      <c r="H74" s="142">
        <f>F74*1.07</f>
        <v>24.289000000000001</v>
      </c>
      <c r="I74" s="142">
        <f>H74*1.07</f>
        <v>25.989230000000003</v>
      </c>
      <c r="J74" s="142">
        <f>I74*1.06</f>
        <v>27.548583800000003</v>
      </c>
      <c r="K74" s="142">
        <f>J74*1.05</f>
        <v>28.926012990000004</v>
      </c>
      <c r="L74" s="142">
        <f>K74*1.04</f>
        <v>30.083053509600006</v>
      </c>
    </row>
    <row r="75" spans="1:12" ht="15.75">
      <c r="A75" s="144" t="s">
        <v>188</v>
      </c>
      <c r="B75" s="111" t="s">
        <v>133</v>
      </c>
      <c r="C75" s="112" t="s">
        <v>5</v>
      </c>
      <c r="D75" s="118">
        <v>260</v>
      </c>
      <c r="E75" s="123"/>
      <c r="F75" s="123"/>
      <c r="G75" s="123">
        <f t="shared" si="14"/>
        <v>0</v>
      </c>
      <c r="H75" s="123"/>
      <c r="I75" s="123"/>
      <c r="J75" s="123"/>
      <c r="K75" s="123"/>
      <c r="L75" s="123"/>
    </row>
    <row r="76" spans="1:12" ht="15.75">
      <c r="A76" s="144" t="s">
        <v>189</v>
      </c>
      <c r="B76" s="111" t="s">
        <v>194</v>
      </c>
      <c r="C76" s="112"/>
      <c r="D76" s="118"/>
      <c r="E76" s="142">
        <v>100</v>
      </c>
      <c r="F76" s="123"/>
      <c r="G76" s="123">
        <f t="shared" si="14"/>
        <v>602.80123480000009</v>
      </c>
      <c r="H76" s="142">
        <f>E76*1.07</f>
        <v>107</v>
      </c>
      <c r="I76" s="123">
        <f>H76*1.07</f>
        <v>114.49000000000001</v>
      </c>
      <c r="J76" s="123">
        <f>I76*1.06</f>
        <v>121.35940000000002</v>
      </c>
      <c r="K76" s="123">
        <f>J76*1.05</f>
        <v>127.42737000000002</v>
      </c>
      <c r="L76" s="123">
        <f>K76*1.04</f>
        <v>132.52446480000003</v>
      </c>
    </row>
    <row r="77" spans="1:12" ht="15.75">
      <c r="A77" s="144" t="s">
        <v>190</v>
      </c>
      <c r="B77" s="111" t="s">
        <v>138</v>
      </c>
      <c r="C77" s="112"/>
      <c r="D77" s="118"/>
      <c r="E77" s="142">
        <v>34.4</v>
      </c>
      <c r="F77" s="123"/>
      <c r="G77" s="123">
        <f t="shared" si="14"/>
        <v>207.36362477120002</v>
      </c>
      <c r="H77" s="142">
        <f>E77*1.07</f>
        <v>36.808</v>
      </c>
      <c r="I77" s="123">
        <f>H77*1.07</f>
        <v>39.38456</v>
      </c>
      <c r="J77" s="123">
        <f>I77*1.06</f>
        <v>41.7476336</v>
      </c>
      <c r="K77" s="123">
        <f>J77*1.05</f>
        <v>43.83501528</v>
      </c>
      <c r="L77" s="123">
        <f>K77*1.04</f>
        <v>45.5884158912</v>
      </c>
    </row>
    <row r="78" spans="1:12" ht="15.75">
      <c r="A78" s="144" t="s">
        <v>192</v>
      </c>
      <c r="B78" s="111" t="s">
        <v>139</v>
      </c>
      <c r="C78" s="112"/>
      <c r="D78" s="118"/>
      <c r="E78" s="142">
        <v>91.4</v>
      </c>
      <c r="F78" s="123"/>
      <c r="G78" s="123">
        <f t="shared" si="14"/>
        <v>550.96032860720015</v>
      </c>
      <c r="H78" s="142">
        <f>E78*1.07</f>
        <v>97.798000000000016</v>
      </c>
      <c r="I78" s="123">
        <f>H78*1.07</f>
        <v>104.64386000000002</v>
      </c>
      <c r="J78" s="123">
        <f>I78*1.06</f>
        <v>110.92249160000003</v>
      </c>
      <c r="K78" s="123">
        <f>J78*1.05</f>
        <v>116.46861618000004</v>
      </c>
      <c r="L78" s="123">
        <f>K78*1.04</f>
        <v>121.12736082720005</v>
      </c>
    </row>
    <row r="79" spans="1:12" ht="31.5">
      <c r="A79" s="144" t="s">
        <v>193</v>
      </c>
      <c r="B79" s="111" t="s">
        <v>36</v>
      </c>
      <c r="C79" s="112" t="s">
        <v>5</v>
      </c>
      <c r="D79" s="118">
        <v>161.5</v>
      </c>
      <c r="E79" s="123"/>
      <c r="F79" s="123"/>
      <c r="G79" s="123">
        <f t="shared" si="14"/>
        <v>0</v>
      </c>
      <c r="H79" s="123"/>
      <c r="I79" s="123"/>
      <c r="J79" s="123"/>
      <c r="K79" s="123"/>
      <c r="L79" s="123"/>
    </row>
    <row r="80" spans="1:12" ht="15.75">
      <c r="A80" s="128" t="s">
        <v>86</v>
      </c>
      <c r="B80" s="147" t="s">
        <v>37</v>
      </c>
      <c r="C80" s="108" t="s">
        <v>5</v>
      </c>
      <c r="D80" s="148"/>
      <c r="E80" s="149"/>
      <c r="F80" s="149"/>
      <c r="G80" s="149">
        <f>H80+I80+J80+K80+L80</f>
        <v>0</v>
      </c>
      <c r="H80" s="149"/>
      <c r="I80" s="149"/>
      <c r="J80" s="149"/>
      <c r="K80" s="149"/>
      <c r="L80" s="149"/>
    </row>
    <row r="81" spans="1:13" ht="15.75">
      <c r="A81" s="128" t="s">
        <v>38</v>
      </c>
      <c r="B81" s="107" t="s">
        <v>156</v>
      </c>
      <c r="C81" s="108" t="s">
        <v>5</v>
      </c>
      <c r="D81" s="135">
        <f>D47+D14-31</f>
        <v>38207.219999999994</v>
      </c>
      <c r="E81" s="141">
        <f t="shared" ref="E81:L81" si="15">E47+E14</f>
        <v>36078.603544032158</v>
      </c>
      <c r="F81" s="141">
        <f t="shared" si="15"/>
        <v>42440.416301899015</v>
      </c>
      <c r="G81" s="141">
        <f t="shared" si="15"/>
        <v>385955.45292262104</v>
      </c>
      <c r="H81" s="141">
        <f t="shared" si="15"/>
        <v>68998.361310193766</v>
      </c>
      <c r="I81" s="141">
        <f t="shared" si="15"/>
        <v>73369.438155994067</v>
      </c>
      <c r="J81" s="141">
        <f t="shared" si="15"/>
        <v>78200.448452072917</v>
      </c>
      <c r="K81" s="141">
        <f t="shared" si="15"/>
        <v>82562.798988161114</v>
      </c>
      <c r="L81" s="141">
        <f t="shared" si="15"/>
        <v>87389.142011152391</v>
      </c>
    </row>
    <row r="82" spans="1:13" ht="15.75">
      <c r="A82" s="128" t="s">
        <v>40</v>
      </c>
      <c r="B82" s="107" t="s">
        <v>197</v>
      </c>
      <c r="C82" s="108" t="s">
        <v>5</v>
      </c>
      <c r="D82" s="132"/>
      <c r="E82" s="114"/>
      <c r="F82" s="114"/>
      <c r="G82" s="114"/>
      <c r="H82" s="114">
        <v>12723.06</v>
      </c>
      <c r="I82" s="114">
        <v>12955.95</v>
      </c>
      <c r="J82" s="114">
        <v>13183.83</v>
      </c>
      <c r="K82" s="114">
        <v>13414.75</v>
      </c>
      <c r="L82" s="114">
        <v>13659.837</v>
      </c>
    </row>
    <row r="83" spans="1:13" ht="15.75">
      <c r="A83" s="128" t="s">
        <v>41</v>
      </c>
      <c r="B83" s="143" t="s">
        <v>198</v>
      </c>
      <c r="C83" s="108" t="s">
        <v>5</v>
      </c>
      <c r="D83" s="150"/>
      <c r="E83" s="151"/>
      <c r="F83" s="152"/>
      <c r="G83" s="151"/>
      <c r="H83" s="153">
        <v>314029.64</v>
      </c>
      <c r="I83" s="153">
        <v>324053.32</v>
      </c>
      <c r="J83" s="151">
        <v>333506.09000000003</v>
      </c>
      <c r="K83" s="151">
        <v>342394.65</v>
      </c>
      <c r="L83" s="151">
        <v>350779.4</v>
      </c>
    </row>
    <row r="84" spans="1:13" ht="15.75">
      <c r="A84" s="128" t="s">
        <v>43</v>
      </c>
      <c r="B84" s="143" t="s">
        <v>42</v>
      </c>
      <c r="C84" s="108"/>
      <c r="D84" s="118">
        <f>D81</f>
        <v>38207.219999999994</v>
      </c>
      <c r="E84" s="123">
        <f>E81</f>
        <v>36078.603544032158</v>
      </c>
      <c r="F84" s="123">
        <f>F81</f>
        <v>42440.416301899015</v>
      </c>
      <c r="G84" s="114"/>
      <c r="H84" s="154">
        <f>H81+H82</f>
        <v>81721.421310193764</v>
      </c>
      <c r="I84" s="154">
        <f>I81+I82</f>
        <v>86325.388155994064</v>
      </c>
      <c r="J84" s="154">
        <f>J81+J82</f>
        <v>91384.278452072918</v>
      </c>
      <c r="K84" s="154">
        <f>K81+K82</f>
        <v>95977.548988161114</v>
      </c>
      <c r="L84" s="154">
        <f>L81+L82</f>
        <v>101048.97901115239</v>
      </c>
    </row>
    <row r="85" spans="1:13" ht="18.75">
      <c r="A85" s="369" t="s">
        <v>45</v>
      </c>
      <c r="B85" s="373" t="s">
        <v>44</v>
      </c>
      <c r="C85" s="108" t="s">
        <v>100</v>
      </c>
      <c r="D85" s="129">
        <v>66.94</v>
      </c>
      <c r="E85" s="155">
        <v>49.53</v>
      </c>
      <c r="F85" s="134">
        <f>57.35+[7]октябрь!$E$17+[7]ноябрь!$E$17+[7]декабрь!$E$17</f>
        <v>68.003800000000012</v>
      </c>
      <c r="G85" s="136">
        <f>H85+I85+J85+K85+L85</f>
        <v>578.62</v>
      </c>
      <c r="H85" s="136">
        <v>101.06</v>
      </c>
      <c r="I85" s="136">
        <v>106.2</v>
      </c>
      <c r="J85" s="136">
        <v>117.8</v>
      </c>
      <c r="K85" s="136">
        <v>123.69</v>
      </c>
      <c r="L85" s="136">
        <v>129.87</v>
      </c>
    </row>
    <row r="86" spans="1:13" ht="31.5">
      <c r="A86" s="369"/>
      <c r="B86" s="373"/>
      <c r="C86" s="108" t="s">
        <v>2</v>
      </c>
      <c r="D86" s="132">
        <v>38207.760000000002</v>
      </c>
      <c r="E86" s="114">
        <f>E85*D89</f>
        <v>31922.084999999999</v>
      </c>
      <c r="F86" s="114">
        <f>F85*D89</f>
        <v>43828.449100000005</v>
      </c>
      <c r="G86" s="114"/>
      <c r="H86" s="123">
        <f>H85*H89</f>
        <v>81721.421310193764</v>
      </c>
      <c r="I86" s="123">
        <f>I85*I89</f>
        <v>86325.388155994064</v>
      </c>
      <c r="J86" s="123">
        <f>J85*J89</f>
        <v>91384.278452072918</v>
      </c>
      <c r="K86" s="123">
        <f>K85*K89</f>
        <v>95977.548988161114</v>
      </c>
      <c r="L86" s="123">
        <f>L85*L89</f>
        <v>101048.97901115239</v>
      </c>
    </row>
    <row r="87" spans="1:13" ht="15.75">
      <c r="A87" s="369" t="s">
        <v>47</v>
      </c>
      <c r="B87" s="370" t="s">
        <v>191</v>
      </c>
      <c r="C87" s="108" t="s">
        <v>46</v>
      </c>
      <c r="D87" s="156">
        <v>3.2</v>
      </c>
      <c r="E87" s="114">
        <v>3.4</v>
      </c>
      <c r="F87" s="114">
        <v>3.4</v>
      </c>
      <c r="G87" s="114"/>
      <c r="H87" s="123">
        <v>5</v>
      </c>
      <c r="I87" s="123">
        <v>5</v>
      </c>
      <c r="J87" s="123">
        <v>5</v>
      </c>
      <c r="K87" s="123">
        <v>5</v>
      </c>
      <c r="L87" s="123">
        <v>5</v>
      </c>
      <c r="M87" s="27"/>
    </row>
    <row r="88" spans="1:13" ht="18.75">
      <c r="A88" s="369"/>
      <c r="B88" s="370"/>
      <c r="C88" s="108" t="s">
        <v>100</v>
      </c>
      <c r="D88" s="118">
        <f>D85*D87%</f>
        <v>2.14208</v>
      </c>
      <c r="E88" s="119">
        <f>(E85*1.034)*E87%</f>
        <v>1.7412766800000004</v>
      </c>
      <c r="F88" s="119">
        <f>(F85*1.034)*F87%</f>
        <v>2.3907415928000004</v>
      </c>
      <c r="G88" s="114"/>
      <c r="H88" s="123">
        <f>H85*H87%</f>
        <v>5.0530000000000008</v>
      </c>
      <c r="I88" s="123">
        <f>I85*I87%</f>
        <v>5.3100000000000005</v>
      </c>
      <c r="J88" s="123">
        <f>J85*J87%</f>
        <v>5.8900000000000006</v>
      </c>
      <c r="K88" s="123">
        <f>K85*K87%</f>
        <v>6.1844999999999999</v>
      </c>
      <c r="L88" s="123">
        <f>L85*L87%</f>
        <v>6.4935000000000009</v>
      </c>
    </row>
    <row r="89" spans="1:13" ht="34.5">
      <c r="A89" s="128" t="s">
        <v>157</v>
      </c>
      <c r="B89" s="157" t="s">
        <v>48</v>
      </c>
      <c r="C89" s="108" t="s">
        <v>101</v>
      </c>
      <c r="D89" s="158">
        <v>644.5</v>
      </c>
      <c r="E89" s="158">
        <v>644.5</v>
      </c>
      <c r="F89" s="158">
        <v>644.5</v>
      </c>
      <c r="G89" s="123">
        <f>(H89+I89+J89+K89+L89)/5</f>
        <v>790.25750693110672</v>
      </c>
      <c r="H89" s="123">
        <f>H84/H85</f>
        <v>808.64260152576446</v>
      </c>
      <c r="I89" s="123">
        <f>I84/I85</f>
        <v>812.85676229749583</v>
      </c>
      <c r="J89" s="123">
        <f>J84/J85</f>
        <v>775.75788159654428</v>
      </c>
      <c r="K89" s="123">
        <f>K84/K85</f>
        <v>775.95237277193883</v>
      </c>
      <c r="L89" s="123">
        <f>L84/L85</f>
        <v>778.07791646378985</v>
      </c>
    </row>
    <row r="90" spans="1:13" ht="15.75">
      <c r="A90" s="131"/>
      <c r="B90" s="111" t="s">
        <v>49</v>
      </c>
      <c r="C90" s="101"/>
      <c r="D90" s="159"/>
      <c r="E90" s="114">
        <v>744.14</v>
      </c>
      <c r="F90" s="114">
        <v>570.78</v>
      </c>
      <c r="G90" s="114"/>
      <c r="H90" s="114"/>
      <c r="I90" s="114"/>
      <c r="J90" s="114"/>
      <c r="K90" s="114"/>
      <c r="L90" s="114"/>
    </row>
    <row r="91" spans="1:13" ht="31.5">
      <c r="A91" s="122" t="s">
        <v>87</v>
      </c>
      <c r="B91" s="111" t="s">
        <v>158</v>
      </c>
      <c r="C91" s="112" t="s">
        <v>51</v>
      </c>
      <c r="D91" s="159"/>
      <c r="E91" s="114"/>
      <c r="F91" s="114"/>
      <c r="G91" s="114"/>
      <c r="H91" s="114">
        <f>H93+H94</f>
        <v>34</v>
      </c>
      <c r="I91" s="114">
        <f>I93+I94</f>
        <v>34</v>
      </c>
      <c r="J91" s="114">
        <f>J93+J94</f>
        <v>34</v>
      </c>
      <c r="K91" s="114">
        <f>K93+K94</f>
        <v>34</v>
      </c>
      <c r="L91" s="114">
        <f>L93+L94</f>
        <v>34</v>
      </c>
    </row>
    <row r="92" spans="1:13" ht="15.75">
      <c r="A92" s="131"/>
      <c r="B92" s="111" t="s">
        <v>4</v>
      </c>
      <c r="C92" s="101"/>
      <c r="D92" s="159"/>
      <c r="E92" s="114"/>
      <c r="F92" s="114"/>
      <c r="G92" s="114"/>
      <c r="H92" s="114"/>
      <c r="I92" s="114"/>
      <c r="J92" s="114"/>
      <c r="K92" s="114"/>
      <c r="L92" s="114"/>
    </row>
    <row r="93" spans="1:13" ht="15.75">
      <c r="A93" s="122" t="s">
        <v>88</v>
      </c>
      <c r="B93" s="111" t="s">
        <v>159</v>
      </c>
      <c r="C93" s="112" t="s">
        <v>5</v>
      </c>
      <c r="D93" s="159"/>
      <c r="E93" s="114"/>
      <c r="F93" s="114"/>
      <c r="G93" s="114"/>
      <c r="H93" s="114">
        <v>25</v>
      </c>
      <c r="I93" s="114">
        <v>25</v>
      </c>
      <c r="J93" s="114">
        <v>25</v>
      </c>
      <c r="K93" s="114">
        <v>25</v>
      </c>
      <c r="L93" s="114">
        <v>25</v>
      </c>
    </row>
    <row r="94" spans="1:13" ht="15.75">
      <c r="A94" s="122" t="s">
        <v>89</v>
      </c>
      <c r="B94" s="111" t="s">
        <v>160</v>
      </c>
      <c r="C94" s="112" t="s">
        <v>5</v>
      </c>
      <c r="D94" s="159"/>
      <c r="E94" s="114"/>
      <c r="F94" s="114"/>
      <c r="G94" s="114"/>
      <c r="H94" s="114">
        <v>9</v>
      </c>
      <c r="I94" s="114">
        <v>9</v>
      </c>
      <c r="J94" s="114">
        <v>9</v>
      </c>
      <c r="K94" s="114">
        <v>9</v>
      </c>
      <c r="L94" s="114">
        <v>9</v>
      </c>
    </row>
    <row r="95" spans="1:13" ht="15.75">
      <c r="A95" s="122" t="s">
        <v>90</v>
      </c>
      <c r="B95" s="111" t="s">
        <v>54</v>
      </c>
      <c r="C95" s="112" t="s">
        <v>55</v>
      </c>
      <c r="D95" s="159"/>
      <c r="E95" s="114"/>
      <c r="F95" s="114"/>
      <c r="G95" s="114"/>
      <c r="H95" s="114">
        <f>H97+H98</f>
        <v>3094</v>
      </c>
      <c r="I95" s="114">
        <f>I97+I98</f>
        <v>3310.6000000000004</v>
      </c>
      <c r="J95" s="114">
        <f>J97+J98</f>
        <v>3542.3</v>
      </c>
      <c r="K95" s="114">
        <f>K97+K98</f>
        <v>3790.2</v>
      </c>
      <c r="L95" s="114">
        <f>L97+L98</f>
        <v>4055.6</v>
      </c>
    </row>
    <row r="96" spans="1:13" ht="15.75">
      <c r="A96" s="131"/>
      <c r="B96" s="111" t="s">
        <v>4</v>
      </c>
      <c r="C96" s="101"/>
      <c r="D96" s="159"/>
      <c r="E96" s="114"/>
      <c r="F96" s="114"/>
      <c r="G96" s="114"/>
      <c r="H96" s="114"/>
      <c r="I96" s="114"/>
      <c r="J96" s="114"/>
      <c r="K96" s="114"/>
      <c r="L96" s="114"/>
    </row>
    <row r="97" spans="1:12" ht="15.75">
      <c r="A97" s="122" t="s">
        <v>91</v>
      </c>
      <c r="B97" s="111" t="s">
        <v>52</v>
      </c>
      <c r="C97" s="112" t="s">
        <v>5</v>
      </c>
      <c r="D97" s="159"/>
      <c r="E97" s="114"/>
      <c r="F97" s="114"/>
      <c r="G97" s="114"/>
      <c r="H97" s="114">
        <v>2275</v>
      </c>
      <c r="I97" s="114">
        <v>2434.3000000000002</v>
      </c>
      <c r="J97" s="114">
        <v>2604.6</v>
      </c>
      <c r="K97" s="114">
        <v>2786.9</v>
      </c>
      <c r="L97" s="114">
        <v>2982.1</v>
      </c>
    </row>
    <row r="98" spans="1:12" ht="15.75">
      <c r="A98" s="122" t="s">
        <v>92</v>
      </c>
      <c r="B98" s="111" t="s">
        <v>53</v>
      </c>
      <c r="C98" s="112" t="s">
        <v>5</v>
      </c>
      <c r="D98" s="159"/>
      <c r="E98" s="114"/>
      <c r="F98" s="114"/>
      <c r="G98" s="114"/>
      <c r="H98" s="114">
        <v>819</v>
      </c>
      <c r="I98" s="114">
        <v>876.3</v>
      </c>
      <c r="J98" s="114">
        <v>937.7</v>
      </c>
      <c r="K98" s="114">
        <v>1003.3</v>
      </c>
      <c r="L98" s="114">
        <v>1073.5</v>
      </c>
    </row>
    <row r="99" spans="1:12" ht="47.25">
      <c r="A99" s="122" t="s">
        <v>93</v>
      </c>
      <c r="B99" s="140" t="s">
        <v>56</v>
      </c>
      <c r="C99" s="112" t="s">
        <v>2</v>
      </c>
      <c r="D99" s="159"/>
      <c r="E99" s="114"/>
      <c r="F99" s="114"/>
      <c r="G99" s="114"/>
      <c r="H99" s="114"/>
      <c r="I99" s="114"/>
      <c r="J99" s="114"/>
      <c r="K99" s="114"/>
      <c r="L99" s="114"/>
    </row>
    <row r="100" spans="1:12" ht="31.5">
      <c r="A100" s="122" t="s">
        <v>94</v>
      </c>
      <c r="B100" s="111" t="s">
        <v>57</v>
      </c>
      <c r="C100" s="112" t="s">
        <v>5</v>
      </c>
      <c r="D100" s="159"/>
      <c r="E100" s="114"/>
      <c r="F100" s="114"/>
      <c r="G100" s="114"/>
      <c r="H100" s="114"/>
      <c r="I100" s="114"/>
      <c r="J100" s="114"/>
      <c r="K100" s="114"/>
      <c r="L100" s="114"/>
    </row>
    <row r="101" spans="1:12" ht="47.25">
      <c r="A101" s="122" t="s">
        <v>95</v>
      </c>
      <c r="B101" s="111" t="s">
        <v>161</v>
      </c>
      <c r="C101" s="112" t="s">
        <v>5</v>
      </c>
      <c r="D101" s="159"/>
      <c r="E101" s="114"/>
      <c r="F101" s="114"/>
      <c r="G101" s="114"/>
      <c r="H101" s="114"/>
      <c r="I101" s="114"/>
      <c r="J101" s="114"/>
      <c r="K101" s="114"/>
      <c r="L101" s="114"/>
    </row>
    <row r="102" spans="1:12" ht="15.75">
      <c r="A102" s="131"/>
      <c r="B102" s="111" t="s">
        <v>4</v>
      </c>
      <c r="C102" s="101"/>
      <c r="D102" s="159"/>
      <c r="E102" s="114"/>
      <c r="F102" s="114"/>
      <c r="G102" s="114"/>
      <c r="H102" s="114"/>
      <c r="I102" s="114"/>
      <c r="J102" s="114"/>
      <c r="K102" s="114"/>
      <c r="L102" s="114"/>
    </row>
    <row r="103" spans="1:12" ht="15.75">
      <c r="A103" s="122" t="s">
        <v>96</v>
      </c>
      <c r="B103" s="111" t="s">
        <v>59</v>
      </c>
      <c r="C103" s="112" t="s">
        <v>5</v>
      </c>
      <c r="D103" s="159"/>
      <c r="E103" s="114"/>
      <c r="F103" s="114"/>
      <c r="G103" s="114"/>
      <c r="H103" s="114"/>
      <c r="I103" s="114"/>
      <c r="J103" s="114"/>
      <c r="K103" s="114"/>
      <c r="L103" s="114"/>
    </row>
    <row r="104" spans="1:12" ht="15.75">
      <c r="A104" s="122" t="s">
        <v>97</v>
      </c>
      <c r="B104" s="111" t="s">
        <v>8</v>
      </c>
      <c r="C104" s="112" t="s">
        <v>5</v>
      </c>
      <c r="D104" s="159"/>
      <c r="E104" s="114"/>
      <c r="F104" s="114"/>
      <c r="G104" s="114"/>
      <c r="H104" s="114"/>
      <c r="I104" s="114"/>
      <c r="J104" s="114"/>
      <c r="K104" s="114"/>
      <c r="L104" s="114"/>
    </row>
    <row r="105" spans="1:12" ht="15.75">
      <c r="A105" s="22" t="s">
        <v>98</v>
      </c>
      <c r="B105" s="6" t="s">
        <v>9</v>
      </c>
      <c r="C105" s="97" t="s">
        <v>5</v>
      </c>
      <c r="D105" s="9"/>
      <c r="E105" s="11"/>
      <c r="F105" s="11"/>
      <c r="G105" s="11"/>
      <c r="H105" s="16"/>
      <c r="I105" s="11"/>
      <c r="J105" s="11"/>
      <c r="K105" s="11"/>
      <c r="L105" s="11"/>
    </row>
    <row r="106" spans="1:12" ht="15.75">
      <c r="A106" s="5" t="s">
        <v>61</v>
      </c>
      <c r="B106" s="3"/>
      <c r="C106" s="3"/>
      <c r="D106" s="3"/>
      <c r="H106" s="19"/>
    </row>
    <row r="107" spans="1:12" ht="15.75">
      <c r="A107" s="5"/>
      <c r="B107" s="3"/>
      <c r="C107" s="3"/>
      <c r="D107" s="3"/>
      <c r="H107" s="19"/>
    </row>
    <row r="108" spans="1:12" ht="15.75">
      <c r="A108" s="5" t="s">
        <v>62</v>
      </c>
      <c r="B108" s="3"/>
      <c r="C108" s="3"/>
      <c r="D108" s="3"/>
      <c r="H108" s="19"/>
    </row>
    <row r="109" spans="1:12" ht="15.75">
      <c r="A109" s="5" t="s">
        <v>63</v>
      </c>
      <c r="B109" s="3"/>
      <c r="C109" s="3"/>
      <c r="D109" s="3"/>
      <c r="H109" s="19"/>
    </row>
    <row r="110" spans="1:12" ht="15.75">
      <c r="A110" s="5" t="s">
        <v>64</v>
      </c>
      <c r="B110" s="3"/>
      <c r="C110" s="3"/>
      <c r="D110" s="3"/>
      <c r="H110" s="19"/>
    </row>
    <row r="111" spans="1:12" ht="15.75">
      <c r="A111" s="3"/>
      <c r="B111" s="3"/>
      <c r="C111" s="3"/>
      <c r="D111" s="3"/>
      <c r="H111" s="19"/>
    </row>
    <row r="112" spans="1:12" ht="15.75">
      <c r="A112" s="3"/>
      <c r="B112" s="3"/>
      <c r="C112" s="3"/>
      <c r="D112" s="3"/>
      <c r="H112" s="19"/>
    </row>
    <row r="113" spans="8:8">
      <c r="H113" s="19"/>
    </row>
  </sheetData>
  <mergeCells count="20">
    <mergeCell ref="A7:L7"/>
    <mergeCell ref="J1:L1"/>
    <mergeCell ref="H2:L2"/>
    <mergeCell ref="H3:L3"/>
    <mergeCell ref="H4:L4"/>
    <mergeCell ref="I6:L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A15:A16"/>
    <mergeCell ref="A85:A86"/>
    <mergeCell ref="B85:B86"/>
    <mergeCell ref="A87:A88"/>
    <mergeCell ref="B87:B8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3"/>
  <sheetViews>
    <sheetView topLeftCell="A10" workbookViewId="0">
      <selection activeCell="H18" sqref="H18"/>
    </sheetView>
  </sheetViews>
  <sheetFormatPr defaultColWidth="9.140625" defaultRowHeight="15"/>
  <cols>
    <col min="1" max="1" width="7" style="19" customWidth="1"/>
    <col min="2" max="2" width="41.7109375" style="19" customWidth="1"/>
    <col min="3" max="5" width="10.28515625" style="19" customWidth="1"/>
    <col min="6" max="6" width="10" style="19" customWidth="1"/>
    <col min="7" max="7" width="11.140625" style="19" customWidth="1"/>
    <col min="8" max="8" width="10.42578125" style="19" customWidth="1"/>
    <col min="9" max="9" width="11.7109375" style="19" customWidth="1"/>
    <col min="10" max="10" width="9.5703125" style="19" bestFit="1" customWidth="1"/>
    <col min="11" max="11" width="10.7109375" style="19" customWidth="1"/>
    <col min="12" max="12" width="10.42578125" style="19" customWidth="1"/>
    <col min="13" max="13" width="7.42578125" style="19" customWidth="1"/>
    <col min="14" max="16384" width="9.140625" style="19"/>
  </cols>
  <sheetData>
    <row r="1" spans="1:14" ht="15.75">
      <c r="A1" s="160"/>
      <c r="J1" s="382" t="s">
        <v>141</v>
      </c>
      <c r="K1" s="382"/>
      <c r="L1" s="382"/>
      <c r="M1" s="47"/>
    </row>
    <row r="2" spans="1:14" ht="15.75">
      <c r="A2" s="160"/>
      <c r="H2" s="382" t="s">
        <v>115</v>
      </c>
      <c r="I2" s="382"/>
      <c r="J2" s="382"/>
      <c r="K2" s="382"/>
      <c r="L2" s="382"/>
      <c r="M2" s="48"/>
      <c r="N2" s="48"/>
    </row>
    <row r="3" spans="1:14" ht="15.75">
      <c r="A3" s="160"/>
      <c r="H3" s="382" t="s">
        <v>116</v>
      </c>
      <c r="I3" s="382"/>
      <c r="J3" s="382"/>
      <c r="K3" s="382"/>
      <c r="L3" s="382"/>
      <c r="M3" s="48"/>
      <c r="N3" s="48"/>
    </row>
    <row r="4" spans="1:14" ht="15.75">
      <c r="A4" s="160"/>
      <c r="H4" s="382" t="s">
        <v>117</v>
      </c>
      <c r="I4" s="382"/>
      <c r="J4" s="382"/>
      <c r="K4" s="382"/>
      <c r="L4" s="382"/>
      <c r="M4" s="47"/>
    </row>
    <row r="5" spans="1:14" ht="15.75">
      <c r="A5" s="160"/>
      <c r="L5" s="160" t="s">
        <v>118</v>
      </c>
      <c r="M5" s="47"/>
    </row>
    <row r="6" spans="1:14" ht="15.75">
      <c r="A6" s="160"/>
      <c r="I6" s="393" t="s">
        <v>142</v>
      </c>
      <c r="J6" s="393"/>
      <c r="K6" s="393"/>
      <c r="L6" s="393"/>
      <c r="M6" s="47"/>
    </row>
    <row r="7" spans="1:14" ht="16.5" customHeight="1">
      <c r="A7" s="383" t="s">
        <v>103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</row>
    <row r="8" spans="1:14" ht="16.5" customHeight="1">
      <c r="A8" s="381" t="s">
        <v>119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4" ht="16.5" customHeight="1">
      <c r="A9" s="381" t="s">
        <v>135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1:14" ht="9.75" customHeight="1">
      <c r="A10" s="160"/>
      <c r="B10" s="47"/>
      <c r="C10" s="47"/>
      <c r="D10" s="47"/>
    </row>
    <row r="11" spans="1:14" ht="24.75" customHeight="1">
      <c r="A11" s="389" t="s">
        <v>65</v>
      </c>
      <c r="B11" s="390" t="s">
        <v>0</v>
      </c>
      <c r="C11" s="390" t="s">
        <v>104</v>
      </c>
      <c r="D11" s="391" t="s">
        <v>105</v>
      </c>
      <c r="E11" s="391" t="s">
        <v>106</v>
      </c>
      <c r="F11" s="391" t="s">
        <v>107</v>
      </c>
      <c r="G11" s="392" t="s">
        <v>108</v>
      </c>
      <c r="H11" s="392"/>
      <c r="I11" s="392"/>
      <c r="J11" s="392"/>
      <c r="K11" s="392"/>
      <c r="L11" s="392"/>
      <c r="N11" s="51"/>
    </row>
    <row r="12" spans="1:14" ht="135" customHeight="1">
      <c r="A12" s="389"/>
      <c r="B12" s="390"/>
      <c r="C12" s="390"/>
      <c r="D12" s="391"/>
      <c r="E12" s="391"/>
      <c r="F12" s="391"/>
      <c r="G12" s="163" t="s">
        <v>109</v>
      </c>
      <c r="H12" s="163" t="s">
        <v>110</v>
      </c>
      <c r="I12" s="163" t="s">
        <v>111</v>
      </c>
      <c r="J12" s="163" t="s">
        <v>112</v>
      </c>
      <c r="K12" s="163" t="s">
        <v>113</v>
      </c>
      <c r="L12" s="163" t="s">
        <v>114</v>
      </c>
    </row>
    <row r="13" spans="1:14" ht="15.75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</row>
    <row r="14" spans="1:14" ht="31.5">
      <c r="A14" s="164" t="s">
        <v>1</v>
      </c>
      <c r="B14" s="54" t="s">
        <v>143</v>
      </c>
      <c r="C14" s="164" t="s">
        <v>2</v>
      </c>
      <c r="D14" s="55">
        <f t="shared" ref="D14:L14" si="0">D15+D23+D28+D29+D32</f>
        <v>24653</v>
      </c>
      <c r="E14" s="56">
        <f t="shared" si="0"/>
        <v>30138.290870000001</v>
      </c>
      <c r="F14" s="56">
        <f t="shared" si="0"/>
        <v>30347.175959999997</v>
      </c>
      <c r="G14" s="56">
        <f t="shared" si="0"/>
        <v>337059.62492138054</v>
      </c>
      <c r="H14" s="56">
        <f t="shared" si="0"/>
        <v>58509.472620490153</v>
      </c>
      <c r="I14" s="56">
        <f t="shared" si="0"/>
        <v>63572.674865449757</v>
      </c>
      <c r="J14" s="56">
        <f t="shared" si="0"/>
        <v>67609.348901529942</v>
      </c>
      <c r="K14" s="56">
        <f t="shared" si="0"/>
        <v>46170.170305953041</v>
      </c>
      <c r="L14" s="56">
        <f t="shared" si="0"/>
        <v>75873.257077957591</v>
      </c>
    </row>
    <row r="15" spans="1:14" ht="15.75">
      <c r="A15" s="384">
        <v>1</v>
      </c>
      <c r="B15" s="57" t="s">
        <v>3</v>
      </c>
      <c r="C15" s="33" t="s">
        <v>5</v>
      </c>
      <c r="D15" s="58">
        <f>D17+D18+D19+D20+D21</f>
        <v>3806</v>
      </c>
      <c r="E15" s="59">
        <f t="shared" ref="E15:L15" si="1">E17+E18+E19+E20+E21</f>
        <v>12013</v>
      </c>
      <c r="F15" s="59">
        <f>F17+F18+F19+F20+F21</f>
        <v>12012.76</v>
      </c>
      <c r="G15" s="59">
        <f t="shared" si="1"/>
        <v>150964.15997320041</v>
      </c>
      <c r="H15" s="59">
        <f t="shared" si="1"/>
        <v>25168.583059999997</v>
      </c>
      <c r="I15" s="59">
        <f t="shared" si="1"/>
        <v>28150.961412850003</v>
      </c>
      <c r="J15" s="59">
        <f t="shared" si="1"/>
        <v>30192.086894600005</v>
      </c>
      <c r="K15" s="59">
        <f t="shared" si="1"/>
        <v>32374.629886760005</v>
      </c>
      <c r="L15" s="59">
        <f t="shared" si="1"/>
        <v>35077.8987189904</v>
      </c>
    </row>
    <row r="16" spans="1:14" ht="15.75">
      <c r="A16" s="385"/>
      <c r="B16" s="20" t="s">
        <v>4</v>
      </c>
      <c r="C16" s="162"/>
      <c r="D16" s="61"/>
      <c r="E16" s="76"/>
      <c r="F16" s="76"/>
      <c r="G16" s="76"/>
      <c r="H16" s="76"/>
      <c r="I16" s="76"/>
      <c r="J16" s="76"/>
      <c r="K16" s="76"/>
      <c r="L16" s="76"/>
    </row>
    <row r="17" spans="1:13" ht="15.75">
      <c r="A17" s="161" t="s">
        <v>66</v>
      </c>
      <c r="B17" s="20" t="s">
        <v>144</v>
      </c>
      <c r="C17" s="33" t="s">
        <v>5</v>
      </c>
      <c r="D17" s="26">
        <v>490</v>
      </c>
      <c r="E17" s="28">
        <v>4050</v>
      </c>
      <c r="F17" s="28">
        <f>4049.8</f>
        <v>4049.8</v>
      </c>
      <c r="G17" s="32">
        <f>H17+I17+J17+K17+L17</f>
        <v>24412.244406930404</v>
      </c>
      <c r="H17" s="257">
        <f>F17*1.07</f>
        <v>4333.2860000000001</v>
      </c>
      <c r="I17" s="257">
        <f>H17*1.07</f>
        <v>4636.6160200000004</v>
      </c>
      <c r="J17" s="257">
        <f>I17*1.06</f>
        <v>4914.8129812000006</v>
      </c>
      <c r="K17" s="257">
        <f>J17*1.05</f>
        <v>5160.5536302600012</v>
      </c>
      <c r="L17" s="257">
        <f>K17*1.04</f>
        <v>5366.9757754704015</v>
      </c>
    </row>
    <row r="18" spans="1:13" ht="15.75">
      <c r="A18" s="161" t="s">
        <v>145</v>
      </c>
      <c r="B18" s="20" t="s">
        <v>162</v>
      </c>
      <c r="C18" s="162" t="s">
        <v>5</v>
      </c>
      <c r="D18" s="26">
        <v>1800</v>
      </c>
      <c r="E18" s="76">
        <v>4017</v>
      </c>
      <c r="F18" s="76">
        <v>4016.97</v>
      </c>
      <c r="G18" s="32">
        <f>H18+I18+J18+K18+L18</f>
        <v>80582.265454950015</v>
      </c>
      <c r="H18" s="32">
        <f>(H85+H88)*119.01</f>
        <v>13960.58706</v>
      </c>
      <c r="I18" s="32">
        <f>(I85+I88)*119.01*1.07</f>
        <v>15685.254392850002</v>
      </c>
      <c r="J18" s="32">
        <f>(J85+J88)*119.01*1.06</f>
        <v>16316.192453400003</v>
      </c>
      <c r="K18" s="32">
        <f>(K85+K88)*119.01*1.05</f>
        <v>16970.510623500006</v>
      </c>
      <c r="L18" s="32">
        <f>(L85+L88)*119.01*1.04</f>
        <v>17649.720925200003</v>
      </c>
    </row>
    <row r="19" spans="1:13" ht="15.75">
      <c r="A19" s="161" t="s">
        <v>146</v>
      </c>
      <c r="B19" s="20" t="s">
        <v>147</v>
      </c>
      <c r="C19" s="162"/>
      <c r="D19" s="26"/>
      <c r="E19" s="76">
        <v>90</v>
      </c>
      <c r="F19" s="76">
        <v>89.61</v>
      </c>
      <c r="G19" s="32">
        <f>H19+I19+J19+K19+L19</f>
        <v>542.52111132000016</v>
      </c>
      <c r="H19" s="32">
        <f>E19*1.07</f>
        <v>96.300000000000011</v>
      </c>
      <c r="I19" s="32">
        <f>H19*1.07</f>
        <v>103.04100000000003</v>
      </c>
      <c r="J19" s="32">
        <f>I19*1.06</f>
        <v>109.22346000000003</v>
      </c>
      <c r="K19" s="32">
        <f>J19*1.05</f>
        <v>114.68463300000003</v>
      </c>
      <c r="L19" s="32">
        <f>K19*1.04</f>
        <v>119.27201832000004</v>
      </c>
    </row>
    <row r="20" spans="1:13" ht="15.75">
      <c r="A20" s="161" t="s">
        <v>148</v>
      </c>
      <c r="B20" s="20" t="s">
        <v>184</v>
      </c>
      <c r="C20" s="162"/>
      <c r="D20" s="26">
        <v>630</v>
      </c>
      <c r="E20" s="76">
        <v>2130</v>
      </c>
      <c r="F20" s="76">
        <v>2130.1999999999998</v>
      </c>
      <c r="G20" s="32">
        <f>H20+I20+J20+K20+L20</f>
        <v>19956.98</v>
      </c>
      <c r="H20" s="32">
        <v>3470.25</v>
      </c>
      <c r="I20" s="32">
        <v>3713.25</v>
      </c>
      <c r="J20" s="32">
        <v>3973.18</v>
      </c>
      <c r="K20" s="32">
        <v>4251.3</v>
      </c>
      <c r="L20" s="32">
        <v>4549</v>
      </c>
      <c r="M20" s="62"/>
    </row>
    <row r="21" spans="1:13" ht="15.75">
      <c r="A21" s="161" t="s">
        <v>150</v>
      </c>
      <c r="B21" s="20" t="s">
        <v>186</v>
      </c>
      <c r="C21" s="162"/>
      <c r="D21" s="26">
        <v>886</v>
      </c>
      <c r="E21" s="76">
        <v>1726</v>
      </c>
      <c r="F21" s="76">
        <v>1726.18</v>
      </c>
      <c r="G21" s="32">
        <f>H21+I21+J21+K21+L21</f>
        <v>25470.148999999998</v>
      </c>
      <c r="H21" s="32">
        <f>(155700+29040+1980+5280)*17.23/1000</f>
        <v>3308.16</v>
      </c>
      <c r="I21" s="32">
        <f>(171270+31944+2178+5808)*19/1000</f>
        <v>4012.8</v>
      </c>
      <c r="J21" s="32">
        <f>(188397+35138+2395+6388)*21/1000</f>
        <v>4878.6779999999999</v>
      </c>
      <c r="K21" s="32">
        <f>(207236+38651+2634+7026)*23/1000</f>
        <v>5877.5810000000001</v>
      </c>
      <c r="L21" s="32">
        <f>(227959+42516+2897+7728)*26.3/1000</f>
        <v>7392.93</v>
      </c>
    </row>
    <row r="22" spans="1:13" ht="15.75">
      <c r="A22" s="161"/>
      <c r="B22" s="20"/>
      <c r="C22" s="162"/>
      <c r="D22" s="26"/>
      <c r="E22" s="76"/>
      <c r="F22" s="76"/>
      <c r="G22" s="32"/>
      <c r="H22" s="32"/>
      <c r="I22" s="32"/>
      <c r="J22" s="32"/>
      <c r="K22" s="32"/>
      <c r="L22" s="32"/>
    </row>
    <row r="23" spans="1:13" ht="15.75">
      <c r="A23" s="165" t="s">
        <v>67</v>
      </c>
      <c r="B23" s="57" t="s">
        <v>7</v>
      </c>
      <c r="C23" s="33" t="s">
        <v>5</v>
      </c>
      <c r="D23" s="63">
        <f>D25+D26+D27</f>
        <v>14990</v>
      </c>
      <c r="E23" s="77">
        <f t="shared" ref="E23:L23" si="2">E25+E26+E27</f>
        <v>12397</v>
      </c>
      <c r="F23" s="77">
        <f t="shared" si="2"/>
        <v>12396.13</v>
      </c>
      <c r="G23" s="77">
        <f t="shared" si="2"/>
        <v>131634.93623585763</v>
      </c>
      <c r="H23" s="77">
        <f t="shared" si="2"/>
        <v>23365.808435860163</v>
      </c>
      <c r="I23" s="77">
        <f t="shared" si="2"/>
        <v>25001.415026370378</v>
      </c>
      <c r="J23" s="77">
        <f t="shared" si="2"/>
        <v>26501.499927952598</v>
      </c>
      <c r="K23" s="79">
        <f>'Акж-Сынгырлау'!N175+K26+K27</f>
        <v>2501.8737743502256</v>
      </c>
      <c r="L23" s="77">
        <f t="shared" si="2"/>
        <v>28939.637921324244</v>
      </c>
    </row>
    <row r="24" spans="1:13" ht="15.75">
      <c r="A24" s="64"/>
      <c r="B24" s="20" t="s">
        <v>4</v>
      </c>
      <c r="C24" s="163"/>
      <c r="D24" s="34"/>
      <c r="E24" s="76"/>
      <c r="F24" s="76"/>
      <c r="G24" s="76"/>
      <c r="H24" s="76"/>
      <c r="I24" s="76"/>
      <c r="J24" s="76"/>
      <c r="K24" s="76"/>
      <c r="L24" s="76"/>
    </row>
    <row r="25" spans="1:13" ht="15.75">
      <c r="A25" s="161" t="s">
        <v>68</v>
      </c>
      <c r="B25" s="20" t="s">
        <v>8</v>
      </c>
      <c r="C25" s="162" t="s">
        <v>5</v>
      </c>
      <c r="D25" s="34">
        <v>13639</v>
      </c>
      <c r="E25" s="76">
        <v>11282</v>
      </c>
      <c r="F25" s="76">
        <v>11281.6</v>
      </c>
      <c r="G25" s="32">
        <f>H25+I25+J25+K25+L25</f>
        <v>119799.70334600002</v>
      </c>
      <c r="H25" s="32">
        <f>(1063250/12/1000)*1.25*16*12</f>
        <v>21265</v>
      </c>
      <c r="I25" s="32">
        <f>H25*1.07</f>
        <v>22753.550000000003</v>
      </c>
      <c r="J25" s="32">
        <f>I25*1.06</f>
        <v>24118.763000000003</v>
      </c>
      <c r="K25" s="32">
        <f>J25*1.05</f>
        <v>25324.701150000004</v>
      </c>
      <c r="L25" s="32">
        <f>K25*1.04</f>
        <v>26337.689196000007</v>
      </c>
    </row>
    <row r="26" spans="1:13" ht="15.75">
      <c r="A26" s="161" t="s">
        <v>69</v>
      </c>
      <c r="B26" s="20" t="s">
        <v>9</v>
      </c>
      <c r="C26" s="162" t="s">
        <v>5</v>
      </c>
      <c r="D26" s="34">
        <v>737</v>
      </c>
      <c r="E26" s="76">
        <v>704</v>
      </c>
      <c r="F26" s="76">
        <v>703.9</v>
      </c>
      <c r="G26" s="32">
        <f>H26+I26+J26+K26+L26</f>
        <v>7474.7386173281629</v>
      </c>
      <c r="H26" s="32">
        <f>H25*(F26/F25%)%</f>
        <v>1326.800586796199</v>
      </c>
      <c r="I26" s="32">
        <f>H26*1.07</f>
        <v>1419.6766278719331</v>
      </c>
      <c r="J26" s="32">
        <f>I26*1.06</f>
        <v>1504.8572255442491</v>
      </c>
      <c r="K26" s="32">
        <f>J26*1.05</f>
        <v>1580.1000868214617</v>
      </c>
      <c r="L26" s="32">
        <f>K26*1.04</f>
        <v>1643.3040902943203</v>
      </c>
    </row>
    <row r="27" spans="1:13" ht="15.75">
      <c r="A27" s="161" t="s">
        <v>121</v>
      </c>
      <c r="B27" s="20" t="s">
        <v>122</v>
      </c>
      <c r="C27" s="162"/>
      <c r="D27" s="34">
        <v>614</v>
      </c>
      <c r="E27" s="76">
        <v>411</v>
      </c>
      <c r="F27" s="76">
        <v>410.63</v>
      </c>
      <c r="G27" s="32">
        <f>H27+I27+J27+K27+L27</f>
        <v>4360.4942725294277</v>
      </c>
      <c r="H27" s="32">
        <f>H25*(F27/F25%)%</f>
        <v>774.00784906396257</v>
      </c>
      <c r="I27" s="32">
        <f>H27*1.07</f>
        <v>828.18839849844005</v>
      </c>
      <c r="J27" s="32">
        <f>I27*1.06</f>
        <v>877.87970240834647</v>
      </c>
      <c r="K27" s="32">
        <f>J27*1.05</f>
        <v>921.77368752876384</v>
      </c>
      <c r="L27" s="32">
        <f>K27*1.04</f>
        <v>958.64463502991441</v>
      </c>
    </row>
    <row r="28" spans="1:13" ht="15.75">
      <c r="A28" s="165" t="s">
        <v>70</v>
      </c>
      <c r="B28" s="57" t="s">
        <v>10</v>
      </c>
      <c r="C28" s="33" t="s">
        <v>5</v>
      </c>
      <c r="D28" s="36">
        <v>2112</v>
      </c>
      <c r="E28" s="65">
        <f>[1]TDSheet!$H$115/1000</f>
        <v>3182.2908700000003</v>
      </c>
      <c r="F28" s="65">
        <f>[2]TDSheet!$H$115/1000</f>
        <v>3248.8384999999998</v>
      </c>
      <c r="G28" s="65">
        <f>H28+I28+J28+K28+L28</f>
        <v>16132.492269390837</v>
      </c>
      <c r="H28" s="65">
        <f>(277014*12)/1000+(538472*100/5)%/1000</f>
        <v>3431.8624</v>
      </c>
      <c r="I28" s="65">
        <f>(H28/([3]TDSheet!$D$115/1000)%)*(([3]TDSheet!$D$115/1000)-H28)%</f>
        <v>3377.6983908752791</v>
      </c>
      <c r="J28" s="65">
        <f>(I28/([3]TDSheet!$D$115/1000)%)*(([3]TDSheet!$D$115/1000)-I28-H28)%</f>
        <v>3271.9214415019901</v>
      </c>
      <c r="K28" s="65">
        <f>(J28/([3]TDSheet!$D$115/1000)%)*(([3]TDSheet!$D$115/1000)-J28-I28-H28)%</f>
        <v>3120.2239754936923</v>
      </c>
      <c r="L28" s="65">
        <f>(K28/([3]TDSheet!$D$115/1000)%)*(([3]TDSheet!$D$115/1000)-K28-J28-I28-H28)%</f>
        <v>2930.7860615198742</v>
      </c>
      <c r="M28" s="66"/>
    </row>
    <row r="29" spans="1:13" ht="15.75">
      <c r="A29" s="165" t="s">
        <v>71</v>
      </c>
      <c r="B29" s="57" t="s">
        <v>11</v>
      </c>
      <c r="C29" s="33" t="s">
        <v>5</v>
      </c>
      <c r="D29" s="63">
        <f>D31</f>
        <v>1273</v>
      </c>
      <c r="E29" s="77">
        <f t="shared" ref="E29:L29" si="3">E31</f>
        <v>1273</v>
      </c>
      <c r="F29" s="77">
        <f t="shared" si="3"/>
        <v>1273.21</v>
      </c>
      <c r="G29" s="77">
        <f t="shared" si="3"/>
        <v>24767.719999999998</v>
      </c>
      <c r="H29" s="77">
        <f t="shared" si="3"/>
        <v>4136.2</v>
      </c>
      <c r="I29" s="77">
        <f t="shared" si="3"/>
        <v>4467.09</v>
      </c>
      <c r="J29" s="77">
        <f t="shared" si="3"/>
        <v>4913.8</v>
      </c>
      <c r="K29" s="77">
        <f t="shared" si="3"/>
        <v>5306.9</v>
      </c>
      <c r="L29" s="77">
        <f t="shared" si="3"/>
        <v>5943.73</v>
      </c>
    </row>
    <row r="30" spans="1:13" ht="15.75">
      <c r="A30" s="64"/>
      <c r="B30" s="20" t="s">
        <v>4</v>
      </c>
      <c r="C30" s="163"/>
      <c r="D30" s="34"/>
      <c r="E30" s="76"/>
      <c r="F30" s="76"/>
      <c r="G30" s="76"/>
      <c r="H30" s="76"/>
      <c r="I30" s="76"/>
      <c r="J30" s="76"/>
      <c r="K30" s="76"/>
      <c r="L30" s="76"/>
    </row>
    <row r="31" spans="1:13" ht="47.25">
      <c r="A31" s="161" t="s">
        <v>72</v>
      </c>
      <c r="B31" s="45" t="s">
        <v>12</v>
      </c>
      <c r="C31" s="162" t="s">
        <v>5</v>
      </c>
      <c r="D31" s="34">
        <v>1273</v>
      </c>
      <c r="E31" s="76">
        <v>1273</v>
      </c>
      <c r="F31" s="76">
        <v>1273.21</v>
      </c>
      <c r="G31" s="76">
        <f>H31+I31+J31+K31+L31</f>
        <v>24767.719999999998</v>
      </c>
      <c r="H31" s="76">
        <v>4136.2</v>
      </c>
      <c r="I31" s="76">
        <v>4467.09</v>
      </c>
      <c r="J31" s="76">
        <v>4913.8</v>
      </c>
      <c r="K31" s="76">
        <v>5306.9</v>
      </c>
      <c r="L31" s="76">
        <v>5943.73</v>
      </c>
    </row>
    <row r="32" spans="1:13" ht="15.75">
      <c r="A32" s="165" t="s">
        <v>73</v>
      </c>
      <c r="B32" s="57" t="s">
        <v>13</v>
      </c>
      <c r="C32" s="33" t="s">
        <v>5</v>
      </c>
      <c r="D32" s="36">
        <f>D34+D35+D36+D37+D38+D39+D40+D41+D42+D43+D44+D45+D46</f>
        <v>2472</v>
      </c>
      <c r="E32" s="79">
        <v>1273</v>
      </c>
      <c r="F32" s="79">
        <f t="shared" ref="F32:L32" si="4">F34+F35+F36+F37+F38+F39+F40+F41+F42+F43+F44+F45+F46</f>
        <v>1416.2374600000001</v>
      </c>
      <c r="G32" s="79">
        <f t="shared" si="4"/>
        <v>13560.316442931638</v>
      </c>
      <c r="H32" s="79">
        <f t="shared" si="4"/>
        <v>2407.0187246300002</v>
      </c>
      <c r="I32" s="79">
        <f t="shared" si="4"/>
        <v>2575.5100353541002</v>
      </c>
      <c r="J32" s="79">
        <f t="shared" si="4"/>
        <v>2730.0406374753466</v>
      </c>
      <c r="K32" s="79">
        <f t="shared" si="4"/>
        <v>2866.5426693491136</v>
      </c>
      <c r="L32" s="79">
        <f t="shared" si="4"/>
        <v>2981.204376123078</v>
      </c>
    </row>
    <row r="33" spans="1:12" ht="15.75">
      <c r="A33" s="64"/>
      <c r="B33" s="20" t="s">
        <v>4</v>
      </c>
      <c r="C33" s="163"/>
      <c r="D33" s="34"/>
      <c r="E33" s="76"/>
      <c r="F33" s="76"/>
      <c r="G33" s="76"/>
      <c r="H33" s="76"/>
      <c r="I33" s="76"/>
      <c r="J33" s="76"/>
      <c r="K33" s="76"/>
      <c r="L33" s="76"/>
    </row>
    <row r="34" spans="1:12" ht="47.25">
      <c r="A34" s="67" t="s">
        <v>74</v>
      </c>
      <c r="B34" s="20" t="s">
        <v>14</v>
      </c>
      <c r="C34" s="162" t="s">
        <v>5</v>
      </c>
      <c r="D34" s="26"/>
      <c r="E34" s="32"/>
      <c r="F34" s="32"/>
      <c r="G34" s="32">
        <f>H34+I34+J34+K34+L34</f>
        <v>0</v>
      </c>
      <c r="H34" s="32"/>
      <c r="I34" s="32"/>
      <c r="J34" s="32"/>
      <c r="K34" s="32"/>
      <c r="L34" s="32"/>
    </row>
    <row r="35" spans="1:12" ht="15.75">
      <c r="A35" s="67" t="s">
        <v>75</v>
      </c>
      <c r="B35" s="20" t="s">
        <v>15</v>
      </c>
      <c r="C35" s="162" t="s">
        <v>5</v>
      </c>
      <c r="D35" s="26"/>
      <c r="E35" s="32"/>
      <c r="F35" s="32"/>
      <c r="G35" s="32">
        <f t="shared" ref="G35:G46" si="5">H35+I35+J35+K35+L35</f>
        <v>0</v>
      </c>
      <c r="H35" s="32"/>
      <c r="I35" s="32"/>
      <c r="J35" s="32"/>
      <c r="K35" s="32"/>
      <c r="L35" s="32"/>
    </row>
    <row r="36" spans="1:12" ht="47.25">
      <c r="A36" s="67" t="s">
        <v>76</v>
      </c>
      <c r="B36" s="20" t="s">
        <v>16</v>
      </c>
      <c r="C36" s="162" t="s">
        <v>5</v>
      </c>
      <c r="D36" s="26"/>
      <c r="E36" s="32"/>
      <c r="F36" s="32">
        <v>25.4</v>
      </c>
      <c r="G36" s="32">
        <f t="shared" si="5"/>
        <v>153.11151363920001</v>
      </c>
      <c r="H36" s="32">
        <f>F36*1.07</f>
        <v>27.178000000000001</v>
      </c>
      <c r="I36" s="32">
        <f>H36*1.07</f>
        <v>29.080460000000002</v>
      </c>
      <c r="J36" s="32">
        <f>I36*1.06</f>
        <v>30.825287600000003</v>
      </c>
      <c r="K36" s="32">
        <f>J36*1.05</f>
        <v>32.366551980000004</v>
      </c>
      <c r="L36" s="32">
        <f>K36*1.04</f>
        <v>33.661214059200006</v>
      </c>
    </row>
    <row r="37" spans="1:12" ht="31.5">
      <c r="A37" s="67" t="s">
        <v>77</v>
      </c>
      <c r="B37" s="20" t="s">
        <v>17</v>
      </c>
      <c r="C37" s="162" t="s">
        <v>5</v>
      </c>
      <c r="D37" s="26">
        <v>370</v>
      </c>
      <c r="E37" s="32">
        <v>118.8</v>
      </c>
      <c r="F37" s="32">
        <v>94.8</v>
      </c>
      <c r="G37" s="32">
        <f t="shared" si="5"/>
        <v>716.12786694240003</v>
      </c>
      <c r="H37" s="32">
        <f>E37*1.07</f>
        <v>127.116</v>
      </c>
      <c r="I37" s="32">
        <f t="shared" ref="I37:I44" si="6">H37*1.07</f>
        <v>136.01412000000002</v>
      </c>
      <c r="J37" s="32">
        <f t="shared" ref="J37:J44" si="7">I37*1.06</f>
        <v>144.17496720000003</v>
      </c>
      <c r="K37" s="32">
        <f t="shared" ref="K37:K44" si="8">J37*1.05</f>
        <v>151.38371556000004</v>
      </c>
      <c r="L37" s="32">
        <f t="shared" ref="L37:L44" si="9">K37*1.04</f>
        <v>157.43906418240005</v>
      </c>
    </row>
    <row r="38" spans="1:12" ht="15.75">
      <c r="A38" s="67" t="s">
        <v>78</v>
      </c>
      <c r="B38" s="20" t="s">
        <v>18</v>
      </c>
      <c r="C38" s="162" t="s">
        <v>5</v>
      </c>
      <c r="D38" s="26">
        <v>245</v>
      </c>
      <c r="E38" s="32"/>
      <c r="F38" s="32">
        <v>14.3</v>
      </c>
      <c r="G38" s="32">
        <f t="shared" si="5"/>
        <v>1476.8630252600003</v>
      </c>
      <c r="H38" s="32">
        <f>D38*1.07</f>
        <v>262.15000000000003</v>
      </c>
      <c r="I38" s="32">
        <f t="shared" si="6"/>
        <v>280.50050000000005</v>
      </c>
      <c r="J38" s="32">
        <f t="shared" si="7"/>
        <v>297.33053000000007</v>
      </c>
      <c r="K38" s="32">
        <f t="shared" si="8"/>
        <v>312.19705650000009</v>
      </c>
      <c r="L38" s="32">
        <f t="shared" si="9"/>
        <v>324.68493876000008</v>
      </c>
    </row>
    <row r="39" spans="1:12" ht="15.75">
      <c r="A39" s="67" t="s">
        <v>79</v>
      </c>
      <c r="B39" s="20" t="s">
        <v>19</v>
      </c>
      <c r="C39" s="162" t="s">
        <v>5</v>
      </c>
      <c r="D39" s="26"/>
      <c r="E39" s="32"/>
      <c r="F39" s="32"/>
      <c r="G39" s="32">
        <f t="shared" si="5"/>
        <v>169.00969200000003</v>
      </c>
      <c r="H39" s="32">
        <v>30</v>
      </c>
      <c r="I39" s="32">
        <f t="shared" si="6"/>
        <v>32.1</v>
      </c>
      <c r="J39" s="32">
        <f t="shared" si="7"/>
        <v>34.026000000000003</v>
      </c>
      <c r="K39" s="32">
        <f t="shared" si="8"/>
        <v>35.727300000000007</v>
      </c>
      <c r="L39" s="32">
        <f t="shared" si="9"/>
        <v>37.156392000000011</v>
      </c>
    </row>
    <row r="40" spans="1:12" ht="31.5">
      <c r="A40" s="67" t="s">
        <v>80</v>
      </c>
      <c r="B40" s="45" t="s">
        <v>125</v>
      </c>
      <c r="C40" s="162" t="s">
        <v>5</v>
      </c>
      <c r="D40" s="26">
        <v>385</v>
      </c>
      <c r="E40" s="32">
        <v>319.54000000000002</v>
      </c>
      <c r="F40" s="32"/>
      <c r="G40" s="32">
        <f t="shared" si="5"/>
        <v>1926.1910656799205</v>
      </c>
      <c r="H40" s="32">
        <f>E40*1.07</f>
        <v>341.90780000000007</v>
      </c>
      <c r="I40" s="32">
        <f t="shared" si="6"/>
        <v>365.8413460000001</v>
      </c>
      <c r="J40" s="32">
        <f t="shared" si="7"/>
        <v>387.79182676000011</v>
      </c>
      <c r="K40" s="32">
        <f t="shared" si="8"/>
        <v>407.18141809800011</v>
      </c>
      <c r="L40" s="32">
        <f t="shared" si="9"/>
        <v>423.4686748219201</v>
      </c>
    </row>
    <row r="41" spans="1:12" ht="15.75">
      <c r="A41" s="67" t="s">
        <v>123</v>
      </c>
      <c r="B41" s="20" t="s">
        <v>126</v>
      </c>
      <c r="C41" s="162" t="s">
        <v>5</v>
      </c>
      <c r="D41" s="26">
        <v>580</v>
      </c>
      <c r="E41" s="32"/>
      <c r="F41" s="32"/>
      <c r="G41" s="32">
        <f t="shared" si="5"/>
        <v>0</v>
      </c>
      <c r="H41" s="32"/>
      <c r="I41" s="32">
        <f t="shared" si="6"/>
        <v>0</v>
      </c>
      <c r="J41" s="32">
        <f t="shared" si="7"/>
        <v>0</v>
      </c>
      <c r="K41" s="32">
        <f t="shared" si="8"/>
        <v>0</v>
      </c>
      <c r="L41" s="32">
        <f t="shared" si="9"/>
        <v>0</v>
      </c>
    </row>
    <row r="42" spans="1:12" ht="15.75">
      <c r="A42" s="67" t="s">
        <v>124</v>
      </c>
      <c r="B42" s="20" t="s">
        <v>130</v>
      </c>
      <c r="C42" s="162" t="s">
        <v>5</v>
      </c>
      <c r="D42" s="26">
        <v>135</v>
      </c>
      <c r="E42" s="32"/>
      <c r="F42" s="32">
        <v>32.5</v>
      </c>
      <c r="G42" s="32">
        <f t="shared" si="5"/>
        <v>195.91040131000003</v>
      </c>
      <c r="H42" s="32">
        <f>F42*1.07</f>
        <v>34.774999999999999</v>
      </c>
      <c r="I42" s="32">
        <f t="shared" si="6"/>
        <v>37.209249999999997</v>
      </c>
      <c r="J42" s="32">
        <f t="shared" si="7"/>
        <v>39.441805000000002</v>
      </c>
      <c r="K42" s="32">
        <f t="shared" si="8"/>
        <v>41.413895250000003</v>
      </c>
      <c r="L42" s="32">
        <f t="shared" si="9"/>
        <v>43.070451060000003</v>
      </c>
    </row>
    <row r="43" spans="1:12" ht="15.75">
      <c r="A43" s="67" t="s">
        <v>127</v>
      </c>
      <c r="B43" s="20" t="s">
        <v>131</v>
      </c>
      <c r="C43" s="162" t="s">
        <v>5</v>
      </c>
      <c r="D43" s="26">
        <v>172</v>
      </c>
      <c r="E43" s="32"/>
      <c r="F43" s="32"/>
      <c r="G43" s="32">
        <f t="shared" si="5"/>
        <v>1036.8181238560003</v>
      </c>
      <c r="H43" s="32">
        <f>D43*1.07</f>
        <v>184.04000000000002</v>
      </c>
      <c r="I43" s="32">
        <f t="shared" si="6"/>
        <v>196.92280000000002</v>
      </c>
      <c r="J43" s="32">
        <f t="shared" si="7"/>
        <v>208.73816800000003</v>
      </c>
      <c r="K43" s="32">
        <f t="shared" si="8"/>
        <v>219.17507640000005</v>
      </c>
      <c r="L43" s="32">
        <f t="shared" si="9"/>
        <v>227.94207945600007</v>
      </c>
    </row>
    <row r="44" spans="1:12" ht="15.75">
      <c r="A44" s="67" t="s">
        <v>128</v>
      </c>
      <c r="B44" s="20" t="s">
        <v>30</v>
      </c>
      <c r="C44" s="162" t="s">
        <v>5</v>
      </c>
      <c r="D44" s="26">
        <v>300</v>
      </c>
      <c r="E44" s="32">
        <v>94.19</v>
      </c>
      <c r="F44" s="32"/>
      <c r="G44" s="32">
        <f t="shared" si="5"/>
        <v>904.20185220000019</v>
      </c>
      <c r="H44" s="32">
        <f>D44/2*1.07</f>
        <v>160.5</v>
      </c>
      <c r="I44" s="32">
        <f t="shared" si="6"/>
        <v>171.73500000000001</v>
      </c>
      <c r="J44" s="32">
        <f t="shared" si="7"/>
        <v>182.03910000000002</v>
      </c>
      <c r="K44" s="32">
        <f t="shared" si="8"/>
        <v>191.14105500000002</v>
      </c>
      <c r="L44" s="32">
        <f t="shared" si="9"/>
        <v>198.78669720000002</v>
      </c>
    </row>
    <row r="45" spans="1:12" ht="15.75">
      <c r="A45" s="67" t="s">
        <v>129</v>
      </c>
      <c r="B45" s="20" t="s">
        <v>33</v>
      </c>
      <c r="C45" s="162"/>
      <c r="D45" s="26">
        <v>285</v>
      </c>
      <c r="E45" s="32">
        <f>[4]TDSheet!$H$47/1000</f>
        <v>671.74645999999996</v>
      </c>
      <c r="F45" s="32">
        <f>[14]TDSheet!$I$56/1000</f>
        <v>1249.2374600000001</v>
      </c>
      <c r="G45" s="32">
        <f t="shared" si="5"/>
        <v>6982.0829020441179</v>
      </c>
      <c r="H45" s="32">
        <f>([20]TDSheet!$F$18+[20]TDSheet!$F$33+[14]TDSheet!$F$30+[14]TDSheet!$F$51+[14]TDSheet!$F$56+[21]TDSheet!$O$114)/1000</f>
        <v>1239.35192463</v>
      </c>
      <c r="I45" s="32">
        <f>H45*1.07</f>
        <v>1326.1065593541</v>
      </c>
      <c r="J45" s="32">
        <f>I45*1.06</f>
        <v>1405.6729529153461</v>
      </c>
      <c r="K45" s="32">
        <f>J45*1.05</f>
        <v>1475.9566005611134</v>
      </c>
      <c r="L45" s="32">
        <f>K45*1.04</f>
        <v>1534.994864583558</v>
      </c>
    </row>
    <row r="46" spans="1:12" ht="31.5">
      <c r="A46" s="67" t="s">
        <v>136</v>
      </c>
      <c r="B46" s="20" t="s">
        <v>20</v>
      </c>
      <c r="C46" s="162" t="s">
        <v>5</v>
      </c>
      <c r="D46" s="26"/>
      <c r="E46" s="32"/>
      <c r="F46" s="32"/>
      <c r="G46" s="32">
        <f t="shared" si="5"/>
        <v>0</v>
      </c>
      <c r="H46" s="32"/>
      <c r="I46" s="32"/>
      <c r="J46" s="32"/>
      <c r="K46" s="32"/>
      <c r="L46" s="32"/>
    </row>
    <row r="47" spans="1:12" ht="15.75">
      <c r="A47" s="165" t="s">
        <v>21</v>
      </c>
      <c r="B47" s="57" t="s">
        <v>22</v>
      </c>
      <c r="C47" s="33" t="s">
        <v>5</v>
      </c>
      <c r="D47" s="36">
        <f>D48+D80</f>
        <v>10125.1</v>
      </c>
      <c r="E47" s="79">
        <f t="shared" ref="E47:L47" si="10">E48+E80</f>
        <v>17657.333895</v>
      </c>
      <c r="F47" s="79">
        <f t="shared" si="10"/>
        <v>11358.071054999999</v>
      </c>
      <c r="G47" s="79">
        <f t="shared" si="10"/>
        <v>115251.50252571949</v>
      </c>
      <c r="H47" s="79">
        <f t="shared" si="10"/>
        <v>20720.217000050125</v>
      </c>
      <c r="I47" s="79">
        <f t="shared" si="10"/>
        <v>22048.197118484175</v>
      </c>
      <c r="J47" s="79">
        <f t="shared" si="10"/>
        <v>23224.189866428947</v>
      </c>
      <c r="K47" s="79">
        <f t="shared" si="10"/>
        <v>24225.345550186343</v>
      </c>
      <c r="L47" s="79">
        <f t="shared" si="10"/>
        <v>25033.552990569908</v>
      </c>
    </row>
    <row r="48" spans="1:12" ht="15.75">
      <c r="A48" s="165" t="s">
        <v>81</v>
      </c>
      <c r="B48" s="57" t="s">
        <v>23</v>
      </c>
      <c r="C48" s="33" t="s">
        <v>5</v>
      </c>
      <c r="D48" s="36">
        <f>D50+D51+D52+D53+D54</f>
        <v>10125.1</v>
      </c>
      <c r="E48" s="79">
        <f t="shared" ref="E48:L48" si="11">E50+E51+E52+E53+E54</f>
        <v>17657.333895</v>
      </c>
      <c r="F48" s="79">
        <f t="shared" si="11"/>
        <v>11358.071054999999</v>
      </c>
      <c r="G48" s="79">
        <f t="shared" si="11"/>
        <v>115251.50252571949</v>
      </c>
      <c r="H48" s="79">
        <f t="shared" si="11"/>
        <v>20720.217000050125</v>
      </c>
      <c r="I48" s="79">
        <f t="shared" si="11"/>
        <v>22048.197118484175</v>
      </c>
      <c r="J48" s="79">
        <f t="shared" si="11"/>
        <v>23224.189866428947</v>
      </c>
      <c r="K48" s="79">
        <f t="shared" si="11"/>
        <v>24225.345550186343</v>
      </c>
      <c r="L48" s="79">
        <f t="shared" si="11"/>
        <v>25033.552990569908</v>
      </c>
    </row>
    <row r="49" spans="1:13" ht="15.75">
      <c r="A49" s="64"/>
      <c r="B49" s="20" t="s">
        <v>4</v>
      </c>
      <c r="C49" s="163"/>
      <c r="D49" s="34"/>
      <c r="E49" s="76"/>
      <c r="F49" s="76"/>
      <c r="G49" s="76"/>
      <c r="H49" s="76"/>
      <c r="I49" s="76"/>
      <c r="J49" s="76"/>
      <c r="K49" s="76"/>
      <c r="L49" s="76"/>
    </row>
    <row r="50" spans="1:13" ht="31.5">
      <c r="A50" s="161" t="s">
        <v>82</v>
      </c>
      <c r="B50" s="20" t="s">
        <v>24</v>
      </c>
      <c r="C50" s="162" t="s">
        <v>5</v>
      </c>
      <c r="D50" s="34">
        <v>6446.9</v>
      </c>
      <c r="E50" s="76">
        <v>11282</v>
      </c>
      <c r="F50" s="76">
        <v>6796.44</v>
      </c>
      <c r="G50" s="32">
        <f>H50+I50+J50+K50+L50</f>
        <v>61519.527888000011</v>
      </c>
      <c r="H50" s="32">
        <v>10920</v>
      </c>
      <c r="I50" s="32">
        <f>H50*1.07</f>
        <v>11684.400000000001</v>
      </c>
      <c r="J50" s="76">
        <f>I50*1.06</f>
        <v>12385.464000000002</v>
      </c>
      <c r="K50" s="76">
        <f>J50*1.05</f>
        <v>13004.737200000003</v>
      </c>
      <c r="L50" s="76">
        <f>K50*1.04</f>
        <v>13524.926688000003</v>
      </c>
    </row>
    <row r="51" spans="1:13" ht="15.75">
      <c r="A51" s="161" t="s">
        <v>83</v>
      </c>
      <c r="B51" s="20" t="s">
        <v>9</v>
      </c>
      <c r="C51" s="162" t="s">
        <v>5</v>
      </c>
      <c r="D51" s="34">
        <v>348.1</v>
      </c>
      <c r="E51" s="76">
        <v>704</v>
      </c>
      <c r="F51" s="76">
        <v>406.02</v>
      </c>
      <c r="G51" s="32">
        <f>H51+I51+J51+K51+L51</f>
        <v>3675.1827005146465</v>
      </c>
      <c r="H51" s="32">
        <f>F51/F50*H50</f>
        <v>652.36188357434185</v>
      </c>
      <c r="I51" s="32">
        <f>H51*1.07</f>
        <v>698.02721542454583</v>
      </c>
      <c r="J51" s="32">
        <f>I51*1.06</f>
        <v>739.90884835001862</v>
      </c>
      <c r="K51" s="32">
        <f>J51*1.05</f>
        <v>776.90429076751957</v>
      </c>
      <c r="L51" s="32">
        <f>K51*1.04</f>
        <v>807.98046239822042</v>
      </c>
    </row>
    <row r="52" spans="1:13" ht="15.75">
      <c r="A52" s="23" t="s">
        <v>134</v>
      </c>
      <c r="B52" s="20" t="s">
        <v>122</v>
      </c>
      <c r="C52" s="162"/>
      <c r="D52" s="34">
        <v>290.10000000000002</v>
      </c>
      <c r="E52" s="76">
        <v>411</v>
      </c>
      <c r="F52" s="76">
        <v>278.58999999999997</v>
      </c>
      <c r="G52" s="32">
        <f>H52+I52+J52+K52+L52</f>
        <v>2521.72097073143</v>
      </c>
      <c r="H52" s="32">
        <f>F52/F50*H50</f>
        <v>447.61710542578169</v>
      </c>
      <c r="I52" s="32">
        <f>H52*1.07</f>
        <v>478.95030280558643</v>
      </c>
      <c r="J52" s="32">
        <f>I52*1.06</f>
        <v>507.68732097392166</v>
      </c>
      <c r="K52" s="32">
        <f>J52*1.05</f>
        <v>533.07168702261777</v>
      </c>
      <c r="L52" s="32">
        <f>K52*1.04</f>
        <v>554.3945545035225</v>
      </c>
    </row>
    <row r="53" spans="1:13" ht="15.75">
      <c r="A53" s="161" t="s">
        <v>84</v>
      </c>
      <c r="B53" s="20" t="s">
        <v>154</v>
      </c>
      <c r="C53" s="162"/>
      <c r="D53" s="26">
        <v>265</v>
      </c>
      <c r="E53" s="80">
        <f>[13]TDSheet!$J$43/1000</f>
        <v>164.21405999999999</v>
      </c>
      <c r="F53" s="80">
        <f>[14]TDSheet!$J$41/1000</f>
        <v>153.5615</v>
      </c>
      <c r="G53" s="32">
        <f>H53+I53+J53+K53+L53</f>
        <v>989.88438139521293</v>
      </c>
      <c r="H53" s="32">
        <f>E53*1.07</f>
        <v>175.70904419999999</v>
      </c>
      <c r="I53" s="32">
        <f>H53*1.07</f>
        <v>188.00867729399999</v>
      </c>
      <c r="J53" s="32">
        <f>I53*1.06</f>
        <v>199.28919793164002</v>
      </c>
      <c r="K53" s="32">
        <f>J53*1.05</f>
        <v>209.25365782822203</v>
      </c>
      <c r="L53" s="32">
        <f>K53*1.04</f>
        <v>217.62380414135092</v>
      </c>
    </row>
    <row r="54" spans="1:13" ht="15.75">
      <c r="A54" s="165" t="s">
        <v>85</v>
      </c>
      <c r="B54" s="57" t="s">
        <v>155</v>
      </c>
      <c r="C54" s="33"/>
      <c r="D54" s="36">
        <f>D55+D56+D57+D58+D59+D60+D61+D62+D63+D64+D65+D66+D67+D68+D69+D70+D71+D72+D73+D74+D75+D76+D77+D78+D79</f>
        <v>2775</v>
      </c>
      <c r="E54" s="79">
        <f t="shared" ref="E54:L54" si="12">E55+E56+E57+E58+E59+E60+E61+E62+E63+E64+E65+E66+E67+E68+E69+E70+E71+E72+E73+E74+E75+E76+E77+E78+E79</f>
        <v>5096.1198349999995</v>
      </c>
      <c r="F54" s="79">
        <f t="shared" si="12"/>
        <v>3723.4595549999999</v>
      </c>
      <c r="G54" s="79">
        <f t="shared" si="12"/>
        <v>46545.186585078191</v>
      </c>
      <c r="H54" s="79">
        <f t="shared" si="12"/>
        <v>8524.5289668500009</v>
      </c>
      <c r="I54" s="79">
        <f t="shared" si="12"/>
        <v>8998.8109229600395</v>
      </c>
      <c r="J54" s="79">
        <f t="shared" si="12"/>
        <v>9391.8404991733642</v>
      </c>
      <c r="K54" s="79">
        <f t="shared" si="12"/>
        <v>9701.3787145679798</v>
      </c>
      <c r="L54" s="79">
        <f t="shared" si="12"/>
        <v>9928.6274815268098</v>
      </c>
    </row>
    <row r="55" spans="1:13" ht="15.75">
      <c r="A55" s="23" t="s">
        <v>165</v>
      </c>
      <c r="B55" s="20" t="s">
        <v>144</v>
      </c>
      <c r="C55" s="162"/>
      <c r="D55" s="34"/>
      <c r="E55" s="32">
        <v>3000</v>
      </c>
      <c r="F55" s="76"/>
      <c r="G55" s="32">
        <f t="shared" ref="G55:G61" si="13">H55+I55+J55+K55+L55</f>
        <v>16900.969200000003</v>
      </c>
      <c r="H55" s="32">
        <f>E55</f>
        <v>3000</v>
      </c>
      <c r="I55" s="32">
        <f>H55*1.07</f>
        <v>3210</v>
      </c>
      <c r="J55" s="32">
        <f>I55*1.06</f>
        <v>3402.6000000000004</v>
      </c>
      <c r="K55" s="32">
        <f>J55*1.05</f>
        <v>3572.7300000000005</v>
      </c>
      <c r="L55" s="32">
        <f>K55*1.04</f>
        <v>3715.6392000000005</v>
      </c>
    </row>
    <row r="56" spans="1:13" ht="15.75">
      <c r="A56" s="23" t="s">
        <v>166</v>
      </c>
      <c r="B56" s="20" t="s">
        <v>147</v>
      </c>
      <c r="C56" s="162"/>
      <c r="D56" s="34"/>
      <c r="E56" s="76">
        <v>9.8000000000000007</v>
      </c>
      <c r="F56" s="76">
        <v>9.8000000000000007</v>
      </c>
      <c r="G56" s="32">
        <f t="shared" si="13"/>
        <v>59.074521010400019</v>
      </c>
      <c r="H56" s="32">
        <f>F56*1.07</f>
        <v>10.486000000000001</v>
      </c>
      <c r="I56" s="32">
        <f t="shared" ref="I56:I61" si="14">H56*1.07</f>
        <v>11.220020000000002</v>
      </c>
      <c r="J56" s="32">
        <f t="shared" ref="J56:J61" si="15">I56*1.06</f>
        <v>11.893221200000003</v>
      </c>
      <c r="K56" s="32">
        <f t="shared" ref="K56:K61" si="16">J56*1.05</f>
        <v>12.487882260000003</v>
      </c>
      <c r="L56" s="32">
        <f t="shared" ref="L56:L61" si="17">K56*1.04</f>
        <v>12.987397550400003</v>
      </c>
    </row>
    <row r="57" spans="1:13" ht="15.75">
      <c r="A57" s="23" t="s">
        <v>167</v>
      </c>
      <c r="B57" s="20" t="s">
        <v>184</v>
      </c>
      <c r="C57" s="162"/>
      <c r="D57" s="34"/>
      <c r="E57" s="76">
        <v>156.05000000000001</v>
      </c>
      <c r="F57" s="76">
        <v>88.8</v>
      </c>
      <c r="G57" s="32">
        <f t="shared" si="13"/>
        <v>940.67132690540029</v>
      </c>
      <c r="H57" s="32">
        <f>E57*1.07</f>
        <v>166.97350000000003</v>
      </c>
      <c r="I57" s="32">
        <f t="shared" si="14"/>
        <v>178.66164500000005</v>
      </c>
      <c r="J57" s="32">
        <f t="shared" si="15"/>
        <v>189.38134370000006</v>
      </c>
      <c r="K57" s="32">
        <f t="shared" si="16"/>
        <v>198.85041088500006</v>
      </c>
      <c r="L57" s="32">
        <f t="shared" si="17"/>
        <v>206.80442732040007</v>
      </c>
      <c r="M57" s="68"/>
    </row>
    <row r="58" spans="1:13" ht="15.75">
      <c r="A58" s="23" t="s">
        <v>168</v>
      </c>
      <c r="B58" s="20" t="s">
        <v>185</v>
      </c>
      <c r="C58" s="162"/>
      <c r="D58" s="34"/>
      <c r="E58" s="76"/>
      <c r="F58" s="76"/>
      <c r="G58" s="32">
        <f t="shared" si="13"/>
        <v>0</v>
      </c>
      <c r="H58" s="76"/>
      <c r="I58" s="32">
        <f t="shared" si="14"/>
        <v>0</v>
      </c>
      <c r="J58" s="32">
        <f t="shared" si="15"/>
        <v>0</v>
      </c>
      <c r="K58" s="32">
        <f t="shared" si="16"/>
        <v>0</v>
      </c>
      <c r="L58" s="32">
        <f t="shared" si="17"/>
        <v>0</v>
      </c>
    </row>
    <row r="59" spans="1:13" ht="15.75">
      <c r="A59" s="23" t="s">
        <v>169</v>
      </c>
      <c r="B59" s="20" t="s">
        <v>186</v>
      </c>
      <c r="C59" s="162"/>
      <c r="D59" s="34"/>
      <c r="E59" s="32">
        <f>[16]TDSheet!$F$92/1000/2</f>
        <v>0.40448000000000001</v>
      </c>
      <c r="F59" s="32">
        <f>[17]TDSheet!$F$118/1000/2</f>
        <v>199.99845499999998</v>
      </c>
      <c r="G59" s="32">
        <f t="shared" si="13"/>
        <v>1205.5931563209224</v>
      </c>
      <c r="H59" s="32">
        <f>F59*1.07</f>
        <v>213.99834684999999</v>
      </c>
      <c r="I59" s="32">
        <f t="shared" si="14"/>
        <v>228.97823112949999</v>
      </c>
      <c r="J59" s="32">
        <f t="shared" si="15"/>
        <v>242.71692499727001</v>
      </c>
      <c r="K59" s="32">
        <f t="shared" si="16"/>
        <v>254.85277124713352</v>
      </c>
      <c r="L59" s="32">
        <f t="shared" si="17"/>
        <v>265.04688209701885</v>
      </c>
    </row>
    <row r="60" spans="1:13" ht="15.75">
      <c r="A60" s="23" t="s">
        <v>170</v>
      </c>
      <c r="B60" s="20" t="s">
        <v>25</v>
      </c>
      <c r="C60" s="163"/>
      <c r="D60" s="26">
        <v>470</v>
      </c>
      <c r="E60" s="32">
        <v>132.6</v>
      </c>
      <c r="F60" s="32">
        <v>200</v>
      </c>
      <c r="G60" s="32">
        <f t="shared" si="13"/>
        <v>1205.6024696000002</v>
      </c>
      <c r="H60" s="32">
        <f>F60*1.07</f>
        <v>214</v>
      </c>
      <c r="I60" s="32">
        <f t="shared" si="14"/>
        <v>228.98000000000002</v>
      </c>
      <c r="J60" s="32">
        <f t="shared" si="15"/>
        <v>242.71880000000004</v>
      </c>
      <c r="K60" s="32">
        <f t="shared" si="16"/>
        <v>254.85474000000005</v>
      </c>
      <c r="L60" s="32">
        <f t="shared" si="17"/>
        <v>265.04892960000006</v>
      </c>
    </row>
    <row r="61" spans="1:13" ht="15.75">
      <c r="A61" s="23" t="s">
        <v>171</v>
      </c>
      <c r="B61" s="20" t="s">
        <v>19</v>
      </c>
      <c r="C61" s="163"/>
      <c r="D61" s="26">
        <v>401</v>
      </c>
      <c r="E61" s="32">
        <v>154.19999999999999</v>
      </c>
      <c r="F61" s="32">
        <v>22.6</v>
      </c>
      <c r="G61" s="32">
        <f t="shared" si="13"/>
        <v>929.51950406160017</v>
      </c>
      <c r="H61" s="32">
        <f>E61*1.07</f>
        <v>164.994</v>
      </c>
      <c r="I61" s="32">
        <f t="shared" si="14"/>
        <v>176.54358000000002</v>
      </c>
      <c r="J61" s="32">
        <f t="shared" si="15"/>
        <v>187.13619480000003</v>
      </c>
      <c r="K61" s="32">
        <f t="shared" si="16"/>
        <v>196.49300454000004</v>
      </c>
      <c r="L61" s="32">
        <f t="shared" si="17"/>
        <v>204.35272472160005</v>
      </c>
    </row>
    <row r="62" spans="1:13" ht="15.75">
      <c r="A62" s="23" t="s">
        <v>172</v>
      </c>
      <c r="B62" s="20" t="s">
        <v>26</v>
      </c>
      <c r="C62" s="162" t="s">
        <v>5</v>
      </c>
      <c r="D62" s="26"/>
      <c r="E62" s="32">
        <f>[18]TDSheet!$E$22/2/1000</f>
        <v>621.11535500000002</v>
      </c>
      <c r="F62" s="32">
        <f>[2]TDSheet!$H$138/2/1000</f>
        <v>628.54509999999993</v>
      </c>
      <c r="G62" s="32">
        <f>H62+I62+J62+K62+L62</f>
        <v>4891.9087636302966</v>
      </c>
      <c r="H62" s="32">
        <f>94240*12/1000</f>
        <v>1130.8800000000001</v>
      </c>
      <c r="I62" s="32">
        <f>(H62/([3]TDSheet!$D$170/1000)%)*(([3]TDSheet!$D$170/1000)-H62)%</f>
        <v>1087.6065284305366</v>
      </c>
      <c r="J62" s="32">
        <f>(I62/([3]TDSheet!$D$170/1000)%)*(([3]TDSheet!$D$170/1000)-I62-H62)%</f>
        <v>1005.9638409720931</v>
      </c>
      <c r="K62" s="32">
        <f>(J62/([3]TDSheet!$D$170/1000)%)*(([3]TDSheet!$D$170/1000)-J62-I62-H62)%</f>
        <v>896.20822345664646</v>
      </c>
      <c r="L62" s="32">
        <f>(K62/([3]TDSheet!$D$170/1000)%)*(([3]TDSheet!$D$170/1000)-K62-J62-I62-H62)%</f>
        <v>771.25017077102075</v>
      </c>
      <c r="M62" s="69"/>
    </row>
    <row r="63" spans="1:13" ht="47.25">
      <c r="A63" s="23" t="s">
        <v>173</v>
      </c>
      <c r="B63" s="20" t="s">
        <v>27</v>
      </c>
      <c r="C63" s="162" t="s">
        <v>5</v>
      </c>
      <c r="D63" s="26"/>
      <c r="E63" s="32"/>
      <c r="F63" s="32"/>
      <c r="G63" s="32">
        <f t="shared" ref="G63:G79" si="18">H63+I63+J63+K63+L63</f>
        <v>0</v>
      </c>
      <c r="H63" s="32"/>
      <c r="I63" s="32"/>
      <c r="J63" s="32"/>
      <c r="K63" s="32"/>
      <c r="L63" s="32"/>
    </row>
    <row r="64" spans="1:13" ht="15.75">
      <c r="A64" s="23" t="s">
        <v>174</v>
      </c>
      <c r="B64" s="45" t="s">
        <v>28</v>
      </c>
      <c r="C64" s="162" t="s">
        <v>5</v>
      </c>
      <c r="D64" s="26"/>
      <c r="E64" s="32"/>
      <c r="F64" s="32"/>
      <c r="G64" s="32">
        <f t="shared" si="18"/>
        <v>676.03876800000012</v>
      </c>
      <c r="H64" s="32">
        <f>(20*12)/2</f>
        <v>120</v>
      </c>
      <c r="I64" s="32">
        <f>H64*1.07</f>
        <v>128.4</v>
      </c>
      <c r="J64" s="32">
        <f>I64*1.06</f>
        <v>136.10400000000001</v>
      </c>
      <c r="K64" s="32">
        <f>J64*1.05</f>
        <v>142.90920000000003</v>
      </c>
      <c r="L64" s="32">
        <f>K64*1.04</f>
        <v>148.62556800000004</v>
      </c>
    </row>
    <row r="65" spans="1:12" ht="15.75">
      <c r="A65" s="23" t="s">
        <v>175</v>
      </c>
      <c r="B65" s="20" t="s">
        <v>29</v>
      </c>
      <c r="C65" s="162" t="s">
        <v>5</v>
      </c>
      <c r="D65" s="26"/>
      <c r="E65" s="32"/>
      <c r="F65" s="32"/>
      <c r="G65" s="32">
        <f t="shared" si="18"/>
        <v>0</v>
      </c>
      <c r="H65" s="32"/>
      <c r="I65" s="32">
        <f>H65*1.07</f>
        <v>0</v>
      </c>
      <c r="J65" s="32">
        <f>I65*1.06</f>
        <v>0</v>
      </c>
      <c r="K65" s="32">
        <f>J65*1.05</f>
        <v>0</v>
      </c>
      <c r="L65" s="32">
        <f>K65*1.04</f>
        <v>0</v>
      </c>
    </row>
    <row r="66" spans="1:12" ht="15.75">
      <c r="A66" s="23" t="s">
        <v>176</v>
      </c>
      <c r="B66" s="20" t="s">
        <v>30</v>
      </c>
      <c r="C66" s="162" t="s">
        <v>5</v>
      </c>
      <c r="D66" s="26">
        <v>1200</v>
      </c>
      <c r="E66" s="32">
        <v>466.8</v>
      </c>
      <c r="F66" s="32">
        <v>800</v>
      </c>
      <c r="G66" s="32">
        <f t="shared" si="18"/>
        <v>4822.4098784000007</v>
      </c>
      <c r="H66" s="32">
        <f>F66*1.07</f>
        <v>856</v>
      </c>
      <c r="I66" s="32">
        <f>H66*1.07</f>
        <v>915.92000000000007</v>
      </c>
      <c r="J66" s="32">
        <f>I66*1.06</f>
        <v>970.87520000000018</v>
      </c>
      <c r="K66" s="32">
        <f>J66*1.05</f>
        <v>1019.4189600000002</v>
      </c>
      <c r="L66" s="32">
        <f>K66*1.04</f>
        <v>1060.1957184000003</v>
      </c>
    </row>
    <row r="67" spans="1:12" ht="31.5">
      <c r="A67" s="23" t="s">
        <v>177</v>
      </c>
      <c r="B67" s="20" t="s">
        <v>31</v>
      </c>
      <c r="C67" s="162" t="s">
        <v>5</v>
      </c>
      <c r="D67" s="26"/>
      <c r="E67" s="32">
        <v>36.15</v>
      </c>
      <c r="F67" s="32">
        <v>55</v>
      </c>
      <c r="G67" s="32">
        <f t="shared" si="18"/>
        <v>331.54067914000007</v>
      </c>
      <c r="H67" s="32">
        <f>F67*1.07</f>
        <v>58.85</v>
      </c>
      <c r="I67" s="32">
        <f>H67*1.07</f>
        <v>62.969500000000004</v>
      </c>
      <c r="J67" s="32">
        <f>I67*1.06</f>
        <v>66.747670000000014</v>
      </c>
      <c r="K67" s="32">
        <f>J67*1.05</f>
        <v>70.085053500000015</v>
      </c>
      <c r="L67" s="32">
        <f>K67*1.04</f>
        <v>72.888455640000018</v>
      </c>
    </row>
    <row r="68" spans="1:12" ht="15.75">
      <c r="A68" s="23" t="s">
        <v>178</v>
      </c>
      <c r="B68" s="20" t="s">
        <v>18</v>
      </c>
      <c r="C68" s="162" t="s">
        <v>5</v>
      </c>
      <c r="D68" s="26"/>
      <c r="E68" s="32"/>
      <c r="F68" s="32"/>
      <c r="G68" s="32">
        <f t="shared" si="18"/>
        <v>0</v>
      </c>
      <c r="H68" s="32"/>
      <c r="I68" s="32"/>
      <c r="J68" s="32"/>
      <c r="K68" s="32"/>
      <c r="L68" s="32"/>
    </row>
    <row r="69" spans="1:12" s="89" customFormat="1" ht="31.5">
      <c r="A69" s="83" t="s">
        <v>179</v>
      </c>
      <c r="B69" s="84" t="s">
        <v>32</v>
      </c>
      <c r="C69" s="85" t="s">
        <v>5</v>
      </c>
      <c r="D69" s="86"/>
      <c r="E69" s="87"/>
      <c r="F69" s="87">
        <f>[19]TDSheet!$F$11/1000/2</f>
        <v>1696.0160000000001</v>
      </c>
      <c r="G69" s="87">
        <f t="shared" si="18"/>
        <v>10223.60539040557</v>
      </c>
      <c r="H69" s="88">
        <f>F69*1.07</f>
        <v>1814.7371200000002</v>
      </c>
      <c r="I69" s="87">
        <f>H69*1.07</f>
        <v>1941.7687184000004</v>
      </c>
      <c r="J69" s="87">
        <f>I69*1.06</f>
        <v>2058.2748415040005</v>
      </c>
      <c r="K69" s="87">
        <f>J69*1.05</f>
        <v>2161.1885835792004</v>
      </c>
      <c r="L69" s="87">
        <f>K69*1.04</f>
        <v>2247.6361269223685</v>
      </c>
    </row>
    <row r="70" spans="1:12" ht="15.75">
      <c r="A70" s="23" t="s">
        <v>180</v>
      </c>
      <c r="B70" s="20" t="s">
        <v>33</v>
      </c>
      <c r="C70" s="162" t="s">
        <v>5</v>
      </c>
      <c r="D70" s="26"/>
      <c r="E70" s="32"/>
      <c r="F70" s="32"/>
      <c r="G70" s="32">
        <f t="shared" si="18"/>
        <v>0</v>
      </c>
      <c r="H70" s="32"/>
      <c r="I70" s="32"/>
      <c r="J70" s="32"/>
      <c r="K70" s="32"/>
      <c r="L70" s="32"/>
    </row>
    <row r="71" spans="1:12" ht="31.5">
      <c r="A71" s="23" t="s">
        <v>181</v>
      </c>
      <c r="B71" s="20" t="s">
        <v>199</v>
      </c>
      <c r="C71" s="162" t="s">
        <v>5</v>
      </c>
      <c r="D71" s="26"/>
      <c r="E71" s="32"/>
      <c r="F71" s="32"/>
      <c r="G71" s="32">
        <f t="shared" si="18"/>
        <v>0</v>
      </c>
      <c r="H71" s="32"/>
      <c r="I71" s="32"/>
      <c r="J71" s="32"/>
      <c r="K71" s="32"/>
      <c r="L71" s="32"/>
    </row>
    <row r="72" spans="1:12" ht="15.75">
      <c r="A72" s="23" t="s">
        <v>182</v>
      </c>
      <c r="B72" s="20" t="s">
        <v>35</v>
      </c>
      <c r="C72" s="162" t="s">
        <v>5</v>
      </c>
      <c r="D72" s="26">
        <v>154</v>
      </c>
      <c r="E72" s="32"/>
      <c r="F72" s="32"/>
      <c r="G72" s="32">
        <f t="shared" si="18"/>
        <v>928.31390159200009</v>
      </c>
      <c r="H72" s="32">
        <f>D72*1.07</f>
        <v>164.78</v>
      </c>
      <c r="I72" s="32">
        <f>H72*1.07</f>
        <v>176.31460000000001</v>
      </c>
      <c r="J72" s="32">
        <f>I72*1.06</f>
        <v>186.89347600000002</v>
      </c>
      <c r="K72" s="32">
        <f>J72*1.05</f>
        <v>196.23814980000003</v>
      </c>
      <c r="L72" s="32">
        <f>K72*1.04</f>
        <v>204.08767579200003</v>
      </c>
    </row>
    <row r="73" spans="1:12" ht="15.75">
      <c r="A73" s="23" t="s">
        <v>183</v>
      </c>
      <c r="B73" s="20" t="s">
        <v>132</v>
      </c>
      <c r="C73" s="162" t="s">
        <v>5</v>
      </c>
      <c r="D73" s="26"/>
      <c r="E73" s="32"/>
      <c r="F73" s="32"/>
      <c r="G73" s="32">
        <f t="shared" si="18"/>
        <v>0</v>
      </c>
      <c r="H73" s="32"/>
      <c r="I73" s="32">
        <f t="shared" ref="I73:I78" si="19">H73*1.07</f>
        <v>0</v>
      </c>
      <c r="J73" s="32">
        <f t="shared" ref="J73:J78" si="20">I73*1.06</f>
        <v>0</v>
      </c>
      <c r="K73" s="32">
        <f t="shared" ref="K73:K78" si="21">J73*1.05</f>
        <v>0</v>
      </c>
      <c r="L73" s="32">
        <f t="shared" ref="L73:L78" si="22">K73*1.04</f>
        <v>0</v>
      </c>
    </row>
    <row r="74" spans="1:12" ht="15.75">
      <c r="A74" s="23" t="s">
        <v>187</v>
      </c>
      <c r="B74" s="20" t="s">
        <v>130</v>
      </c>
      <c r="C74" s="162" t="s">
        <v>5</v>
      </c>
      <c r="D74" s="26">
        <v>100</v>
      </c>
      <c r="E74" s="32"/>
      <c r="F74" s="32">
        <v>22.7</v>
      </c>
      <c r="G74" s="32">
        <f t="shared" si="18"/>
        <v>301.40061740000004</v>
      </c>
      <c r="H74" s="32">
        <f>D74/2*1.07</f>
        <v>53.5</v>
      </c>
      <c r="I74" s="32">
        <f t="shared" si="19"/>
        <v>57.245000000000005</v>
      </c>
      <c r="J74" s="32">
        <f t="shared" si="20"/>
        <v>60.679700000000011</v>
      </c>
      <c r="K74" s="32">
        <f t="shared" si="21"/>
        <v>63.713685000000012</v>
      </c>
      <c r="L74" s="32">
        <f t="shared" si="22"/>
        <v>66.262232400000016</v>
      </c>
    </row>
    <row r="75" spans="1:12" ht="15.75">
      <c r="A75" s="23" t="s">
        <v>188</v>
      </c>
      <c r="B75" s="20" t="s">
        <v>133</v>
      </c>
      <c r="C75" s="162" t="s">
        <v>5</v>
      </c>
      <c r="D75" s="26">
        <v>220</v>
      </c>
      <c r="E75" s="32">
        <v>290</v>
      </c>
      <c r="F75" s="32"/>
      <c r="G75" s="32">
        <f t="shared" si="18"/>
        <v>1748.1235809200002</v>
      </c>
      <c r="H75" s="32">
        <f>E75*1.07</f>
        <v>310.3</v>
      </c>
      <c r="I75" s="32">
        <f t="shared" si="19"/>
        <v>332.02100000000002</v>
      </c>
      <c r="J75" s="32">
        <f t="shared" si="20"/>
        <v>351.94226000000003</v>
      </c>
      <c r="K75" s="32">
        <f t="shared" si="21"/>
        <v>369.53937300000007</v>
      </c>
      <c r="L75" s="32">
        <f t="shared" si="22"/>
        <v>384.32094792000009</v>
      </c>
    </row>
    <row r="76" spans="1:12" ht="15.75">
      <c r="A76" s="23" t="s">
        <v>189</v>
      </c>
      <c r="B76" s="20" t="s">
        <v>137</v>
      </c>
      <c r="C76" s="162" t="s">
        <v>5</v>
      </c>
      <c r="D76" s="26">
        <v>85</v>
      </c>
      <c r="E76" s="32">
        <v>119</v>
      </c>
      <c r="F76" s="32"/>
      <c r="G76" s="32">
        <f t="shared" si="18"/>
        <v>717.33346941200023</v>
      </c>
      <c r="H76" s="32">
        <f>E76*1.07</f>
        <v>127.33000000000001</v>
      </c>
      <c r="I76" s="32">
        <f t="shared" si="19"/>
        <v>136.24310000000003</v>
      </c>
      <c r="J76" s="32">
        <f t="shared" si="20"/>
        <v>144.41768600000003</v>
      </c>
      <c r="K76" s="32">
        <f t="shared" si="21"/>
        <v>151.63857030000003</v>
      </c>
      <c r="L76" s="32">
        <f t="shared" si="22"/>
        <v>157.70411311200004</v>
      </c>
    </row>
    <row r="77" spans="1:12" ht="15.75">
      <c r="A77" s="23" t="s">
        <v>190</v>
      </c>
      <c r="B77" s="20" t="s">
        <v>138</v>
      </c>
      <c r="C77" s="162" t="s">
        <v>5</v>
      </c>
      <c r="D77" s="26">
        <v>100</v>
      </c>
      <c r="E77" s="32">
        <v>30</v>
      </c>
      <c r="F77" s="32"/>
      <c r="G77" s="32">
        <f t="shared" si="18"/>
        <v>180.84037044000002</v>
      </c>
      <c r="H77" s="32">
        <f>E77*1.07</f>
        <v>32.1</v>
      </c>
      <c r="I77" s="32">
        <f t="shared" si="19"/>
        <v>34.347000000000001</v>
      </c>
      <c r="J77" s="32">
        <f t="shared" si="20"/>
        <v>36.407820000000001</v>
      </c>
      <c r="K77" s="32">
        <f t="shared" si="21"/>
        <v>38.228211000000002</v>
      </c>
      <c r="L77" s="32">
        <f t="shared" si="22"/>
        <v>39.757339440000003</v>
      </c>
    </row>
    <row r="78" spans="1:12" ht="15.75">
      <c r="A78" s="23" t="s">
        <v>192</v>
      </c>
      <c r="B78" s="20" t="s">
        <v>139</v>
      </c>
      <c r="C78" s="162" t="s">
        <v>5</v>
      </c>
      <c r="D78" s="26">
        <v>45</v>
      </c>
      <c r="E78" s="32">
        <v>80</v>
      </c>
      <c r="F78" s="32"/>
      <c r="G78" s="32">
        <f t="shared" si="18"/>
        <v>482.24098784000012</v>
      </c>
      <c r="H78" s="32">
        <f>E78*1.07</f>
        <v>85.600000000000009</v>
      </c>
      <c r="I78" s="32">
        <f t="shared" si="19"/>
        <v>91.592000000000013</v>
      </c>
      <c r="J78" s="32">
        <f t="shared" si="20"/>
        <v>97.087520000000012</v>
      </c>
      <c r="K78" s="32">
        <f t="shared" si="21"/>
        <v>101.94189600000001</v>
      </c>
      <c r="L78" s="32">
        <f t="shared" si="22"/>
        <v>106.01957184000001</v>
      </c>
    </row>
    <row r="79" spans="1:12" ht="31.5">
      <c r="A79" s="23" t="s">
        <v>193</v>
      </c>
      <c r="B79" s="20" t="s">
        <v>36</v>
      </c>
      <c r="C79" s="162" t="s">
        <v>5</v>
      </c>
      <c r="D79" s="26"/>
      <c r="E79" s="32"/>
      <c r="F79" s="32"/>
      <c r="G79" s="32">
        <f t="shared" si="18"/>
        <v>0</v>
      </c>
      <c r="H79" s="32"/>
      <c r="I79" s="32"/>
      <c r="J79" s="32"/>
      <c r="K79" s="32"/>
      <c r="L79" s="32"/>
    </row>
    <row r="80" spans="1:12" ht="15.75">
      <c r="A80" s="165" t="s">
        <v>86</v>
      </c>
      <c r="B80" s="57" t="s">
        <v>37</v>
      </c>
      <c r="C80" s="33" t="s">
        <v>5</v>
      </c>
      <c r="D80" s="36"/>
      <c r="E80" s="65"/>
      <c r="F80" s="65"/>
      <c r="G80" s="65">
        <f>H80+I80+J80+K80+L80</f>
        <v>0</v>
      </c>
      <c r="H80" s="65"/>
      <c r="I80" s="65"/>
      <c r="J80" s="65"/>
      <c r="K80" s="65"/>
      <c r="L80" s="65"/>
    </row>
    <row r="81" spans="1:12" ht="15.75">
      <c r="A81" s="165" t="s">
        <v>38</v>
      </c>
      <c r="B81" s="57" t="s">
        <v>39</v>
      </c>
      <c r="C81" s="33" t="s">
        <v>5</v>
      </c>
      <c r="D81" s="36">
        <f t="shared" ref="D81:L81" si="23">D47+D14</f>
        <v>34778.1</v>
      </c>
      <c r="E81" s="79">
        <f t="shared" si="23"/>
        <v>47795.624765</v>
      </c>
      <c r="F81" s="79">
        <f t="shared" si="23"/>
        <v>41705.247014999994</v>
      </c>
      <c r="G81" s="79">
        <f t="shared" si="23"/>
        <v>452311.12744710001</v>
      </c>
      <c r="H81" s="79">
        <f t="shared" si="23"/>
        <v>79229.689620540274</v>
      </c>
      <c r="I81" s="79">
        <f t="shared" si="23"/>
        <v>85620.871983933932</v>
      </c>
      <c r="J81" s="79">
        <f t="shared" si="23"/>
        <v>90833.538767958889</v>
      </c>
      <c r="K81" s="79">
        <f t="shared" si="23"/>
        <v>70395.515856139391</v>
      </c>
      <c r="L81" s="79">
        <f t="shared" si="23"/>
        <v>100906.8100685275</v>
      </c>
    </row>
    <row r="82" spans="1:12" ht="15.75">
      <c r="A82" s="165" t="s">
        <v>40</v>
      </c>
      <c r="B82" s="57" t="s">
        <v>200</v>
      </c>
      <c r="C82" s="33" t="s">
        <v>5</v>
      </c>
      <c r="D82" s="34"/>
      <c r="E82" s="82"/>
      <c r="F82" s="82"/>
      <c r="G82" s="76"/>
      <c r="H82" s="81">
        <v>6372.69</v>
      </c>
      <c r="I82" s="81">
        <v>6533</v>
      </c>
      <c r="J82" s="81">
        <v>6742</v>
      </c>
      <c r="K82" s="81">
        <v>6844</v>
      </c>
      <c r="L82" s="81">
        <v>6985</v>
      </c>
    </row>
    <row r="83" spans="1:12" ht="15.75">
      <c r="A83" s="165" t="s">
        <v>41</v>
      </c>
      <c r="B83" s="166" t="s">
        <v>198</v>
      </c>
      <c r="C83" s="33"/>
      <c r="D83" s="34"/>
      <c r="E83" s="76"/>
      <c r="F83" s="76"/>
      <c r="G83" s="76"/>
      <c r="H83" s="81">
        <v>115867.14</v>
      </c>
      <c r="I83" s="81">
        <v>118777.73</v>
      </c>
      <c r="J83" s="81">
        <v>122580</v>
      </c>
      <c r="K83" s="81">
        <v>124434</v>
      </c>
      <c r="L83" s="81">
        <v>127005</v>
      </c>
    </row>
    <row r="84" spans="1:12" ht="15.75">
      <c r="A84" s="165" t="s">
        <v>43</v>
      </c>
      <c r="B84" s="57" t="s">
        <v>42</v>
      </c>
      <c r="C84" s="33" t="s">
        <v>5</v>
      </c>
      <c r="D84" s="63">
        <v>34777.86</v>
      </c>
      <c r="E84" s="82"/>
      <c r="F84" s="82"/>
      <c r="G84" s="76"/>
      <c r="H84" s="32">
        <f>H81+H82</f>
        <v>85602.379620540276</v>
      </c>
      <c r="I84" s="32">
        <f>I81+I82</f>
        <v>92153.871983933932</v>
      </c>
      <c r="J84" s="32">
        <f>J81+J82</f>
        <v>97575.538767958889</v>
      </c>
      <c r="K84" s="32">
        <f>K81+K82</f>
        <v>77239.515856139391</v>
      </c>
      <c r="L84" s="32">
        <f>L81+L82</f>
        <v>107891.8100685275</v>
      </c>
    </row>
    <row r="85" spans="1:12" ht="18.75">
      <c r="A85" s="386" t="s">
        <v>45</v>
      </c>
      <c r="B85" s="387" t="s">
        <v>44</v>
      </c>
      <c r="C85" s="33" t="s">
        <v>100</v>
      </c>
      <c r="D85" s="41">
        <v>62.26</v>
      </c>
      <c r="E85" s="42">
        <v>51.52</v>
      </c>
      <c r="F85" s="43">
        <f>69.22+[7]октябрь!$E$21+[7]ноябрь!$E$21+[7]декабрь!$E$21</f>
        <v>81.923999999999992</v>
      </c>
      <c r="G85" s="78">
        <f>H85+I85+J85+K85+L85</f>
        <v>617.36000000000013</v>
      </c>
      <c r="H85" s="78">
        <v>111.72</v>
      </c>
      <c r="I85" s="78">
        <v>117.31</v>
      </c>
      <c r="J85" s="78">
        <v>123.18</v>
      </c>
      <c r="K85" s="78">
        <v>129.34</v>
      </c>
      <c r="L85" s="78">
        <v>135.81</v>
      </c>
    </row>
    <row r="86" spans="1:12" ht="31.5">
      <c r="A86" s="386"/>
      <c r="B86" s="387"/>
      <c r="C86" s="33" t="s">
        <v>2</v>
      </c>
      <c r="D86" s="26">
        <f>D81</f>
        <v>34778.1</v>
      </c>
      <c r="E86" s="82">
        <f>E85*D89</f>
        <v>30900.6656</v>
      </c>
      <c r="F86" s="82">
        <f>F85*D89</f>
        <v>49136.376719999993</v>
      </c>
      <c r="G86" s="76"/>
      <c r="H86" s="76">
        <f>H85*H89</f>
        <v>85602.379620540276</v>
      </c>
      <c r="I86" s="76">
        <f>I85*I89</f>
        <v>92153.871983933932</v>
      </c>
      <c r="J86" s="76">
        <f>J85*J89</f>
        <v>97575.538767958889</v>
      </c>
      <c r="K86" s="76">
        <f>K85*K89</f>
        <v>77239.515856139391</v>
      </c>
      <c r="L86" s="76">
        <f>L85*L89</f>
        <v>107891.8100685275</v>
      </c>
    </row>
    <row r="87" spans="1:12" ht="15.75">
      <c r="A87" s="386" t="s">
        <v>47</v>
      </c>
      <c r="B87" s="388" t="s">
        <v>201</v>
      </c>
      <c r="C87" s="33" t="s">
        <v>46</v>
      </c>
      <c r="D87" s="37">
        <v>3.8</v>
      </c>
      <c r="E87" s="76">
        <v>3.8</v>
      </c>
      <c r="F87" s="76">
        <f>E87</f>
        <v>3.8</v>
      </c>
      <c r="G87" s="76"/>
      <c r="H87" s="32">
        <v>5</v>
      </c>
      <c r="I87" s="32">
        <v>5</v>
      </c>
      <c r="J87" s="32">
        <v>5</v>
      </c>
      <c r="K87" s="32">
        <v>5</v>
      </c>
      <c r="L87" s="32">
        <v>5</v>
      </c>
    </row>
    <row r="88" spans="1:12" ht="18.75">
      <c r="A88" s="386"/>
      <c r="B88" s="388"/>
      <c r="C88" s="33" t="s">
        <v>100</v>
      </c>
      <c r="D88" s="26">
        <f>D85*D87%</f>
        <v>2.3658799999999998</v>
      </c>
      <c r="E88" s="28">
        <f>(E85*1.038)*E87%</f>
        <v>2.0321548800000002</v>
      </c>
      <c r="F88" s="28">
        <f>(F85*1.038)*F87%</f>
        <v>3.2314102559999998</v>
      </c>
      <c r="G88" s="76"/>
      <c r="H88" s="32">
        <f>H85*H87%</f>
        <v>5.5860000000000003</v>
      </c>
      <c r="I88" s="32">
        <f>I85*I87%</f>
        <v>5.8655000000000008</v>
      </c>
      <c r="J88" s="32">
        <f>J85*J87%</f>
        <v>6.1590000000000007</v>
      </c>
      <c r="K88" s="32">
        <f>K85*K87%</f>
        <v>6.4670000000000005</v>
      </c>
      <c r="L88" s="32">
        <f>L85*L87%</f>
        <v>6.7905000000000006</v>
      </c>
    </row>
    <row r="89" spans="1:12" ht="18.75">
      <c r="A89" s="165" t="s">
        <v>157</v>
      </c>
      <c r="B89" s="167" t="s">
        <v>48</v>
      </c>
      <c r="C89" s="33" t="s">
        <v>101</v>
      </c>
      <c r="D89" s="40">
        <v>599.78</v>
      </c>
      <c r="E89" s="40">
        <v>599.78</v>
      </c>
      <c r="F89" s="40">
        <v>599.78</v>
      </c>
      <c r="G89" s="32">
        <f>(H89+I89+J89+K89+L89)/5</f>
        <v>747.1065722593728</v>
      </c>
      <c r="H89" s="32">
        <f>H84/H85</f>
        <v>766.22251719065764</v>
      </c>
      <c r="I89" s="32">
        <f>I84/I85</f>
        <v>785.5585370721501</v>
      </c>
      <c r="J89" s="32">
        <f>J84/J85</f>
        <v>792.13783705113565</v>
      </c>
      <c r="K89" s="32">
        <f>K84/K85</f>
        <v>597.18196888927935</v>
      </c>
      <c r="L89" s="32">
        <f>L84/L85</f>
        <v>794.43200109364182</v>
      </c>
    </row>
    <row r="90" spans="1:12" ht="15.75">
      <c r="A90" s="64"/>
      <c r="B90" s="20" t="s">
        <v>49</v>
      </c>
      <c r="C90" s="163"/>
      <c r="D90" s="73"/>
      <c r="E90" s="82">
        <v>649.55999999999995</v>
      </c>
      <c r="F90" s="82">
        <v>558.59</v>
      </c>
      <c r="G90" s="76"/>
      <c r="H90" s="76"/>
      <c r="I90" s="76"/>
      <c r="J90" s="76"/>
      <c r="K90" s="76"/>
      <c r="L90" s="76"/>
    </row>
    <row r="91" spans="1:12" ht="31.5">
      <c r="A91" s="161" t="s">
        <v>87</v>
      </c>
      <c r="B91" s="20" t="s">
        <v>50</v>
      </c>
      <c r="C91" s="162" t="s">
        <v>51</v>
      </c>
      <c r="D91" s="73"/>
      <c r="E91" s="16"/>
      <c r="F91" s="16"/>
      <c r="G91" s="16"/>
      <c r="H91" s="16">
        <f>H93+H94</f>
        <v>33</v>
      </c>
      <c r="I91" s="16">
        <f>I93+I94</f>
        <v>33</v>
      </c>
      <c r="J91" s="16">
        <f>J93+J94</f>
        <v>33</v>
      </c>
      <c r="K91" s="16">
        <f>K93+K94</f>
        <v>33</v>
      </c>
      <c r="L91" s="16">
        <f>L93+L94</f>
        <v>33</v>
      </c>
    </row>
    <row r="92" spans="1:12" ht="15.75">
      <c r="A92" s="64"/>
      <c r="B92" s="20" t="s">
        <v>4</v>
      </c>
      <c r="C92" s="163"/>
      <c r="D92" s="73"/>
      <c r="E92" s="16"/>
      <c r="F92" s="16"/>
      <c r="G92" s="16"/>
      <c r="H92" s="16"/>
      <c r="I92" s="16"/>
      <c r="J92" s="16"/>
      <c r="K92" s="16"/>
      <c r="L92" s="16"/>
    </row>
    <row r="93" spans="1:12" ht="15.75">
      <c r="A93" s="161" t="s">
        <v>88</v>
      </c>
      <c r="B93" s="20" t="s">
        <v>52</v>
      </c>
      <c r="C93" s="162" t="s">
        <v>5</v>
      </c>
      <c r="D93" s="73"/>
      <c r="E93" s="16"/>
      <c r="F93" s="16"/>
      <c r="G93" s="16"/>
      <c r="H93" s="16">
        <v>23</v>
      </c>
      <c r="I93" s="16">
        <v>23</v>
      </c>
      <c r="J93" s="16">
        <v>23</v>
      </c>
      <c r="K93" s="16">
        <v>23</v>
      </c>
      <c r="L93" s="16">
        <v>23</v>
      </c>
    </row>
    <row r="94" spans="1:12" ht="15.75">
      <c r="A94" s="161" t="s">
        <v>89</v>
      </c>
      <c r="B94" s="20" t="s">
        <v>53</v>
      </c>
      <c r="C94" s="162" t="s">
        <v>5</v>
      </c>
      <c r="D94" s="73"/>
      <c r="E94" s="16"/>
      <c r="F94" s="16"/>
      <c r="G94" s="16"/>
      <c r="H94" s="16">
        <v>10</v>
      </c>
      <c r="I94" s="16">
        <v>10</v>
      </c>
      <c r="J94" s="16">
        <v>10</v>
      </c>
      <c r="K94" s="16">
        <v>10</v>
      </c>
      <c r="L94" s="16">
        <v>10</v>
      </c>
    </row>
    <row r="95" spans="1:12" ht="15.75">
      <c r="A95" s="161" t="s">
        <v>90</v>
      </c>
      <c r="B95" s="20" t="s">
        <v>54</v>
      </c>
      <c r="C95" s="162" t="s">
        <v>55</v>
      </c>
      <c r="D95" s="73"/>
      <c r="E95" s="16"/>
      <c r="F95" s="16"/>
      <c r="G95" s="16"/>
      <c r="H95" s="16">
        <f>H97+H98</f>
        <v>3003</v>
      </c>
      <c r="I95" s="16">
        <f>I97+I98</f>
        <v>3213.2</v>
      </c>
      <c r="J95" s="16">
        <f>J97+J98</f>
        <v>3438</v>
      </c>
      <c r="K95" s="16">
        <f>K97+K98</f>
        <v>3678.7</v>
      </c>
      <c r="L95" s="16">
        <f>L97+L98</f>
        <v>3936.3</v>
      </c>
    </row>
    <row r="96" spans="1:12" ht="15.75">
      <c r="A96" s="64"/>
      <c r="B96" s="20" t="s">
        <v>4</v>
      </c>
      <c r="C96" s="163"/>
      <c r="D96" s="73"/>
      <c r="E96" s="16"/>
      <c r="F96" s="16"/>
      <c r="G96" s="16"/>
      <c r="H96" s="16"/>
      <c r="I96" s="16"/>
      <c r="J96" s="16"/>
      <c r="K96" s="16"/>
      <c r="L96" s="16"/>
    </row>
    <row r="97" spans="1:12" ht="15.75">
      <c r="A97" s="161" t="s">
        <v>91</v>
      </c>
      <c r="B97" s="20" t="s">
        <v>52</v>
      </c>
      <c r="C97" s="162" t="s">
        <v>5</v>
      </c>
      <c r="D97" s="73"/>
      <c r="E97" s="16"/>
      <c r="F97" s="16"/>
      <c r="G97" s="16"/>
      <c r="H97" s="16">
        <v>2093</v>
      </c>
      <c r="I97" s="16">
        <v>2239.5</v>
      </c>
      <c r="J97" s="16">
        <v>2396.1999999999998</v>
      </c>
      <c r="K97" s="16">
        <v>2564</v>
      </c>
      <c r="L97" s="16">
        <v>2743.5</v>
      </c>
    </row>
    <row r="98" spans="1:12" ht="15.75">
      <c r="A98" s="161" t="s">
        <v>92</v>
      </c>
      <c r="B98" s="20" t="s">
        <v>53</v>
      </c>
      <c r="C98" s="162" t="s">
        <v>5</v>
      </c>
      <c r="D98" s="73"/>
      <c r="E98" s="16"/>
      <c r="F98" s="16"/>
      <c r="G98" s="16"/>
      <c r="H98" s="16">
        <v>910</v>
      </c>
      <c r="I98" s="16">
        <v>973.7</v>
      </c>
      <c r="J98" s="16">
        <v>1041.8</v>
      </c>
      <c r="K98" s="16">
        <v>1114.7</v>
      </c>
      <c r="L98" s="16">
        <v>1192.8</v>
      </c>
    </row>
    <row r="99" spans="1:12" ht="47.25">
      <c r="A99" s="161" t="s">
        <v>93</v>
      </c>
      <c r="B99" s="20" t="s">
        <v>56</v>
      </c>
      <c r="C99" s="162" t="s">
        <v>2</v>
      </c>
      <c r="D99" s="73"/>
      <c r="E99" s="16"/>
      <c r="F99" s="16"/>
      <c r="G99" s="16"/>
      <c r="H99" s="16"/>
      <c r="I99" s="16"/>
      <c r="J99" s="16"/>
      <c r="K99" s="16"/>
      <c r="L99" s="16"/>
    </row>
    <row r="100" spans="1:12" ht="31.5">
      <c r="A100" s="161" t="s">
        <v>94</v>
      </c>
      <c r="B100" s="20" t="s">
        <v>57</v>
      </c>
      <c r="C100" s="162" t="s">
        <v>5</v>
      </c>
      <c r="D100" s="73"/>
      <c r="E100" s="16"/>
      <c r="F100" s="16"/>
      <c r="G100" s="16"/>
      <c r="H100" s="16"/>
      <c r="I100" s="16"/>
      <c r="J100" s="16"/>
      <c r="K100" s="16"/>
      <c r="L100" s="16"/>
    </row>
    <row r="101" spans="1:12" ht="47.25">
      <c r="A101" s="161" t="s">
        <v>95</v>
      </c>
      <c r="B101" s="20" t="s">
        <v>58</v>
      </c>
      <c r="C101" s="162" t="s">
        <v>5</v>
      </c>
      <c r="D101" s="73"/>
      <c r="E101" s="16"/>
      <c r="F101" s="16"/>
      <c r="G101" s="16"/>
      <c r="H101" s="16"/>
      <c r="I101" s="16"/>
      <c r="J101" s="16"/>
      <c r="K101" s="16"/>
      <c r="L101" s="16"/>
    </row>
    <row r="102" spans="1:12" ht="15.75">
      <c r="A102" s="64"/>
      <c r="B102" s="20" t="s">
        <v>4</v>
      </c>
      <c r="C102" s="163"/>
      <c r="D102" s="73"/>
      <c r="E102" s="16"/>
      <c r="F102" s="16"/>
      <c r="G102" s="16"/>
      <c r="H102" s="16"/>
      <c r="I102" s="16"/>
      <c r="J102" s="16"/>
      <c r="K102" s="16"/>
      <c r="L102" s="16"/>
    </row>
    <row r="103" spans="1:12" ht="15.75">
      <c r="A103" s="161" t="s">
        <v>96</v>
      </c>
      <c r="B103" s="20" t="s">
        <v>59</v>
      </c>
      <c r="C103" s="162" t="s">
        <v>5</v>
      </c>
      <c r="D103" s="73"/>
      <c r="E103" s="16"/>
      <c r="F103" s="16"/>
      <c r="G103" s="16"/>
      <c r="H103" s="16"/>
      <c r="I103" s="16"/>
      <c r="J103" s="16"/>
      <c r="K103" s="16"/>
      <c r="L103" s="16"/>
    </row>
    <row r="104" spans="1:12" ht="15.75">
      <c r="A104" s="161" t="s">
        <v>97</v>
      </c>
      <c r="B104" s="20" t="s">
        <v>8</v>
      </c>
      <c r="C104" s="162" t="s">
        <v>5</v>
      </c>
      <c r="D104" s="73"/>
      <c r="E104" s="16"/>
      <c r="F104" s="16"/>
      <c r="G104" s="16"/>
      <c r="H104" s="16"/>
      <c r="I104" s="16"/>
      <c r="J104" s="16"/>
      <c r="K104" s="16"/>
      <c r="L104" s="16"/>
    </row>
    <row r="105" spans="1:12" ht="15.75">
      <c r="A105" s="161" t="s">
        <v>98</v>
      </c>
      <c r="B105" s="20" t="s">
        <v>9</v>
      </c>
      <c r="C105" s="162" t="s">
        <v>5</v>
      </c>
      <c r="D105" s="73"/>
      <c r="E105" s="16"/>
      <c r="F105" s="16"/>
      <c r="G105" s="16"/>
      <c r="H105" s="16"/>
      <c r="I105" s="16"/>
      <c r="J105" s="16"/>
      <c r="K105" s="16"/>
      <c r="L105" s="16"/>
    </row>
    <row r="106" spans="1:12" ht="15.75">
      <c r="A106" s="397" t="s">
        <v>99</v>
      </c>
      <c r="B106" s="398" t="s">
        <v>60</v>
      </c>
      <c r="C106" s="162" t="s">
        <v>46</v>
      </c>
      <c r="D106" s="73"/>
      <c r="E106" s="16"/>
      <c r="F106" s="16"/>
      <c r="G106" s="16"/>
      <c r="H106" s="16"/>
      <c r="I106" s="16"/>
      <c r="J106" s="16"/>
      <c r="K106" s="16"/>
      <c r="L106" s="16"/>
    </row>
    <row r="107" spans="1:12" ht="18.75">
      <c r="A107" s="397"/>
      <c r="B107" s="398"/>
      <c r="C107" s="162" t="s">
        <v>102</v>
      </c>
      <c r="D107" s="73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75"/>
      <c r="B108" s="47"/>
      <c r="C108" s="47"/>
      <c r="D108" s="47"/>
    </row>
    <row r="109" spans="1:12" ht="15.75">
      <c r="A109" s="75"/>
      <c r="B109" s="47"/>
      <c r="C109" s="47"/>
      <c r="D109" s="47"/>
    </row>
    <row r="110" spans="1:12" ht="15.75">
      <c r="A110" s="75"/>
      <c r="B110" s="47"/>
      <c r="C110" s="47"/>
      <c r="D110" s="47"/>
    </row>
    <row r="111" spans="1:12" ht="15.75">
      <c r="A111" s="75"/>
      <c r="B111" s="47"/>
      <c r="C111" s="47"/>
      <c r="D111" s="47"/>
    </row>
    <row r="112" spans="1:12" ht="15.75">
      <c r="A112" s="47"/>
      <c r="B112" s="47"/>
      <c r="C112" s="47"/>
      <c r="D112" s="47"/>
    </row>
    <row r="113" spans="1:4" ht="15.75">
      <c r="A113" s="47"/>
      <c r="B113" s="47"/>
      <c r="C113" s="47"/>
      <c r="D113" s="47"/>
    </row>
  </sheetData>
  <mergeCells count="22">
    <mergeCell ref="A106:A107"/>
    <mergeCell ref="B106:B10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A15:A16"/>
    <mergeCell ref="A85:A86"/>
    <mergeCell ref="B85:B86"/>
    <mergeCell ref="A87:A88"/>
    <mergeCell ref="B87:B88"/>
    <mergeCell ref="A7:L7"/>
    <mergeCell ref="J1:L1"/>
    <mergeCell ref="H2:L2"/>
    <mergeCell ref="H3:L3"/>
    <mergeCell ref="H4:L4"/>
    <mergeCell ref="I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07"/>
  <sheetViews>
    <sheetView workbookViewId="0">
      <selection activeCell="E15" sqref="E15:E20"/>
    </sheetView>
  </sheetViews>
  <sheetFormatPr defaultRowHeight="15"/>
  <cols>
    <col min="1" max="1" width="5.5703125" customWidth="1"/>
    <col min="2" max="2" width="20" customWidth="1"/>
    <col min="5" max="5" width="11.7109375" customWidth="1"/>
    <col min="6" max="6" width="10.42578125" customWidth="1"/>
    <col min="7" max="7" width="13.42578125" customWidth="1"/>
    <col min="9" max="9" width="14.5703125" customWidth="1"/>
  </cols>
  <sheetData>
    <row r="5" spans="1:9" ht="15.75">
      <c r="A5" s="377" t="s">
        <v>207</v>
      </c>
      <c r="B5" s="377"/>
      <c r="C5" s="377"/>
      <c r="D5" s="377"/>
      <c r="E5" s="377"/>
      <c r="F5" s="377"/>
      <c r="G5" s="377"/>
      <c r="H5" s="377"/>
      <c r="I5" s="377"/>
    </row>
    <row r="6" spans="1:9" ht="15.75">
      <c r="A6" s="374" t="s">
        <v>119</v>
      </c>
      <c r="B6" s="374"/>
      <c r="C6" s="374"/>
      <c r="D6" s="374"/>
      <c r="E6" s="374"/>
      <c r="F6" s="374"/>
      <c r="G6" s="374"/>
      <c r="H6" s="374"/>
      <c r="I6" s="374"/>
    </row>
    <row r="7" spans="1:9" ht="15.75">
      <c r="A7" s="375" t="s">
        <v>120</v>
      </c>
      <c r="B7" s="375"/>
      <c r="C7" s="375"/>
      <c r="D7" s="375"/>
      <c r="E7" s="375"/>
      <c r="F7" s="375"/>
      <c r="G7" s="375"/>
      <c r="H7" s="375"/>
      <c r="I7" s="375"/>
    </row>
    <row r="8" spans="1:9" ht="15.75">
      <c r="A8" s="249"/>
      <c r="B8" s="100"/>
      <c r="C8" s="100"/>
      <c r="D8" s="99"/>
      <c r="E8" s="99"/>
      <c r="F8" s="99"/>
      <c r="G8" s="99"/>
      <c r="H8" s="99"/>
      <c r="I8" s="99"/>
    </row>
    <row r="9" spans="1:9" ht="15.75" customHeight="1">
      <c r="A9" s="365" t="s">
        <v>65</v>
      </c>
      <c r="B9" s="367" t="s">
        <v>0</v>
      </c>
      <c r="C9" s="367" t="s">
        <v>104</v>
      </c>
      <c r="D9" s="368" t="s">
        <v>108</v>
      </c>
      <c r="E9" s="368"/>
      <c r="F9" s="368"/>
      <c r="G9" s="368"/>
      <c r="H9" s="368"/>
      <c r="I9" s="368"/>
    </row>
    <row r="10" spans="1:9" ht="94.5">
      <c r="A10" s="365"/>
      <c r="B10" s="367"/>
      <c r="C10" s="367"/>
      <c r="D10" s="262" t="s">
        <v>109</v>
      </c>
      <c r="E10" s="244" t="s">
        <v>110</v>
      </c>
      <c r="F10" s="244" t="s">
        <v>111</v>
      </c>
      <c r="G10" s="244" t="s">
        <v>112</v>
      </c>
      <c r="H10" s="244" t="s">
        <v>113</v>
      </c>
      <c r="I10" s="244" t="s">
        <v>114</v>
      </c>
    </row>
    <row r="11" spans="1:9" ht="15.75">
      <c r="A11" s="102">
        <v>1</v>
      </c>
      <c r="B11" s="102">
        <v>2</v>
      </c>
      <c r="C11" s="102">
        <v>3</v>
      </c>
      <c r="D11" s="263">
        <v>7</v>
      </c>
      <c r="E11" s="102">
        <v>8</v>
      </c>
      <c r="F11" s="102">
        <v>9</v>
      </c>
      <c r="G11" s="102">
        <v>10</v>
      </c>
      <c r="H11" s="102">
        <v>11</v>
      </c>
      <c r="I11" s="102">
        <v>12</v>
      </c>
    </row>
    <row r="12" spans="1:9" ht="78.75">
      <c r="A12" s="108" t="s">
        <v>1</v>
      </c>
      <c r="B12" s="107" t="s">
        <v>143</v>
      </c>
      <c r="C12" s="108" t="s">
        <v>2</v>
      </c>
      <c r="D12" s="264">
        <f t="shared" ref="D12:I12" si="0">D13+D21+D26+D27+D30</f>
        <v>210958.38819999999</v>
      </c>
      <c r="E12" s="250">
        <f t="shared" si="0"/>
        <v>37589</v>
      </c>
      <c r="F12" s="250">
        <f t="shared" si="0"/>
        <v>39438</v>
      </c>
      <c r="G12" s="250">
        <f t="shared" si="0"/>
        <v>42669.25</v>
      </c>
      <c r="H12" s="250">
        <f t="shared" si="0"/>
        <v>44399.94</v>
      </c>
      <c r="I12" s="250">
        <f t="shared" si="0"/>
        <v>47546.198199999999</v>
      </c>
    </row>
    <row r="13" spans="1:9" ht="31.5">
      <c r="A13" s="399">
        <v>1</v>
      </c>
      <c r="B13" s="107" t="s">
        <v>3</v>
      </c>
      <c r="C13" s="108" t="s">
        <v>2</v>
      </c>
      <c r="D13" s="264">
        <f t="shared" ref="D13:I13" si="1">D15+D16+D17+D18+D19</f>
        <v>42755</v>
      </c>
      <c r="E13" s="250">
        <f t="shared" si="1"/>
        <v>7363</v>
      </c>
      <c r="F13" s="250">
        <f t="shared" si="1"/>
        <v>7802</v>
      </c>
      <c r="G13" s="250">
        <f t="shared" si="1"/>
        <v>8646</v>
      </c>
      <c r="H13" s="250">
        <f t="shared" si="1"/>
        <v>8855</v>
      </c>
      <c r="I13" s="250">
        <f t="shared" si="1"/>
        <v>10089</v>
      </c>
    </row>
    <row r="14" spans="1:9" ht="15.75">
      <c r="A14" s="399"/>
      <c r="B14" s="111" t="s">
        <v>4</v>
      </c>
      <c r="C14" s="251"/>
      <c r="D14" s="265"/>
      <c r="E14" s="251"/>
      <c r="F14" s="251"/>
      <c r="G14" s="251"/>
      <c r="H14" s="251"/>
      <c r="I14" s="251"/>
    </row>
    <row r="15" spans="1:9" ht="31.5">
      <c r="A15" s="115" t="s">
        <v>66</v>
      </c>
      <c r="B15" s="116" t="s">
        <v>144</v>
      </c>
      <c r="C15" s="243" t="s">
        <v>2</v>
      </c>
      <c r="D15" s="265">
        <f>E15+F15+G15+H15+I15</f>
        <v>8246</v>
      </c>
      <c r="E15" s="257">
        <v>1570</v>
      </c>
      <c r="F15" s="257">
        <v>1080</v>
      </c>
      <c r="G15" s="257">
        <v>1781</v>
      </c>
      <c r="H15" s="257">
        <v>1870</v>
      </c>
      <c r="I15" s="257">
        <v>1945</v>
      </c>
    </row>
    <row r="16" spans="1:9" ht="31.5">
      <c r="A16" s="248" t="s">
        <v>145</v>
      </c>
      <c r="B16" s="111" t="s">
        <v>162</v>
      </c>
      <c r="C16" s="243" t="s">
        <v>2</v>
      </c>
      <c r="D16" s="265">
        <f t="shared" ref="D16:D20" si="2">E16+F16+G16+H16+I16</f>
        <v>14102</v>
      </c>
      <c r="E16" s="259">
        <v>2400</v>
      </c>
      <c r="F16" s="259">
        <v>2596</v>
      </c>
      <c r="G16" s="259">
        <v>2596</v>
      </c>
      <c r="H16" s="259">
        <v>2700</v>
      </c>
      <c r="I16" s="259">
        <v>3810</v>
      </c>
    </row>
    <row r="17" spans="1:16" ht="31.5">
      <c r="A17" s="248" t="s">
        <v>146</v>
      </c>
      <c r="B17" s="111" t="s">
        <v>147</v>
      </c>
      <c r="C17" s="243" t="s">
        <v>2</v>
      </c>
      <c r="D17" s="265">
        <f t="shared" si="2"/>
        <v>4478</v>
      </c>
      <c r="E17" s="259">
        <v>810</v>
      </c>
      <c r="F17" s="259">
        <v>780</v>
      </c>
      <c r="G17" s="259">
        <v>919</v>
      </c>
      <c r="H17" s="259">
        <v>965</v>
      </c>
      <c r="I17" s="259">
        <v>1004</v>
      </c>
      <c r="L17" s="259">
        <v>2522</v>
      </c>
      <c r="M17" s="258">
        <v>2699</v>
      </c>
      <c r="N17" s="258">
        <v>2887</v>
      </c>
      <c r="O17" s="258">
        <v>3090</v>
      </c>
      <c r="P17" s="258">
        <v>3306</v>
      </c>
    </row>
    <row r="18" spans="1:16" ht="31.5">
      <c r="A18" s="248" t="s">
        <v>148</v>
      </c>
      <c r="B18" s="111" t="s">
        <v>149</v>
      </c>
      <c r="C18" s="243" t="s">
        <v>2</v>
      </c>
      <c r="D18" s="265">
        <f t="shared" si="2"/>
        <v>0</v>
      </c>
      <c r="E18" s="271"/>
      <c r="F18" s="271"/>
      <c r="G18" s="271"/>
      <c r="H18" s="271"/>
      <c r="I18" s="271"/>
      <c r="L18" s="16">
        <v>1058</v>
      </c>
      <c r="M18" s="16">
        <v>1131</v>
      </c>
      <c r="N18" s="16">
        <v>1211</v>
      </c>
      <c r="O18" s="16">
        <v>1296</v>
      </c>
      <c r="P18" s="16">
        <v>1386</v>
      </c>
    </row>
    <row r="19" spans="1:16" ht="31.5">
      <c r="A19" s="248" t="s">
        <v>150</v>
      </c>
      <c r="B19" s="111" t="s">
        <v>186</v>
      </c>
      <c r="C19" s="243" t="s">
        <v>2</v>
      </c>
      <c r="D19" s="265">
        <f t="shared" si="2"/>
        <v>15929</v>
      </c>
      <c r="E19" s="259">
        <v>2583</v>
      </c>
      <c r="F19" s="259">
        <v>3346</v>
      </c>
      <c r="G19" s="259">
        <v>3350</v>
      </c>
      <c r="H19" s="259">
        <v>3320</v>
      </c>
      <c r="I19" s="259">
        <v>3330</v>
      </c>
      <c r="L19" s="271">
        <f>L17+L18</f>
        <v>3580</v>
      </c>
      <c r="M19" s="271">
        <f t="shared" ref="M19:P19" si="3">M17+M18</f>
        <v>3830</v>
      </c>
      <c r="N19" s="271">
        <f t="shared" si="3"/>
        <v>4098</v>
      </c>
      <c r="O19" s="271">
        <f t="shared" si="3"/>
        <v>4386</v>
      </c>
      <c r="P19" s="271">
        <f t="shared" si="3"/>
        <v>4692</v>
      </c>
    </row>
    <row r="20" spans="1:16" ht="15.75">
      <c r="A20" s="273"/>
      <c r="B20" s="111" t="s">
        <v>185</v>
      </c>
      <c r="C20" s="272"/>
      <c r="D20" s="265">
        <f t="shared" si="2"/>
        <v>310</v>
      </c>
      <c r="E20" s="259">
        <v>20</v>
      </c>
      <c r="F20" s="259">
        <v>20</v>
      </c>
      <c r="G20" s="259">
        <v>60</v>
      </c>
      <c r="H20" s="259">
        <v>90</v>
      </c>
      <c r="I20" s="259">
        <v>120</v>
      </c>
      <c r="L20" s="271"/>
      <c r="M20" s="271"/>
      <c r="N20" s="271"/>
      <c r="O20" s="271"/>
      <c r="P20" s="271"/>
    </row>
    <row r="21" spans="1:16" ht="47.25">
      <c r="A21" s="245" t="s">
        <v>67</v>
      </c>
      <c r="B21" s="107" t="s">
        <v>151</v>
      </c>
      <c r="C21" s="108" t="s">
        <v>2</v>
      </c>
      <c r="D21" s="264">
        <f t="shared" ref="D21:I21" si="4">D23+D24+D25</f>
        <v>106109.3882</v>
      </c>
      <c r="E21" s="250">
        <f t="shared" si="4"/>
        <v>19640</v>
      </c>
      <c r="F21" s="250">
        <f t="shared" si="4"/>
        <v>20271</v>
      </c>
      <c r="G21" s="250">
        <f t="shared" si="4"/>
        <v>21263.25</v>
      </c>
      <c r="H21" s="250">
        <f t="shared" si="4"/>
        <v>22134.940000000002</v>
      </c>
      <c r="I21" s="250">
        <f t="shared" si="4"/>
        <v>22800.198200000003</v>
      </c>
    </row>
    <row r="22" spans="1:16" ht="15.75">
      <c r="A22" s="131"/>
      <c r="B22" s="111" t="s">
        <v>4</v>
      </c>
      <c r="C22" s="251"/>
      <c r="D22" s="265"/>
      <c r="E22" s="251"/>
      <c r="F22" s="251"/>
      <c r="G22" s="251"/>
      <c r="H22" s="251"/>
      <c r="I22" s="251"/>
    </row>
    <row r="23" spans="1:16" ht="31.5">
      <c r="A23" s="248" t="s">
        <v>68</v>
      </c>
      <c r="B23" s="111" t="s">
        <v>8</v>
      </c>
      <c r="C23" s="243" t="s">
        <v>2</v>
      </c>
      <c r="D23" s="265">
        <f>E23+F23+G23+H23+I23</f>
        <v>96700.388200000001</v>
      </c>
      <c r="E23" s="265">
        <v>18000</v>
      </c>
      <c r="F23" s="265">
        <v>18445</v>
      </c>
      <c r="G23" s="265">
        <f>F23*1.05</f>
        <v>19367.25</v>
      </c>
      <c r="H23" s="265">
        <f>G23*1.04</f>
        <v>20141.940000000002</v>
      </c>
      <c r="I23" s="268">
        <f>H23*1.03</f>
        <v>20746.198200000003</v>
      </c>
    </row>
    <row r="24" spans="1:16" ht="31.5">
      <c r="A24" s="248" t="s">
        <v>69</v>
      </c>
      <c r="B24" s="111" t="s">
        <v>9</v>
      </c>
      <c r="C24" s="243" t="s">
        <v>2</v>
      </c>
      <c r="D24" s="265">
        <f t="shared" ref="D24:D26" si="5">E24+F24+G24+H24+I24</f>
        <v>5139</v>
      </c>
      <c r="E24" s="269">
        <v>890</v>
      </c>
      <c r="F24" s="269">
        <v>996</v>
      </c>
      <c r="G24" s="269">
        <v>1046</v>
      </c>
      <c r="H24" s="269">
        <v>1087</v>
      </c>
      <c r="I24" s="269">
        <v>1120</v>
      </c>
    </row>
    <row r="25" spans="1:16" ht="31.5">
      <c r="A25" s="248" t="s">
        <v>121</v>
      </c>
      <c r="B25" s="111" t="s">
        <v>122</v>
      </c>
      <c r="C25" s="243" t="s">
        <v>2</v>
      </c>
      <c r="D25" s="265">
        <f t="shared" si="5"/>
        <v>4270</v>
      </c>
      <c r="E25" s="269">
        <v>750</v>
      </c>
      <c r="F25" s="269">
        <v>830</v>
      </c>
      <c r="G25" s="269">
        <v>850</v>
      </c>
      <c r="H25" s="269">
        <v>906</v>
      </c>
      <c r="I25" s="269">
        <v>934</v>
      </c>
      <c r="K25" s="78">
        <v>1756.86</v>
      </c>
      <c r="L25" s="78">
        <v>1756.86</v>
      </c>
      <c r="M25" s="78">
        <v>1756.86</v>
      </c>
      <c r="N25" s="78">
        <v>1756.86</v>
      </c>
      <c r="O25" s="78">
        <v>1756.86</v>
      </c>
    </row>
    <row r="26" spans="1:16" ht="31.5">
      <c r="A26" s="245" t="s">
        <v>70</v>
      </c>
      <c r="B26" s="107" t="s">
        <v>10</v>
      </c>
      <c r="C26" s="108" t="s">
        <v>2</v>
      </c>
      <c r="D26" s="266">
        <f t="shared" si="5"/>
        <v>36100</v>
      </c>
      <c r="E26" s="270">
        <v>6300</v>
      </c>
      <c r="F26" s="270">
        <v>7450</v>
      </c>
      <c r="G26" s="270">
        <v>7450</v>
      </c>
      <c r="H26" s="270">
        <v>7450</v>
      </c>
      <c r="I26" s="256">
        <v>7450</v>
      </c>
      <c r="K26" s="270">
        <v>4751.0860000000002</v>
      </c>
      <c r="L26" s="270">
        <v>4751.0860000000002</v>
      </c>
      <c r="M26" s="270">
        <v>4751.0860000000002</v>
      </c>
      <c r="N26" s="270">
        <v>4751.0860000000002</v>
      </c>
      <c r="O26" s="256">
        <v>4751.0860000000002</v>
      </c>
    </row>
    <row r="27" spans="1:16" ht="31.5">
      <c r="A27" s="245" t="s">
        <v>71</v>
      </c>
      <c r="B27" s="107" t="s">
        <v>11</v>
      </c>
      <c r="C27" s="108" t="s">
        <v>2</v>
      </c>
      <c r="D27" s="266">
        <f t="shared" ref="D27" si="6">D29</f>
        <v>17900</v>
      </c>
      <c r="E27" s="108">
        <v>2700</v>
      </c>
      <c r="F27" s="108">
        <v>2700</v>
      </c>
      <c r="G27" s="108">
        <v>3500</v>
      </c>
      <c r="H27" s="108">
        <v>4000</v>
      </c>
      <c r="I27" s="261">
        <v>5000</v>
      </c>
      <c r="K27" s="270">
        <f>K25+K26</f>
        <v>6507.9459999999999</v>
      </c>
      <c r="L27" s="270">
        <f t="shared" ref="L27:O27" si="7">L25+L26</f>
        <v>6507.9459999999999</v>
      </c>
      <c r="M27" s="270">
        <f t="shared" si="7"/>
        <v>6507.9459999999999</v>
      </c>
      <c r="N27" s="270">
        <f t="shared" si="7"/>
        <v>6507.9459999999999</v>
      </c>
      <c r="O27" s="270">
        <f t="shared" si="7"/>
        <v>6507.9459999999999</v>
      </c>
    </row>
    <row r="28" spans="1:16" ht="15.75">
      <c r="A28" s="131"/>
      <c r="B28" s="111" t="s">
        <v>4</v>
      </c>
      <c r="C28" s="251"/>
      <c r="D28" s="265"/>
      <c r="E28" s="251"/>
      <c r="F28" s="251"/>
      <c r="G28" s="251"/>
      <c r="H28" s="251"/>
      <c r="I28" s="251"/>
    </row>
    <row r="29" spans="1:16" ht="94.5">
      <c r="A29" s="248" t="s">
        <v>72</v>
      </c>
      <c r="B29" s="140" t="s">
        <v>12</v>
      </c>
      <c r="C29" s="243" t="s">
        <v>2</v>
      </c>
      <c r="D29" s="265">
        <f>E29+F29+G29+H29+I29</f>
        <v>17900</v>
      </c>
      <c r="E29" s="253">
        <v>2700</v>
      </c>
      <c r="F29" s="253">
        <v>2700</v>
      </c>
      <c r="G29" s="253">
        <v>3500</v>
      </c>
      <c r="H29" s="253">
        <v>4000</v>
      </c>
      <c r="I29" s="253">
        <v>5000</v>
      </c>
    </row>
    <row r="30" spans="1:16" ht="31.5">
      <c r="A30" s="245" t="s">
        <v>73</v>
      </c>
      <c r="B30" s="107" t="s">
        <v>13</v>
      </c>
      <c r="C30" s="108" t="s">
        <v>2</v>
      </c>
      <c r="D30" s="264">
        <f t="shared" ref="D30:I30" si="8">D32+D33+D34+D35+D36+D37+D38+D39+D40+D41+D42+D43+D45</f>
        <v>8094</v>
      </c>
      <c r="E30" s="250">
        <f t="shared" si="8"/>
        <v>1586</v>
      </c>
      <c r="F30" s="250">
        <f t="shared" si="8"/>
        <v>1215</v>
      </c>
      <c r="G30" s="250">
        <f t="shared" si="8"/>
        <v>1810</v>
      </c>
      <c r="H30" s="250">
        <f t="shared" si="8"/>
        <v>1960</v>
      </c>
      <c r="I30" s="250">
        <f t="shared" si="8"/>
        <v>2207</v>
      </c>
    </row>
    <row r="31" spans="1:16" ht="15.75">
      <c r="A31" s="131"/>
      <c r="B31" s="111" t="s">
        <v>4</v>
      </c>
      <c r="C31" s="251"/>
      <c r="D31" s="265"/>
      <c r="E31" s="251"/>
      <c r="F31" s="251"/>
      <c r="G31" s="251"/>
      <c r="H31" s="251"/>
      <c r="I31" s="251"/>
    </row>
    <row r="32" spans="1:16" ht="110.25">
      <c r="A32" s="248" t="s">
        <v>74</v>
      </c>
      <c r="B32" s="111" t="s">
        <v>14</v>
      </c>
      <c r="C32" s="243" t="s">
        <v>2</v>
      </c>
      <c r="D32" s="265">
        <f>E32+F32+G32+H32+I32</f>
        <v>0</v>
      </c>
      <c r="E32" s="253"/>
      <c r="F32" s="253"/>
      <c r="G32" s="253"/>
      <c r="H32" s="253"/>
      <c r="I32" s="253"/>
    </row>
    <row r="33" spans="1:17" ht="63">
      <c r="A33" s="248" t="s">
        <v>75</v>
      </c>
      <c r="B33" s="111" t="s">
        <v>195</v>
      </c>
      <c r="C33" s="243" t="s">
        <v>2</v>
      </c>
      <c r="D33" s="265"/>
      <c r="E33" s="253"/>
      <c r="F33" s="253"/>
      <c r="G33" s="253"/>
      <c r="H33" s="253"/>
      <c r="I33" s="253"/>
    </row>
    <row r="34" spans="1:17" ht="110.25">
      <c r="A34" s="248" t="s">
        <v>76</v>
      </c>
      <c r="B34" s="111" t="s">
        <v>16</v>
      </c>
      <c r="C34" s="243" t="s">
        <v>2</v>
      </c>
      <c r="D34" s="265">
        <f t="shared" ref="D34:D35" si="9">E34+F34+G34+H34+I34</f>
        <v>465</v>
      </c>
      <c r="E34" s="253">
        <v>80</v>
      </c>
      <c r="F34" s="253">
        <v>85</v>
      </c>
      <c r="G34" s="253">
        <v>95</v>
      </c>
      <c r="H34" s="253">
        <v>100</v>
      </c>
      <c r="I34" s="253">
        <v>105</v>
      </c>
    </row>
    <row r="35" spans="1:17" ht="63">
      <c r="A35" s="248" t="s">
        <v>77</v>
      </c>
      <c r="B35" s="111" t="s">
        <v>17</v>
      </c>
      <c r="C35" s="243" t="s">
        <v>2</v>
      </c>
      <c r="D35" s="265">
        <f t="shared" si="9"/>
        <v>2000</v>
      </c>
      <c r="E35" s="253">
        <v>200</v>
      </c>
      <c r="F35" s="253">
        <v>300</v>
      </c>
      <c r="G35" s="253">
        <v>400</v>
      </c>
      <c r="H35" s="253">
        <v>500</v>
      </c>
      <c r="I35" s="253">
        <v>600</v>
      </c>
    </row>
    <row r="36" spans="1:17" ht="47.25">
      <c r="A36" s="248" t="s">
        <v>78</v>
      </c>
      <c r="B36" s="254" t="s">
        <v>18</v>
      </c>
      <c r="C36" s="243" t="s">
        <v>2</v>
      </c>
      <c r="D36" s="265">
        <v>50</v>
      </c>
      <c r="E36" s="253">
        <v>150</v>
      </c>
      <c r="F36" s="253">
        <v>50</v>
      </c>
      <c r="G36" s="253">
        <v>170</v>
      </c>
      <c r="H36" s="253">
        <v>178</v>
      </c>
      <c r="I36" s="253">
        <v>186</v>
      </c>
    </row>
    <row r="37" spans="1:17" ht="31.5">
      <c r="A37" s="248" t="s">
        <v>79</v>
      </c>
      <c r="B37" s="111" t="s">
        <v>19</v>
      </c>
      <c r="C37" s="243" t="s">
        <v>2</v>
      </c>
      <c r="D37" s="265">
        <f t="shared" ref="D37:D55" si="10">E37+F37+G37+H37+I37</f>
        <v>400</v>
      </c>
      <c r="E37" s="253">
        <v>132</v>
      </c>
      <c r="F37" s="253"/>
      <c r="G37" s="253">
        <v>50</v>
      </c>
      <c r="H37" s="253">
        <v>55</v>
      </c>
      <c r="I37" s="253">
        <v>163</v>
      </c>
    </row>
    <row r="38" spans="1:17" ht="47.25">
      <c r="A38" s="248" t="s">
        <v>80</v>
      </c>
      <c r="B38" s="140" t="s">
        <v>125</v>
      </c>
      <c r="C38" s="243" t="s">
        <v>2</v>
      </c>
      <c r="D38" s="265">
        <f t="shared" si="10"/>
        <v>1060</v>
      </c>
      <c r="E38" s="253">
        <v>232</v>
      </c>
      <c r="F38" s="253"/>
      <c r="G38" s="253">
        <v>263</v>
      </c>
      <c r="H38" s="253">
        <v>277</v>
      </c>
      <c r="I38" s="253">
        <v>288</v>
      </c>
    </row>
    <row r="39" spans="1:17" ht="31.5">
      <c r="A39" s="248" t="s">
        <v>123</v>
      </c>
      <c r="B39" s="111" t="s">
        <v>126</v>
      </c>
      <c r="C39" s="243" t="s">
        <v>2</v>
      </c>
      <c r="D39" s="265">
        <f t="shared" si="10"/>
        <v>296</v>
      </c>
      <c r="E39" s="253">
        <v>43</v>
      </c>
      <c r="F39" s="253">
        <v>100</v>
      </c>
      <c r="G39" s="253">
        <v>49</v>
      </c>
      <c r="H39" s="253">
        <v>51</v>
      </c>
      <c r="I39" s="253">
        <v>53</v>
      </c>
    </row>
    <row r="40" spans="1:17" ht="31.5">
      <c r="A40" s="248" t="s">
        <v>124</v>
      </c>
      <c r="B40" s="111" t="s">
        <v>130</v>
      </c>
      <c r="C40" s="243" t="s">
        <v>2</v>
      </c>
      <c r="D40" s="265">
        <f t="shared" si="10"/>
        <v>545</v>
      </c>
      <c r="E40" s="253">
        <v>111</v>
      </c>
      <c r="F40" s="253">
        <v>40</v>
      </c>
      <c r="G40" s="253">
        <v>125</v>
      </c>
      <c r="H40" s="253">
        <v>132</v>
      </c>
      <c r="I40" s="253">
        <v>137</v>
      </c>
    </row>
    <row r="41" spans="1:17" ht="47.25">
      <c r="A41" s="248" t="s">
        <v>127</v>
      </c>
      <c r="B41" s="111" t="s">
        <v>131</v>
      </c>
      <c r="C41" s="243" t="s">
        <v>2</v>
      </c>
      <c r="D41" s="265">
        <f t="shared" si="10"/>
        <v>668</v>
      </c>
      <c r="E41" s="253">
        <v>120</v>
      </c>
      <c r="F41" s="253">
        <v>120</v>
      </c>
      <c r="G41" s="253">
        <v>136</v>
      </c>
      <c r="H41" s="253">
        <v>143</v>
      </c>
      <c r="I41" s="253">
        <v>149</v>
      </c>
    </row>
    <row r="42" spans="1:17" ht="31.5">
      <c r="A42" s="248" t="s">
        <v>128</v>
      </c>
      <c r="B42" s="111" t="s">
        <v>30</v>
      </c>
      <c r="C42" s="243" t="s">
        <v>2</v>
      </c>
      <c r="D42" s="265">
        <f t="shared" si="10"/>
        <v>200</v>
      </c>
      <c r="E42" s="253">
        <v>36</v>
      </c>
      <c r="F42" s="253">
        <v>38</v>
      </c>
      <c r="G42" s="253">
        <v>40</v>
      </c>
      <c r="H42" s="253">
        <v>42</v>
      </c>
      <c r="I42" s="253">
        <v>44</v>
      </c>
    </row>
    <row r="43" spans="1:17" ht="31.5">
      <c r="A43" s="248" t="s">
        <v>129</v>
      </c>
      <c r="B43" s="111" t="s">
        <v>33</v>
      </c>
      <c r="C43" s="243" t="s">
        <v>2</v>
      </c>
      <c r="D43" s="265">
        <f t="shared" si="10"/>
        <v>2410</v>
      </c>
      <c r="E43" s="253">
        <v>482</v>
      </c>
      <c r="F43" s="253">
        <v>482</v>
      </c>
      <c r="G43" s="253">
        <v>482</v>
      </c>
      <c r="H43" s="253">
        <v>482</v>
      </c>
      <c r="I43" s="253">
        <v>482</v>
      </c>
      <c r="M43" s="253">
        <v>9940</v>
      </c>
      <c r="N43" s="253">
        <v>9940</v>
      </c>
      <c r="O43" s="253">
        <v>9940</v>
      </c>
      <c r="P43" s="253">
        <v>9940</v>
      </c>
      <c r="Q43" s="253">
        <v>9940</v>
      </c>
    </row>
    <row r="44" spans="1:17" ht="47.25">
      <c r="A44" s="273" t="s">
        <v>136</v>
      </c>
      <c r="B44" s="111" t="s">
        <v>213</v>
      </c>
      <c r="C44" s="272"/>
      <c r="D44" s="265">
        <f t="shared" si="10"/>
        <v>250</v>
      </c>
      <c r="E44" s="253">
        <v>50</v>
      </c>
      <c r="F44" s="253">
        <v>50</v>
      </c>
      <c r="G44" s="253">
        <v>50</v>
      </c>
      <c r="H44" s="253">
        <v>50</v>
      </c>
      <c r="I44" s="253">
        <v>50</v>
      </c>
      <c r="M44" s="275"/>
      <c r="N44" s="275"/>
      <c r="O44" s="275"/>
      <c r="P44" s="275"/>
      <c r="Q44" s="275"/>
    </row>
    <row r="45" spans="1:17" ht="47.25">
      <c r="A45" s="273" t="s">
        <v>220</v>
      </c>
      <c r="B45" s="111" t="s">
        <v>20</v>
      </c>
      <c r="C45" s="243" t="s">
        <v>2</v>
      </c>
      <c r="D45" s="265">
        <f t="shared" si="10"/>
        <v>0</v>
      </c>
      <c r="E45" s="253"/>
      <c r="F45" s="253"/>
      <c r="G45" s="253"/>
      <c r="H45" s="253"/>
      <c r="I45" s="253"/>
    </row>
    <row r="46" spans="1:17" ht="31.5">
      <c r="A46" s="273"/>
      <c r="B46" s="111" t="s">
        <v>214</v>
      </c>
      <c r="C46" s="272"/>
      <c r="D46" s="265">
        <f t="shared" si="10"/>
        <v>600</v>
      </c>
      <c r="E46" s="253">
        <v>100</v>
      </c>
      <c r="F46" s="253">
        <v>100</v>
      </c>
      <c r="G46" s="253">
        <v>120</v>
      </c>
      <c r="H46" s="253">
        <v>130</v>
      </c>
      <c r="I46" s="253">
        <v>150</v>
      </c>
    </row>
    <row r="47" spans="1:17" ht="31.5">
      <c r="A47" s="273"/>
      <c r="B47" s="111" t="s">
        <v>215</v>
      </c>
      <c r="C47" s="272"/>
      <c r="D47" s="265">
        <f t="shared" si="10"/>
        <v>500</v>
      </c>
      <c r="E47" s="253">
        <v>100</v>
      </c>
      <c r="F47" s="253">
        <v>100</v>
      </c>
      <c r="G47" s="253">
        <v>100</v>
      </c>
      <c r="H47" s="253">
        <v>100</v>
      </c>
      <c r="I47" s="253">
        <v>100</v>
      </c>
    </row>
    <row r="48" spans="1:17" ht="15.75">
      <c r="A48" s="273"/>
      <c r="B48" s="111" t="s">
        <v>216</v>
      </c>
      <c r="C48" s="272"/>
      <c r="D48" s="265">
        <f t="shared" si="10"/>
        <v>500</v>
      </c>
      <c r="E48" s="253">
        <v>100</v>
      </c>
      <c r="F48" s="253">
        <v>100</v>
      </c>
      <c r="G48" s="253">
        <v>100</v>
      </c>
      <c r="H48" s="253">
        <v>100</v>
      </c>
      <c r="I48" s="253">
        <v>100</v>
      </c>
    </row>
    <row r="49" spans="1:10" ht="31.5">
      <c r="A49" s="273"/>
      <c r="B49" s="111" t="s">
        <v>217</v>
      </c>
      <c r="C49" s="272"/>
      <c r="D49" s="265">
        <f t="shared" si="10"/>
        <v>500</v>
      </c>
      <c r="E49" s="253">
        <v>100</v>
      </c>
      <c r="F49" s="253">
        <v>100</v>
      </c>
      <c r="G49" s="253">
        <v>100</v>
      </c>
      <c r="H49" s="253">
        <v>100</v>
      </c>
      <c r="I49" s="253">
        <v>100</v>
      </c>
    </row>
    <row r="50" spans="1:10" ht="15.75">
      <c r="A50" s="273"/>
      <c r="B50" s="111" t="s">
        <v>210</v>
      </c>
      <c r="C50" s="272"/>
      <c r="D50" s="265">
        <f t="shared" si="10"/>
        <v>360</v>
      </c>
      <c r="E50" s="253"/>
      <c r="F50" s="253">
        <v>60</v>
      </c>
      <c r="G50" s="253">
        <v>100</v>
      </c>
      <c r="H50" s="253">
        <v>100</v>
      </c>
      <c r="I50" s="253">
        <v>100</v>
      </c>
    </row>
    <row r="51" spans="1:10" ht="31.5">
      <c r="A51" s="273"/>
      <c r="B51" s="111" t="s">
        <v>218</v>
      </c>
      <c r="C51" s="272"/>
      <c r="D51" s="265">
        <f t="shared" si="10"/>
        <v>400</v>
      </c>
      <c r="E51" s="253"/>
      <c r="F51" s="253">
        <v>100</v>
      </c>
      <c r="G51" s="253">
        <v>100</v>
      </c>
      <c r="H51" s="253">
        <v>100</v>
      </c>
      <c r="I51" s="253">
        <v>100</v>
      </c>
    </row>
    <row r="52" spans="1:10" ht="31.5">
      <c r="A52" s="273"/>
      <c r="B52" s="111" t="s">
        <v>219</v>
      </c>
      <c r="C52" s="272"/>
      <c r="D52" s="265">
        <f t="shared" si="10"/>
        <v>440</v>
      </c>
      <c r="E52" s="253">
        <v>70</v>
      </c>
      <c r="F52" s="253">
        <v>70</v>
      </c>
      <c r="G52" s="253">
        <v>100</v>
      </c>
      <c r="H52" s="253">
        <v>100</v>
      </c>
      <c r="I52" s="253">
        <v>100</v>
      </c>
    </row>
    <row r="53" spans="1:10" ht="31.5">
      <c r="A53" s="273"/>
      <c r="B53" s="111" t="s">
        <v>212</v>
      </c>
      <c r="C53" s="272"/>
      <c r="D53" s="265">
        <f t="shared" si="10"/>
        <v>970</v>
      </c>
      <c r="E53" s="253">
        <v>70</v>
      </c>
      <c r="F53" s="253">
        <v>600</v>
      </c>
      <c r="G53" s="253">
        <v>100</v>
      </c>
      <c r="H53" s="253">
        <v>100</v>
      </c>
      <c r="I53" s="253">
        <v>100</v>
      </c>
    </row>
    <row r="54" spans="1:10" ht="31.5">
      <c r="A54" s="273"/>
      <c r="B54" s="111" t="s">
        <v>139</v>
      </c>
      <c r="C54" s="272"/>
      <c r="D54" s="265">
        <f t="shared" si="10"/>
        <v>410</v>
      </c>
      <c r="E54" s="253">
        <v>70</v>
      </c>
      <c r="F54" s="253">
        <v>40</v>
      </c>
      <c r="G54" s="253">
        <v>100</v>
      </c>
      <c r="H54" s="253">
        <v>100</v>
      </c>
      <c r="I54" s="253">
        <v>100</v>
      </c>
    </row>
    <row r="55" spans="1:10" ht="15.75">
      <c r="A55" s="273"/>
      <c r="B55" s="111" t="s">
        <v>33</v>
      </c>
      <c r="C55" s="272"/>
      <c r="D55" s="265">
        <f t="shared" si="10"/>
        <v>3460</v>
      </c>
      <c r="E55" s="253">
        <v>600</v>
      </c>
      <c r="F55" s="253">
        <v>660</v>
      </c>
      <c r="G55" s="253">
        <v>700</v>
      </c>
      <c r="H55" s="253">
        <v>750</v>
      </c>
      <c r="I55" s="253">
        <v>750</v>
      </c>
    </row>
    <row r="56" spans="1:10" ht="31.5">
      <c r="A56" s="245" t="s">
        <v>21</v>
      </c>
      <c r="B56" s="107" t="s">
        <v>22</v>
      </c>
      <c r="C56" s="108" t="s">
        <v>2</v>
      </c>
      <c r="D56" s="264">
        <f t="shared" ref="D56:H56" si="11">D57+D89</f>
        <v>120573.49699999999</v>
      </c>
      <c r="E56" s="250">
        <f t="shared" si="11"/>
        <v>21470.9</v>
      </c>
      <c r="F56" s="250">
        <f t="shared" si="11"/>
        <v>22191.186999999998</v>
      </c>
      <c r="G56" s="250">
        <f t="shared" si="11"/>
        <v>24230.342000000001</v>
      </c>
      <c r="H56" s="250">
        <f t="shared" si="11"/>
        <v>25673.089</v>
      </c>
      <c r="I56" s="250">
        <f>I57+I89</f>
        <v>27007.978999999999</v>
      </c>
    </row>
    <row r="57" spans="1:10" ht="47.25">
      <c r="A57" s="245" t="s">
        <v>81</v>
      </c>
      <c r="B57" s="247" t="s">
        <v>164</v>
      </c>
      <c r="C57" s="108" t="s">
        <v>2</v>
      </c>
      <c r="D57" s="264">
        <f t="shared" ref="D57:I57" si="12">D59+D60+D61+D62+D63</f>
        <v>120573.49699999999</v>
      </c>
      <c r="E57" s="250">
        <f t="shared" si="12"/>
        <v>21470.9</v>
      </c>
      <c r="F57" s="250">
        <f t="shared" si="12"/>
        <v>22191.186999999998</v>
      </c>
      <c r="G57" s="250">
        <f t="shared" si="12"/>
        <v>24230.342000000001</v>
      </c>
      <c r="H57" s="250">
        <f t="shared" si="12"/>
        <v>25673.089</v>
      </c>
      <c r="I57" s="250">
        <f t="shared" si="12"/>
        <v>27007.978999999999</v>
      </c>
    </row>
    <row r="58" spans="1:10" ht="15.75">
      <c r="A58" s="131"/>
      <c r="B58" s="111" t="s">
        <v>4</v>
      </c>
      <c r="C58" s="251"/>
      <c r="D58" s="265"/>
      <c r="E58" s="251"/>
      <c r="F58" s="251"/>
      <c r="G58" s="251"/>
      <c r="H58" s="251"/>
      <c r="I58" s="251"/>
    </row>
    <row r="59" spans="1:10" ht="47.25">
      <c r="A59" s="248" t="s">
        <v>82</v>
      </c>
      <c r="B59" s="111" t="s">
        <v>24</v>
      </c>
      <c r="C59" s="243" t="s">
        <v>2</v>
      </c>
      <c r="D59" s="265">
        <f t="shared" ref="D59:D89" si="13">E59+F59+G59+H59+I59</f>
        <v>73407.899999999994</v>
      </c>
      <c r="E59" s="265">
        <v>12484.8</v>
      </c>
      <c r="F59" s="265">
        <v>13721.8</v>
      </c>
      <c r="G59" s="265">
        <v>14682.3</v>
      </c>
      <c r="H59" s="265">
        <v>15710</v>
      </c>
      <c r="I59" s="265">
        <v>16809</v>
      </c>
      <c r="J59" s="276">
        <v>9</v>
      </c>
    </row>
    <row r="60" spans="1:10" ht="31.5">
      <c r="A60" s="248" t="s">
        <v>83</v>
      </c>
      <c r="B60" s="111" t="s">
        <v>9</v>
      </c>
      <c r="C60" s="243" t="s">
        <v>2</v>
      </c>
      <c r="D60" s="265">
        <f t="shared" si="13"/>
        <v>4329.4619999999995</v>
      </c>
      <c r="E60" s="269">
        <v>674.1</v>
      </c>
      <c r="F60" s="269">
        <f>(F59-10%)*6%</f>
        <v>823.30199999999991</v>
      </c>
      <c r="G60" s="269">
        <f t="shared" ref="G60:I60" si="14">(G59-10%)*6%</f>
        <v>880.9319999999999</v>
      </c>
      <c r="H60" s="269">
        <f t="shared" si="14"/>
        <v>942.59399999999994</v>
      </c>
      <c r="I60" s="269">
        <f t="shared" si="14"/>
        <v>1008.5340000000001</v>
      </c>
    </row>
    <row r="61" spans="1:10" ht="31.5">
      <c r="A61" s="144" t="s">
        <v>134</v>
      </c>
      <c r="B61" s="111" t="s">
        <v>122</v>
      </c>
      <c r="C61" s="243" t="s">
        <v>2</v>
      </c>
      <c r="D61" s="265">
        <f t="shared" si="13"/>
        <v>3608.1350000000002</v>
      </c>
      <c r="E61" s="265">
        <v>562</v>
      </c>
      <c r="F61" s="269">
        <f>(F59-10%)*5%</f>
        <v>686.08500000000004</v>
      </c>
      <c r="G61" s="269">
        <f t="shared" ref="G61:I61" si="15">(G59-10%)*5%</f>
        <v>734.11</v>
      </c>
      <c r="H61" s="269">
        <f t="shared" si="15"/>
        <v>785.495</v>
      </c>
      <c r="I61" s="269">
        <f t="shared" si="15"/>
        <v>840.44500000000016</v>
      </c>
    </row>
    <row r="62" spans="1:10" ht="31.5">
      <c r="A62" s="248" t="s">
        <v>84</v>
      </c>
      <c r="B62" s="111" t="s">
        <v>154</v>
      </c>
      <c r="C62" s="243" t="s">
        <v>2</v>
      </c>
      <c r="D62" s="265">
        <f t="shared" si="13"/>
        <v>3680</v>
      </c>
      <c r="E62" s="253">
        <v>660</v>
      </c>
      <c r="F62" s="253">
        <v>660</v>
      </c>
      <c r="G62" s="253">
        <v>780</v>
      </c>
      <c r="H62" s="253">
        <v>780</v>
      </c>
      <c r="I62" s="253">
        <v>800</v>
      </c>
    </row>
    <row r="63" spans="1:10" ht="31.5">
      <c r="A63" s="248" t="s">
        <v>85</v>
      </c>
      <c r="B63" s="107" t="s">
        <v>155</v>
      </c>
      <c r="C63" s="108" t="s">
        <v>2</v>
      </c>
      <c r="D63" s="264">
        <f t="shared" ref="D63:I63" si="16">D64+D65+D66+D67+D68+D69+D70+D71+D72+D73+D74+D75+D76+D77+D78+D79+D80+D81+D82+D83+D84+D85+D86+D87+D88</f>
        <v>35548</v>
      </c>
      <c r="E63" s="250">
        <f t="shared" si="16"/>
        <v>7090</v>
      </c>
      <c r="F63" s="250">
        <f t="shared" si="16"/>
        <v>6300</v>
      </c>
      <c r="G63" s="250">
        <f t="shared" si="16"/>
        <v>7153</v>
      </c>
      <c r="H63" s="250">
        <f t="shared" si="16"/>
        <v>7455</v>
      </c>
      <c r="I63" s="250">
        <f t="shared" si="16"/>
        <v>7550</v>
      </c>
    </row>
    <row r="64" spans="1:10" ht="31.5">
      <c r="A64" s="144" t="s">
        <v>165</v>
      </c>
      <c r="B64" s="111" t="s">
        <v>144</v>
      </c>
      <c r="C64" s="243" t="s">
        <v>2</v>
      </c>
      <c r="D64" s="265">
        <f t="shared" si="13"/>
        <v>3804</v>
      </c>
      <c r="E64" s="253">
        <v>1050</v>
      </c>
      <c r="F64" s="253">
        <v>354</v>
      </c>
      <c r="G64" s="253">
        <v>800</v>
      </c>
      <c r="H64" s="253">
        <v>900</v>
      </c>
      <c r="I64" s="253">
        <v>700</v>
      </c>
    </row>
    <row r="65" spans="1:10" ht="31.5">
      <c r="A65" s="144" t="s">
        <v>166</v>
      </c>
      <c r="B65" s="111" t="s">
        <v>147</v>
      </c>
      <c r="C65" s="243" t="s">
        <v>2</v>
      </c>
      <c r="D65" s="265">
        <f t="shared" si="13"/>
        <v>1313</v>
      </c>
      <c r="E65" s="253">
        <v>115</v>
      </c>
      <c r="F65" s="253">
        <v>298</v>
      </c>
      <c r="G65" s="253">
        <v>300</v>
      </c>
      <c r="H65" s="253">
        <v>300</v>
      </c>
      <c r="I65" s="253">
        <v>300</v>
      </c>
    </row>
    <row r="66" spans="1:10" ht="31.5">
      <c r="A66" s="144" t="s">
        <v>167</v>
      </c>
      <c r="B66" s="111" t="s">
        <v>184</v>
      </c>
      <c r="C66" s="243" t="s">
        <v>2</v>
      </c>
      <c r="D66" s="265"/>
      <c r="E66" s="253"/>
      <c r="F66" s="253"/>
      <c r="G66" s="253"/>
      <c r="H66" s="253"/>
      <c r="I66" s="253"/>
    </row>
    <row r="67" spans="1:10" ht="31.5">
      <c r="A67" s="144" t="s">
        <v>168</v>
      </c>
      <c r="B67" s="111" t="s">
        <v>185</v>
      </c>
      <c r="C67" s="243" t="s">
        <v>2</v>
      </c>
      <c r="D67" s="265">
        <f t="shared" si="13"/>
        <v>300</v>
      </c>
      <c r="E67" s="253"/>
      <c r="F67" s="253">
        <v>100</v>
      </c>
      <c r="G67" s="253">
        <v>100</v>
      </c>
      <c r="H67" s="253">
        <v>50</v>
      </c>
      <c r="I67" s="253">
        <v>50</v>
      </c>
    </row>
    <row r="68" spans="1:10" ht="31.5">
      <c r="A68" s="144" t="s">
        <v>169</v>
      </c>
      <c r="B68" s="111" t="s">
        <v>186</v>
      </c>
      <c r="C68" s="243" t="s">
        <v>2</v>
      </c>
      <c r="D68" s="265">
        <f t="shared" si="13"/>
        <v>1177</v>
      </c>
      <c r="E68" s="253">
        <v>214</v>
      </c>
      <c r="F68" s="253">
        <v>200</v>
      </c>
      <c r="G68" s="253">
        <v>243</v>
      </c>
      <c r="H68" s="253">
        <v>255</v>
      </c>
      <c r="I68" s="253">
        <v>265</v>
      </c>
    </row>
    <row r="69" spans="1:10" ht="31.5">
      <c r="A69" s="144" t="s">
        <v>170</v>
      </c>
      <c r="B69" s="111" t="s">
        <v>25</v>
      </c>
      <c r="C69" s="243" t="s">
        <v>2</v>
      </c>
      <c r="D69" s="265">
        <f t="shared" si="13"/>
        <v>1300</v>
      </c>
      <c r="E69" s="253">
        <v>250</v>
      </c>
      <c r="F69" s="253">
        <v>250</v>
      </c>
      <c r="G69" s="253">
        <v>250</v>
      </c>
      <c r="H69" s="253">
        <v>250</v>
      </c>
      <c r="I69" s="253">
        <v>300</v>
      </c>
      <c r="J69" s="260">
        <v>3</v>
      </c>
    </row>
    <row r="70" spans="1:10" ht="31.5">
      <c r="A70" s="144" t="s">
        <v>171</v>
      </c>
      <c r="B70" s="111" t="s">
        <v>19</v>
      </c>
      <c r="C70" s="243" t="s">
        <v>2</v>
      </c>
      <c r="D70" s="265">
        <f t="shared" si="13"/>
        <v>1700</v>
      </c>
      <c r="E70" s="253">
        <v>200</v>
      </c>
      <c r="F70" s="253">
        <v>300</v>
      </c>
      <c r="G70" s="253">
        <v>350</v>
      </c>
      <c r="H70" s="253">
        <v>400</v>
      </c>
      <c r="I70" s="253">
        <v>450</v>
      </c>
    </row>
    <row r="71" spans="1:10" ht="31.5">
      <c r="A71" s="144" t="s">
        <v>172</v>
      </c>
      <c r="B71" s="111" t="s">
        <v>26</v>
      </c>
      <c r="C71" s="243" t="s">
        <v>2</v>
      </c>
      <c r="D71" s="265">
        <f t="shared" si="13"/>
        <v>4573</v>
      </c>
      <c r="E71" s="253">
        <v>1200</v>
      </c>
      <c r="F71" s="253">
        <v>673</v>
      </c>
      <c r="G71" s="253">
        <v>800</v>
      </c>
      <c r="H71" s="253">
        <v>900</v>
      </c>
      <c r="I71" s="253">
        <v>1000</v>
      </c>
    </row>
    <row r="72" spans="1:10" ht="141.75">
      <c r="A72" s="144" t="s">
        <v>173</v>
      </c>
      <c r="B72" s="111" t="s">
        <v>27</v>
      </c>
      <c r="C72" s="243" t="s">
        <v>2</v>
      </c>
      <c r="D72" s="265">
        <f t="shared" si="13"/>
        <v>0</v>
      </c>
      <c r="E72" s="253"/>
      <c r="F72" s="253"/>
      <c r="G72" s="253"/>
      <c r="H72" s="253"/>
      <c r="I72" s="253"/>
    </row>
    <row r="73" spans="1:10" ht="31.5">
      <c r="A73" s="144" t="s">
        <v>174</v>
      </c>
      <c r="B73" s="140" t="s">
        <v>28</v>
      </c>
      <c r="C73" s="243" t="s">
        <v>2</v>
      </c>
      <c r="D73" s="265">
        <f t="shared" si="13"/>
        <v>0</v>
      </c>
      <c r="E73" s="253"/>
      <c r="F73" s="253"/>
      <c r="G73" s="253"/>
      <c r="H73" s="253"/>
      <c r="I73" s="253"/>
    </row>
    <row r="74" spans="1:10" ht="31.5">
      <c r="A74" s="144" t="s">
        <v>175</v>
      </c>
      <c r="B74" s="111" t="s">
        <v>29</v>
      </c>
      <c r="C74" s="243" t="s">
        <v>2</v>
      </c>
      <c r="D74" s="265">
        <f t="shared" si="13"/>
        <v>0</v>
      </c>
      <c r="E74" s="253"/>
      <c r="F74" s="253"/>
      <c r="G74" s="253"/>
      <c r="H74" s="253"/>
      <c r="I74" s="253"/>
    </row>
    <row r="75" spans="1:10" ht="31.5">
      <c r="A75" s="144" t="s">
        <v>176</v>
      </c>
      <c r="B75" s="111" t="s">
        <v>30</v>
      </c>
      <c r="C75" s="243" t="s">
        <v>2</v>
      </c>
      <c r="D75" s="265">
        <f t="shared" si="13"/>
        <v>6300</v>
      </c>
      <c r="E75" s="253">
        <v>1200</v>
      </c>
      <c r="F75" s="253">
        <v>1200</v>
      </c>
      <c r="G75" s="253">
        <v>1300</v>
      </c>
      <c r="H75" s="253">
        <v>1300</v>
      </c>
      <c r="I75" s="253">
        <v>1300</v>
      </c>
    </row>
    <row r="76" spans="1:10" ht="63">
      <c r="A76" s="144" t="s">
        <v>177</v>
      </c>
      <c r="B76" s="111" t="s">
        <v>31</v>
      </c>
      <c r="C76" s="243" t="s">
        <v>2</v>
      </c>
      <c r="D76" s="265">
        <f t="shared" si="13"/>
        <v>328</v>
      </c>
      <c r="E76" s="253">
        <v>48</v>
      </c>
      <c r="F76" s="253">
        <v>40</v>
      </c>
      <c r="G76" s="253">
        <v>60</v>
      </c>
      <c r="H76" s="253">
        <v>80</v>
      </c>
      <c r="I76" s="253">
        <v>100</v>
      </c>
    </row>
    <row r="77" spans="1:10" ht="47.25">
      <c r="A77" s="144" t="s">
        <v>178</v>
      </c>
      <c r="B77" s="111" t="s">
        <v>18</v>
      </c>
      <c r="C77" s="243" t="s">
        <v>2</v>
      </c>
      <c r="D77" s="265">
        <f t="shared" si="13"/>
        <v>310</v>
      </c>
      <c r="E77" s="253">
        <v>50</v>
      </c>
      <c r="F77" s="253">
        <v>50</v>
      </c>
      <c r="G77" s="253">
        <v>60</v>
      </c>
      <c r="H77" s="253">
        <v>70</v>
      </c>
      <c r="I77" s="253">
        <v>80</v>
      </c>
    </row>
    <row r="78" spans="1:10" ht="63">
      <c r="A78" s="144" t="s">
        <v>179</v>
      </c>
      <c r="B78" s="111" t="s">
        <v>32</v>
      </c>
      <c r="C78" s="243" t="s">
        <v>2</v>
      </c>
      <c r="D78" s="265">
        <f t="shared" si="13"/>
        <v>10425</v>
      </c>
      <c r="E78" s="253">
        <v>2085</v>
      </c>
      <c r="F78" s="253">
        <v>2085</v>
      </c>
      <c r="G78" s="253">
        <v>2085</v>
      </c>
      <c r="H78" s="253">
        <v>2085</v>
      </c>
      <c r="I78" s="253">
        <v>2085</v>
      </c>
    </row>
    <row r="79" spans="1:10" ht="31.5">
      <c r="A79" s="144" t="s">
        <v>180</v>
      </c>
      <c r="B79" s="111" t="s">
        <v>33</v>
      </c>
      <c r="C79" s="243" t="s">
        <v>2</v>
      </c>
      <c r="D79" s="265">
        <f t="shared" si="13"/>
        <v>2650</v>
      </c>
      <c r="E79" s="253">
        <v>450</v>
      </c>
      <c r="F79" s="253">
        <v>500</v>
      </c>
      <c r="G79" s="253">
        <v>550</v>
      </c>
      <c r="H79" s="253">
        <v>550</v>
      </c>
      <c r="I79" s="253">
        <v>600</v>
      </c>
    </row>
    <row r="80" spans="1:10" ht="94.5">
      <c r="A80" s="144" t="s">
        <v>181</v>
      </c>
      <c r="B80" s="111" t="s">
        <v>34</v>
      </c>
      <c r="C80" s="243" t="s">
        <v>2</v>
      </c>
      <c r="D80" s="265">
        <f t="shared" si="13"/>
        <v>0</v>
      </c>
      <c r="E80" s="253"/>
      <c r="F80" s="253"/>
      <c r="G80" s="253"/>
      <c r="H80" s="253"/>
      <c r="I80" s="253"/>
    </row>
    <row r="81" spans="1:9" ht="31.5">
      <c r="A81" s="144" t="s">
        <v>182</v>
      </c>
      <c r="B81" s="111" t="s">
        <v>35</v>
      </c>
      <c r="C81" s="243" t="s">
        <v>2</v>
      </c>
      <c r="D81" s="265">
        <f t="shared" si="13"/>
        <v>0</v>
      </c>
      <c r="E81" s="253"/>
      <c r="F81" s="253"/>
      <c r="G81" s="253"/>
      <c r="H81" s="253"/>
      <c r="I81" s="253"/>
    </row>
    <row r="82" spans="1:9" ht="47.25">
      <c r="A82" s="144" t="s">
        <v>183</v>
      </c>
      <c r="B82" s="111" t="s">
        <v>196</v>
      </c>
      <c r="C82" s="243" t="s">
        <v>2</v>
      </c>
      <c r="D82" s="265">
        <f t="shared" si="13"/>
        <v>0</v>
      </c>
      <c r="E82" s="253"/>
      <c r="F82" s="253"/>
      <c r="G82" s="253"/>
      <c r="H82" s="253"/>
      <c r="I82" s="253"/>
    </row>
    <row r="83" spans="1:9" ht="31.5">
      <c r="A83" s="144" t="s">
        <v>187</v>
      </c>
      <c r="B83" s="111" t="s">
        <v>130</v>
      </c>
      <c r="C83" s="243" t="s">
        <v>2</v>
      </c>
      <c r="D83" s="265">
        <f t="shared" si="13"/>
        <v>250</v>
      </c>
      <c r="E83" s="253">
        <v>30</v>
      </c>
      <c r="F83" s="253">
        <v>50</v>
      </c>
      <c r="G83" s="253">
        <v>50</v>
      </c>
      <c r="H83" s="253">
        <v>60</v>
      </c>
      <c r="I83" s="253">
        <v>60</v>
      </c>
    </row>
    <row r="84" spans="1:9" ht="31.5">
      <c r="A84" s="144" t="s">
        <v>188</v>
      </c>
      <c r="B84" s="111" t="s">
        <v>133</v>
      </c>
      <c r="C84" s="243" t="s">
        <v>2</v>
      </c>
      <c r="D84" s="265">
        <f t="shared" si="13"/>
        <v>0</v>
      </c>
      <c r="E84" s="253"/>
      <c r="F84" s="253"/>
      <c r="G84" s="253"/>
      <c r="H84" s="253"/>
      <c r="I84" s="253"/>
    </row>
    <row r="85" spans="1:9" ht="31.5">
      <c r="A85" s="144" t="s">
        <v>189</v>
      </c>
      <c r="B85" s="111" t="s">
        <v>194</v>
      </c>
      <c r="C85" s="243" t="s">
        <v>2</v>
      </c>
      <c r="D85" s="265">
        <f t="shared" si="13"/>
        <v>600</v>
      </c>
      <c r="E85" s="253">
        <v>100</v>
      </c>
      <c r="F85" s="253">
        <v>100</v>
      </c>
      <c r="G85" s="253">
        <v>100</v>
      </c>
      <c r="H85" s="253">
        <v>150</v>
      </c>
      <c r="I85" s="253">
        <v>150</v>
      </c>
    </row>
    <row r="86" spans="1:9" ht="31.5">
      <c r="A86" s="144" t="s">
        <v>190</v>
      </c>
      <c r="B86" s="111" t="s">
        <v>138</v>
      </c>
      <c r="C86" s="243" t="s">
        <v>2</v>
      </c>
      <c r="D86" s="265">
        <f t="shared" si="13"/>
        <v>0</v>
      </c>
      <c r="E86" s="253"/>
      <c r="F86" s="253"/>
      <c r="G86" s="253"/>
      <c r="H86" s="253"/>
      <c r="I86" s="253"/>
    </row>
    <row r="87" spans="1:9" ht="31.5">
      <c r="A87" s="144" t="s">
        <v>192</v>
      </c>
      <c r="B87" s="111" t="s">
        <v>139</v>
      </c>
      <c r="C87" s="243" t="s">
        <v>2</v>
      </c>
      <c r="D87" s="265">
        <f t="shared" si="13"/>
        <v>518</v>
      </c>
      <c r="E87" s="253">
        <v>98</v>
      </c>
      <c r="F87" s="253">
        <v>100</v>
      </c>
      <c r="G87" s="253">
        <v>105</v>
      </c>
      <c r="H87" s="253">
        <v>105</v>
      </c>
      <c r="I87" s="253">
        <v>110</v>
      </c>
    </row>
    <row r="88" spans="1:9" ht="47.25">
      <c r="A88" s="144" t="s">
        <v>193</v>
      </c>
      <c r="B88" s="111" t="s">
        <v>36</v>
      </c>
      <c r="C88" s="243" t="s">
        <v>2</v>
      </c>
      <c r="D88" s="265">
        <f t="shared" si="13"/>
        <v>0</v>
      </c>
      <c r="E88" s="253"/>
      <c r="F88" s="253"/>
      <c r="G88" s="253"/>
      <c r="H88" s="253"/>
      <c r="I88" s="253"/>
    </row>
    <row r="89" spans="1:9" ht="47.25">
      <c r="A89" s="245" t="s">
        <v>86</v>
      </c>
      <c r="B89" s="147" t="s">
        <v>37</v>
      </c>
      <c r="C89" s="108" t="s">
        <v>2</v>
      </c>
      <c r="D89" s="266">
        <f t="shared" si="13"/>
        <v>0</v>
      </c>
      <c r="E89" s="255"/>
      <c r="F89" s="255"/>
      <c r="G89" s="255"/>
      <c r="H89" s="255"/>
      <c r="I89" s="255"/>
    </row>
    <row r="90" spans="1:9" ht="31.5">
      <c r="A90" s="245" t="s">
        <v>38</v>
      </c>
      <c r="B90" s="107" t="s">
        <v>156</v>
      </c>
      <c r="C90" s="108" t="s">
        <v>2</v>
      </c>
      <c r="D90" s="265">
        <f>D12+D56+D63</f>
        <v>367079.88519999996</v>
      </c>
      <c r="E90" s="251">
        <f>E12+E56</f>
        <v>59059.9</v>
      </c>
      <c r="F90" s="251">
        <f>F12+F56</f>
        <v>61629.186999999998</v>
      </c>
      <c r="G90" s="251">
        <f>G12+G56</f>
        <v>66899.592000000004</v>
      </c>
      <c r="H90" s="251">
        <f>H12+H56</f>
        <v>70073.02900000001</v>
      </c>
      <c r="I90" s="251">
        <f>I12+I56</f>
        <v>74554.177200000006</v>
      </c>
    </row>
    <row r="91" spans="1:9" ht="31.5">
      <c r="A91" s="245" t="s">
        <v>40</v>
      </c>
      <c r="B91" s="107" t="s">
        <v>197</v>
      </c>
      <c r="C91" s="108" t="s">
        <v>2</v>
      </c>
      <c r="D91" s="265">
        <f>E91+F91+G91+H91+I91</f>
        <v>0</v>
      </c>
      <c r="E91" s="253"/>
      <c r="F91" s="253"/>
      <c r="G91" s="253"/>
      <c r="H91" s="253"/>
      <c r="I91" s="253"/>
    </row>
    <row r="92" spans="1:9" ht="47.25">
      <c r="A92" s="245" t="s">
        <v>41</v>
      </c>
      <c r="B92" s="247" t="s">
        <v>198</v>
      </c>
      <c r="C92" s="108" t="s">
        <v>2</v>
      </c>
      <c r="D92" s="265"/>
      <c r="E92" s="253">
        <v>314030</v>
      </c>
      <c r="F92" s="253">
        <v>324053</v>
      </c>
      <c r="G92" s="253">
        <v>333506</v>
      </c>
      <c r="H92" s="253">
        <v>342395</v>
      </c>
      <c r="I92" s="253">
        <v>350779</v>
      </c>
    </row>
    <row r="93" spans="1:9" ht="31.5">
      <c r="A93" s="245" t="s">
        <v>43</v>
      </c>
      <c r="B93" s="247" t="s">
        <v>42</v>
      </c>
      <c r="C93" s="108" t="s">
        <v>2</v>
      </c>
      <c r="D93" s="265">
        <f t="shared" ref="D93:I93" si="17">D90+D91</f>
        <v>367079.88519999996</v>
      </c>
      <c r="E93" s="251">
        <f t="shared" si="17"/>
        <v>59059.9</v>
      </c>
      <c r="F93" s="251">
        <f t="shared" si="17"/>
        <v>61629.186999999998</v>
      </c>
      <c r="G93" s="251">
        <f t="shared" si="17"/>
        <v>66899.592000000004</v>
      </c>
      <c r="H93" s="251">
        <f t="shared" si="17"/>
        <v>70073.02900000001</v>
      </c>
      <c r="I93" s="251">
        <f t="shared" si="17"/>
        <v>74554.177200000006</v>
      </c>
    </row>
    <row r="94" spans="1:9" ht="18.75">
      <c r="A94" s="369" t="s">
        <v>45</v>
      </c>
      <c r="B94" s="373" t="s">
        <v>44</v>
      </c>
      <c r="C94" s="108" t="s">
        <v>100</v>
      </c>
      <c r="D94" s="265">
        <f t="shared" ref="D94:D95" si="18">E94+F94+G94+H94+I94</f>
        <v>565.87</v>
      </c>
      <c r="E94" s="251">
        <v>101</v>
      </c>
      <c r="F94" s="251">
        <v>106</v>
      </c>
      <c r="G94" s="251">
        <v>112</v>
      </c>
      <c r="H94" s="251">
        <v>117</v>
      </c>
      <c r="I94" s="251">
        <v>129.87</v>
      </c>
    </row>
    <row r="95" spans="1:9" ht="31.5">
      <c r="A95" s="369"/>
      <c r="B95" s="373"/>
      <c r="C95" s="108" t="s">
        <v>2</v>
      </c>
      <c r="D95" s="265">
        <f t="shared" si="18"/>
        <v>0</v>
      </c>
      <c r="E95" s="251"/>
      <c r="F95" s="251"/>
      <c r="G95" s="251"/>
      <c r="H95" s="251"/>
      <c r="I95" s="251"/>
    </row>
    <row r="96" spans="1:9" ht="15.75">
      <c r="A96" s="369" t="s">
        <v>47</v>
      </c>
      <c r="B96" s="370" t="s">
        <v>191</v>
      </c>
      <c r="C96" s="108" t="s">
        <v>46</v>
      </c>
      <c r="D96" s="265"/>
      <c r="E96" s="251">
        <v>5</v>
      </c>
      <c r="F96" s="251">
        <v>5</v>
      </c>
      <c r="G96" s="251">
        <v>5</v>
      </c>
      <c r="H96" s="251">
        <v>5</v>
      </c>
      <c r="I96" s="251">
        <v>5</v>
      </c>
    </row>
    <row r="97" spans="1:9" ht="18.75">
      <c r="A97" s="369"/>
      <c r="B97" s="370"/>
      <c r="C97" s="108" t="s">
        <v>100</v>
      </c>
      <c r="D97" s="265"/>
      <c r="E97" s="251">
        <v>5.0500000000000007</v>
      </c>
      <c r="F97" s="251">
        <v>5.31</v>
      </c>
      <c r="G97" s="251">
        <v>5.58</v>
      </c>
      <c r="H97" s="251">
        <v>5.8500000000000005</v>
      </c>
      <c r="I97" s="251">
        <v>6.4935000000000009</v>
      </c>
    </row>
    <row r="98" spans="1:9" ht="34.5">
      <c r="A98" s="245" t="s">
        <v>157</v>
      </c>
      <c r="B98" s="246" t="s">
        <v>48</v>
      </c>
      <c r="C98" s="108" t="s">
        <v>101</v>
      </c>
      <c r="D98" s="267">
        <f>D93/D94</f>
        <v>648.70002862848355</v>
      </c>
      <c r="E98" s="256">
        <f>E93/E94</f>
        <v>584.75148514851492</v>
      </c>
      <c r="F98" s="256">
        <f t="shared" ref="F98:I98" si="19">F93/F94</f>
        <v>581.40742452830182</v>
      </c>
      <c r="G98" s="256">
        <f t="shared" si="19"/>
        <v>597.31778571428572</v>
      </c>
      <c r="H98" s="256">
        <f t="shared" si="19"/>
        <v>598.91477777777789</v>
      </c>
      <c r="I98" s="256">
        <f t="shared" si="19"/>
        <v>574.06773850773857</v>
      </c>
    </row>
    <row r="99" spans="1:9" ht="15.75">
      <c r="A99" s="131"/>
      <c r="B99" s="111" t="s">
        <v>49</v>
      </c>
      <c r="C99" s="251"/>
      <c r="D99" s="252"/>
      <c r="E99" s="251"/>
      <c r="F99" s="251"/>
      <c r="G99" s="251"/>
      <c r="H99" s="251"/>
      <c r="I99" s="251"/>
    </row>
    <row r="100" spans="1:9" ht="47.25">
      <c r="A100" s="248" t="s">
        <v>87</v>
      </c>
      <c r="B100" s="111" t="s">
        <v>158</v>
      </c>
      <c r="C100" s="243" t="s">
        <v>51</v>
      </c>
      <c r="D100" s="252">
        <v>34</v>
      </c>
      <c r="E100" s="251">
        <v>34</v>
      </c>
      <c r="F100" s="251">
        <v>34</v>
      </c>
      <c r="G100" s="251">
        <v>34</v>
      </c>
      <c r="H100" s="251">
        <v>34</v>
      </c>
      <c r="I100" s="251">
        <v>34</v>
      </c>
    </row>
    <row r="101" spans="1:9" ht="15.75">
      <c r="A101" s="131"/>
      <c r="B101" s="111" t="s">
        <v>4</v>
      </c>
      <c r="C101" s="244"/>
      <c r="D101" s="252"/>
      <c r="E101" s="251"/>
      <c r="F101" s="251"/>
      <c r="G101" s="251"/>
      <c r="H101" s="251"/>
      <c r="I101" s="251"/>
    </row>
    <row r="102" spans="1:9" ht="31.5">
      <c r="A102" s="248" t="s">
        <v>88</v>
      </c>
      <c r="B102" s="111" t="s">
        <v>159</v>
      </c>
      <c r="C102" s="243" t="s">
        <v>5</v>
      </c>
      <c r="D102" s="252">
        <v>25</v>
      </c>
      <c r="E102" s="251">
        <v>25</v>
      </c>
      <c r="F102" s="251">
        <v>25</v>
      </c>
      <c r="G102" s="251">
        <v>25</v>
      </c>
      <c r="H102" s="251">
        <v>25</v>
      </c>
      <c r="I102" s="251">
        <v>25</v>
      </c>
    </row>
    <row r="103" spans="1:9" ht="31.5">
      <c r="A103" s="248" t="s">
        <v>89</v>
      </c>
      <c r="B103" s="111" t="s">
        <v>160</v>
      </c>
      <c r="C103" s="243" t="s">
        <v>5</v>
      </c>
      <c r="D103" s="252">
        <v>9</v>
      </c>
      <c r="E103" s="251">
        <v>9</v>
      </c>
      <c r="F103" s="251">
        <v>9</v>
      </c>
      <c r="G103" s="251">
        <v>9</v>
      </c>
      <c r="H103" s="251">
        <v>9</v>
      </c>
      <c r="I103" s="251">
        <v>9</v>
      </c>
    </row>
    <row r="104" spans="1:9" ht="47.25">
      <c r="A104" s="248" t="s">
        <v>90</v>
      </c>
      <c r="B104" s="111" t="s">
        <v>54</v>
      </c>
      <c r="C104" s="243" t="s">
        <v>55</v>
      </c>
      <c r="D104" s="252">
        <v>90961</v>
      </c>
      <c r="E104" s="251">
        <v>84404</v>
      </c>
      <c r="F104" s="251">
        <v>90303</v>
      </c>
      <c r="G104" s="251">
        <v>96144</v>
      </c>
      <c r="H104" s="251">
        <v>101534</v>
      </c>
      <c r="I104" s="251">
        <v>106531</v>
      </c>
    </row>
    <row r="105" spans="1:9" ht="15.75">
      <c r="A105" s="131"/>
      <c r="B105" s="111" t="s">
        <v>4</v>
      </c>
      <c r="C105" s="244"/>
      <c r="D105" s="252"/>
      <c r="E105" s="251"/>
      <c r="F105" s="251"/>
      <c r="G105" s="251"/>
      <c r="H105" s="251"/>
      <c r="I105" s="251"/>
    </row>
    <row r="106" spans="1:9" ht="31.5">
      <c r="A106" s="248" t="s">
        <v>91</v>
      </c>
      <c r="B106" s="111" t="s">
        <v>52</v>
      </c>
      <c r="C106" s="243" t="s">
        <v>5</v>
      </c>
      <c r="D106" s="252">
        <v>90489</v>
      </c>
      <c r="E106" s="251">
        <v>80311</v>
      </c>
      <c r="F106" s="251">
        <v>85933</v>
      </c>
      <c r="G106" s="251">
        <v>91089</v>
      </c>
      <c r="H106" s="251">
        <v>95643</v>
      </c>
      <c r="I106" s="251">
        <v>99468</v>
      </c>
    </row>
    <row r="107" spans="1:9" ht="31.5">
      <c r="A107" s="248" t="s">
        <v>92</v>
      </c>
      <c r="B107" s="111" t="s">
        <v>53</v>
      </c>
      <c r="C107" s="243" t="s">
        <v>5</v>
      </c>
      <c r="D107" s="252">
        <v>92271</v>
      </c>
      <c r="E107" s="251">
        <v>95777</v>
      </c>
      <c r="F107" s="251">
        <v>102444</v>
      </c>
      <c r="G107" s="251">
        <v>110185</v>
      </c>
      <c r="H107" s="251">
        <v>117898</v>
      </c>
      <c r="I107" s="251">
        <v>126148</v>
      </c>
    </row>
  </sheetData>
  <mergeCells count="12">
    <mergeCell ref="A13:A14"/>
    <mergeCell ref="A94:A95"/>
    <mergeCell ref="B94:B95"/>
    <mergeCell ref="A96:A97"/>
    <mergeCell ref="B96:B97"/>
    <mergeCell ref="A5:I5"/>
    <mergeCell ref="A6:I6"/>
    <mergeCell ref="A7:I7"/>
    <mergeCell ref="A9:A10"/>
    <mergeCell ref="B9:B10"/>
    <mergeCell ref="C9:C10"/>
    <mergeCell ref="D9:I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tabSelected="1" topLeftCell="A55" zoomScaleNormal="100" workbookViewId="0">
      <selection activeCell="Q79" sqref="Q79"/>
    </sheetView>
  </sheetViews>
  <sheetFormatPr defaultRowHeight="15"/>
  <cols>
    <col min="1" max="1" width="6" customWidth="1"/>
    <col min="2" max="2" width="24.42578125" customWidth="1"/>
    <col min="3" max="3" width="10" customWidth="1"/>
    <col min="4" max="4" width="9.7109375" customWidth="1"/>
    <col min="5" max="5" width="8.7109375" customWidth="1"/>
    <col min="6" max="6" width="7.85546875" customWidth="1"/>
    <col min="7" max="7" width="9.28515625" customWidth="1"/>
    <col min="8" max="8" width="10.85546875" customWidth="1"/>
    <col min="10" max="10" width="9" customWidth="1"/>
    <col min="11" max="11" width="18.140625" customWidth="1"/>
  </cols>
  <sheetData>
    <row r="1" spans="1:11" ht="18.75">
      <c r="A1" s="400" t="s">
        <v>275</v>
      </c>
      <c r="B1" s="400"/>
      <c r="C1" s="400"/>
      <c r="D1" s="400"/>
      <c r="E1" s="400"/>
      <c r="F1" s="400"/>
      <c r="G1" s="400"/>
      <c r="H1" s="400"/>
      <c r="I1" s="400"/>
    </row>
    <row r="2" spans="1:11" ht="18.75">
      <c r="A2" s="400" t="s">
        <v>254</v>
      </c>
      <c r="B2" s="400"/>
      <c r="C2" s="400"/>
      <c r="D2" s="400"/>
      <c r="E2" s="400"/>
      <c r="F2" s="400"/>
      <c r="G2" s="400"/>
      <c r="H2" s="400"/>
      <c r="I2" s="400"/>
    </row>
    <row r="3" spans="1:11" ht="15.75">
      <c r="A3" s="377"/>
      <c r="B3" s="377"/>
      <c r="C3" s="377"/>
      <c r="D3" s="377"/>
    </row>
    <row r="4" spans="1:11" ht="7.5" customHeight="1">
      <c r="A4" s="274"/>
      <c r="B4" s="100"/>
      <c r="C4" s="100"/>
      <c r="D4" s="100"/>
    </row>
    <row r="5" spans="1:11" ht="45.75" customHeight="1">
      <c r="A5" s="414" t="s">
        <v>65</v>
      </c>
      <c r="B5" s="415" t="s">
        <v>0</v>
      </c>
      <c r="C5" s="415" t="s">
        <v>104</v>
      </c>
      <c r="D5" s="410" t="s">
        <v>263</v>
      </c>
      <c r="E5" s="411"/>
      <c r="F5" s="411"/>
      <c r="G5" s="412"/>
      <c r="H5" s="408" t="s">
        <v>253</v>
      </c>
      <c r="I5" s="417" t="s">
        <v>274</v>
      </c>
      <c r="J5" s="403" t="s">
        <v>264</v>
      </c>
      <c r="K5" s="403" t="s">
        <v>265</v>
      </c>
    </row>
    <row r="6" spans="1:11" ht="78.75" customHeight="1">
      <c r="A6" s="414"/>
      <c r="B6" s="415"/>
      <c r="C6" s="415"/>
      <c r="D6" s="285" t="s">
        <v>247</v>
      </c>
      <c r="E6" s="285" t="s">
        <v>248</v>
      </c>
      <c r="F6" s="285" t="s">
        <v>249</v>
      </c>
      <c r="G6" s="285" t="s">
        <v>250</v>
      </c>
      <c r="H6" s="409"/>
      <c r="I6" s="418"/>
      <c r="J6" s="403"/>
      <c r="K6" s="403"/>
    </row>
    <row r="7" spans="1:11" ht="51.75" customHeight="1">
      <c r="A7" s="286" t="s">
        <v>1</v>
      </c>
      <c r="B7" s="287" t="s">
        <v>143</v>
      </c>
      <c r="C7" s="286" t="s">
        <v>2</v>
      </c>
      <c r="D7" s="288">
        <f t="shared" ref="D7:E7" si="0">D8+D15+D20+D21+D24</f>
        <v>52833</v>
      </c>
      <c r="E7" s="288">
        <f t="shared" si="0"/>
        <v>44949.25</v>
      </c>
      <c r="F7" s="288">
        <f t="shared" ref="F7:G7" si="1">F8+F15+F20+F21+F24</f>
        <v>12294.4</v>
      </c>
      <c r="G7" s="289">
        <f t="shared" si="1"/>
        <v>24313.8</v>
      </c>
      <c r="H7" s="349">
        <f>D7+E7+F7+G7</f>
        <v>134390.44999999998</v>
      </c>
      <c r="I7" s="419">
        <f>I8+I15+I20+I21+I24</f>
        <v>60812</v>
      </c>
      <c r="J7" s="251"/>
      <c r="K7" s="251"/>
    </row>
    <row r="8" spans="1:11" ht="30.75" customHeight="1">
      <c r="A8" s="413">
        <v>1</v>
      </c>
      <c r="B8" s="287" t="s">
        <v>3</v>
      </c>
      <c r="C8" s="286" t="s">
        <v>2</v>
      </c>
      <c r="D8" s="288">
        <f t="shared" ref="D8" si="2">D10+D11+D12+D13+D14</f>
        <v>16175</v>
      </c>
      <c r="E8" s="289">
        <f t="shared" ref="E8" si="3">E10+E11+E12+E13+E14</f>
        <v>9506</v>
      </c>
      <c r="F8" s="288">
        <f t="shared" ref="F8:G8" si="4">F10+F11+F12+F13+F14</f>
        <v>1303</v>
      </c>
      <c r="G8" s="289">
        <f t="shared" si="4"/>
        <v>1132.6600000000001</v>
      </c>
      <c r="H8" s="330">
        <f t="shared" ref="H8:H71" si="5">D8+E8+F8+G8</f>
        <v>28116.66</v>
      </c>
      <c r="I8" s="420">
        <f>I9+I10+I11+I12+I13+I14</f>
        <v>12594</v>
      </c>
      <c r="J8" s="251"/>
      <c r="K8" s="251"/>
    </row>
    <row r="9" spans="1:11">
      <c r="A9" s="413"/>
      <c r="B9" s="290" t="s">
        <v>4</v>
      </c>
      <c r="C9" s="291"/>
      <c r="D9" s="292"/>
      <c r="E9" s="293"/>
      <c r="F9" s="292"/>
      <c r="G9" s="280"/>
      <c r="H9" s="330">
        <f t="shared" si="5"/>
        <v>0</v>
      </c>
      <c r="I9" s="278"/>
      <c r="J9" s="251"/>
      <c r="K9" s="251"/>
    </row>
    <row r="10" spans="1:11" ht="19.5" customHeight="1">
      <c r="A10" s="294" t="s">
        <v>66</v>
      </c>
      <c r="B10" s="295" t="s">
        <v>144</v>
      </c>
      <c r="C10" s="296" t="s">
        <v>2</v>
      </c>
      <c r="D10" s="297">
        <v>3500</v>
      </c>
      <c r="E10" s="297">
        <v>2581</v>
      </c>
      <c r="F10" s="298">
        <v>1001</v>
      </c>
      <c r="G10" s="279">
        <v>645.96</v>
      </c>
      <c r="H10" s="301">
        <f t="shared" si="5"/>
        <v>7727.96</v>
      </c>
      <c r="I10" s="306">
        <v>1100</v>
      </c>
      <c r="J10" s="251"/>
      <c r="K10" s="251"/>
    </row>
    <row r="11" spans="1:11" ht="18.75" customHeight="1">
      <c r="A11" s="299" t="s">
        <v>145</v>
      </c>
      <c r="B11" s="290" t="s">
        <v>162</v>
      </c>
      <c r="C11" s="296" t="s">
        <v>2</v>
      </c>
      <c r="D11" s="300">
        <v>6000</v>
      </c>
      <c r="E11" s="300">
        <v>2596</v>
      </c>
      <c r="F11" s="301"/>
      <c r="G11" s="280"/>
      <c r="H11" s="301">
        <f t="shared" si="5"/>
        <v>8596</v>
      </c>
      <c r="I11" s="306">
        <v>7500</v>
      </c>
      <c r="J11" s="251"/>
      <c r="K11" s="251"/>
    </row>
    <row r="12" spans="1:11" ht="18.75" customHeight="1">
      <c r="A12" s="299" t="s">
        <v>146</v>
      </c>
      <c r="B12" s="290" t="s">
        <v>147</v>
      </c>
      <c r="C12" s="296" t="s">
        <v>2</v>
      </c>
      <c r="D12" s="300">
        <v>1045</v>
      </c>
      <c r="E12" s="300">
        <v>919</v>
      </c>
      <c r="F12" s="302">
        <v>131</v>
      </c>
      <c r="G12" s="279">
        <v>461.7</v>
      </c>
      <c r="H12" s="301">
        <f t="shared" si="5"/>
        <v>2556.6999999999998</v>
      </c>
      <c r="I12" s="306">
        <v>960</v>
      </c>
      <c r="J12" s="251"/>
      <c r="K12" s="251"/>
    </row>
    <row r="13" spans="1:11" ht="18" customHeight="1">
      <c r="A13" s="299" t="s">
        <v>148</v>
      </c>
      <c r="B13" s="290" t="s">
        <v>209</v>
      </c>
      <c r="C13" s="296" t="s">
        <v>2</v>
      </c>
      <c r="D13" s="300">
        <v>30</v>
      </c>
      <c r="E13" s="300">
        <v>60</v>
      </c>
      <c r="F13" s="301">
        <v>0</v>
      </c>
      <c r="G13" s="279"/>
      <c r="H13" s="301">
        <f t="shared" si="5"/>
        <v>90</v>
      </c>
      <c r="I13" s="306">
        <v>80</v>
      </c>
      <c r="J13" s="251"/>
      <c r="K13" s="251"/>
    </row>
    <row r="14" spans="1:11" ht="18.75" customHeight="1">
      <c r="A14" s="299" t="s">
        <v>150</v>
      </c>
      <c r="B14" s="290" t="s">
        <v>186</v>
      </c>
      <c r="C14" s="296" t="s">
        <v>2</v>
      </c>
      <c r="D14" s="300">
        <v>5600</v>
      </c>
      <c r="E14" s="300">
        <v>3350</v>
      </c>
      <c r="F14" s="302">
        <v>171</v>
      </c>
      <c r="G14" s="279">
        <v>25</v>
      </c>
      <c r="H14" s="301">
        <f t="shared" si="5"/>
        <v>9146</v>
      </c>
      <c r="I14" s="306">
        <v>2954</v>
      </c>
      <c r="J14" s="251"/>
      <c r="K14" s="251"/>
    </row>
    <row r="15" spans="1:11" ht="25.5">
      <c r="A15" s="303" t="s">
        <v>67</v>
      </c>
      <c r="B15" s="287" t="s">
        <v>151</v>
      </c>
      <c r="C15" s="286" t="s">
        <v>2</v>
      </c>
      <c r="D15" s="304">
        <f t="shared" ref="D15:E15" si="6">D17+D18+D19</f>
        <v>25492</v>
      </c>
      <c r="E15" s="304">
        <f t="shared" si="6"/>
        <v>21263.25</v>
      </c>
      <c r="F15" s="288">
        <f t="shared" ref="F15:G15" si="7">F17+F18+F19</f>
        <v>7992</v>
      </c>
      <c r="G15" s="288">
        <f t="shared" si="7"/>
        <v>7956.54</v>
      </c>
      <c r="H15" s="330">
        <f t="shared" si="5"/>
        <v>62703.79</v>
      </c>
      <c r="I15" s="420">
        <f>I17+I18+I19</f>
        <v>33224</v>
      </c>
      <c r="J15" s="251"/>
      <c r="K15" s="251"/>
    </row>
    <row r="16" spans="1:11" ht="30" customHeight="1">
      <c r="A16" s="305"/>
      <c r="B16" s="290" t="s">
        <v>4</v>
      </c>
      <c r="C16" s="291"/>
      <c r="D16" s="306"/>
      <c r="E16" s="306"/>
      <c r="F16" s="291"/>
      <c r="G16" s="281"/>
      <c r="H16" s="330">
        <f t="shared" si="5"/>
        <v>0</v>
      </c>
      <c r="I16" s="278"/>
      <c r="J16" s="251"/>
      <c r="K16" s="291"/>
    </row>
    <row r="17" spans="1:11" ht="15.75" customHeight="1">
      <c r="A17" s="299" t="s">
        <v>68</v>
      </c>
      <c r="B17" s="290" t="s">
        <v>8</v>
      </c>
      <c r="C17" s="296" t="s">
        <v>2</v>
      </c>
      <c r="D17" s="300">
        <v>23196</v>
      </c>
      <c r="E17" s="300">
        <v>19367.25</v>
      </c>
      <c r="F17" s="301">
        <v>7272</v>
      </c>
      <c r="G17" s="281">
        <v>7239.8</v>
      </c>
      <c r="H17" s="330">
        <f t="shared" si="5"/>
        <v>57075.05</v>
      </c>
      <c r="I17" s="289">
        <v>31375</v>
      </c>
      <c r="J17" s="251"/>
      <c r="K17" s="291" t="s">
        <v>266</v>
      </c>
    </row>
    <row r="18" spans="1:11" ht="21.75" customHeight="1">
      <c r="A18" s="299" t="s">
        <v>69</v>
      </c>
      <c r="B18" s="290" t="s">
        <v>9</v>
      </c>
      <c r="C18" s="296" t="s">
        <v>2</v>
      </c>
      <c r="D18" s="300">
        <v>1252</v>
      </c>
      <c r="E18" s="307">
        <v>1046</v>
      </c>
      <c r="F18" s="302">
        <v>393</v>
      </c>
      <c r="G18" s="281">
        <v>716.74</v>
      </c>
      <c r="H18" s="301">
        <f t="shared" si="5"/>
        <v>3407.74</v>
      </c>
      <c r="I18" s="293">
        <v>1193</v>
      </c>
      <c r="J18" s="251"/>
      <c r="K18" s="291" t="s">
        <v>266</v>
      </c>
    </row>
    <row r="19" spans="1:11" ht="21.75" customHeight="1">
      <c r="A19" s="299" t="s">
        <v>121</v>
      </c>
      <c r="B19" s="290" t="s">
        <v>122</v>
      </c>
      <c r="C19" s="296" t="s">
        <v>2</v>
      </c>
      <c r="D19" s="300">
        <v>1044</v>
      </c>
      <c r="E19" s="307">
        <v>850</v>
      </c>
      <c r="F19" s="302">
        <v>327</v>
      </c>
      <c r="G19" s="281"/>
      <c r="H19" s="301">
        <f t="shared" si="5"/>
        <v>2221</v>
      </c>
      <c r="I19" s="293">
        <v>656</v>
      </c>
      <c r="J19" s="251"/>
      <c r="K19" s="291"/>
    </row>
    <row r="20" spans="1:11" ht="21.75" customHeight="1">
      <c r="A20" s="303" t="s">
        <v>70</v>
      </c>
      <c r="B20" s="287" t="s">
        <v>10</v>
      </c>
      <c r="C20" s="286" t="s">
        <v>2</v>
      </c>
      <c r="D20" s="308">
        <v>4000</v>
      </c>
      <c r="E20" s="309">
        <v>7000</v>
      </c>
      <c r="F20" s="310">
        <v>1519.4</v>
      </c>
      <c r="G20" s="281">
        <v>14913.62</v>
      </c>
      <c r="H20" s="330">
        <f t="shared" si="5"/>
        <v>27433.02</v>
      </c>
      <c r="I20" s="420">
        <v>13145</v>
      </c>
      <c r="J20" s="251"/>
      <c r="K20" s="291" t="s">
        <v>270</v>
      </c>
    </row>
    <row r="21" spans="1:11" ht="24" customHeight="1">
      <c r="A21" s="303" t="s">
        <v>71</v>
      </c>
      <c r="B21" s="287" t="s">
        <v>11</v>
      </c>
      <c r="C21" s="286" t="s">
        <v>2</v>
      </c>
      <c r="D21" s="311">
        <v>4400</v>
      </c>
      <c r="E21" s="286">
        <v>3700</v>
      </c>
      <c r="F21" s="286">
        <v>750</v>
      </c>
      <c r="G21" s="281"/>
      <c r="H21" s="330">
        <f t="shared" si="5"/>
        <v>8850</v>
      </c>
      <c r="I21" s="278"/>
      <c r="J21" s="251"/>
      <c r="K21" s="291" t="s">
        <v>267</v>
      </c>
    </row>
    <row r="22" spans="1:11">
      <c r="A22" s="305"/>
      <c r="B22" s="290" t="s">
        <v>4</v>
      </c>
      <c r="C22" s="291"/>
      <c r="D22" s="312"/>
      <c r="E22" s="313"/>
      <c r="F22" s="291"/>
      <c r="G22" s="282"/>
      <c r="H22" s="330">
        <f t="shared" si="5"/>
        <v>0</v>
      </c>
      <c r="I22" s="278"/>
      <c r="J22" s="251"/>
      <c r="K22" s="291"/>
    </row>
    <row r="23" spans="1:11" ht="39.75" customHeight="1">
      <c r="A23" s="299" t="s">
        <v>72</v>
      </c>
      <c r="B23" s="314" t="s">
        <v>12</v>
      </c>
      <c r="C23" s="296" t="s">
        <v>2</v>
      </c>
      <c r="D23" s="315">
        <v>4400</v>
      </c>
      <c r="E23" s="306">
        <v>3700</v>
      </c>
      <c r="F23" s="296">
        <v>750</v>
      </c>
      <c r="G23" s="282"/>
      <c r="H23" s="330">
        <f t="shared" si="5"/>
        <v>8850</v>
      </c>
      <c r="I23" s="278"/>
      <c r="J23" s="251"/>
      <c r="K23" s="291"/>
    </row>
    <row r="24" spans="1:11" ht="24" customHeight="1">
      <c r="A24" s="303" t="s">
        <v>73</v>
      </c>
      <c r="B24" s="287" t="s">
        <v>13</v>
      </c>
      <c r="C24" s="286" t="s">
        <v>2</v>
      </c>
      <c r="D24" s="316">
        <v>2766</v>
      </c>
      <c r="E24" s="304">
        <v>3480</v>
      </c>
      <c r="F24" s="288">
        <v>730</v>
      </c>
      <c r="G24" s="288">
        <v>310.98</v>
      </c>
      <c r="H24" s="330">
        <f t="shared" si="5"/>
        <v>7286.98</v>
      </c>
      <c r="I24" s="420">
        <f>I25+I26+I27+I28+I29+I30+I31+I32+I33+I34+I35+I36+I37+I38+I39+I40+I41+I42+I43+I44+I45+I46+I47+I48</f>
        <v>1849</v>
      </c>
      <c r="J24" s="251"/>
      <c r="K24" s="291"/>
    </row>
    <row r="25" spans="1:11" ht="50.25" customHeight="1">
      <c r="A25" s="299" t="s">
        <v>221</v>
      </c>
      <c r="B25" s="290" t="s">
        <v>17</v>
      </c>
      <c r="C25" s="296" t="s">
        <v>2</v>
      </c>
      <c r="D25" s="317">
        <v>140</v>
      </c>
      <c r="E25" s="306">
        <v>400</v>
      </c>
      <c r="F25" s="302">
        <v>83</v>
      </c>
      <c r="G25" s="282"/>
      <c r="H25" s="421">
        <f t="shared" si="5"/>
        <v>623</v>
      </c>
      <c r="I25" s="293">
        <v>300</v>
      </c>
      <c r="J25" s="251"/>
      <c r="K25" s="291"/>
    </row>
    <row r="26" spans="1:11" ht="34.5" customHeight="1">
      <c r="A26" s="299" t="s">
        <v>222</v>
      </c>
      <c r="B26" s="318" t="s">
        <v>18</v>
      </c>
      <c r="C26" s="296" t="s">
        <v>2</v>
      </c>
      <c r="D26" s="317">
        <v>260</v>
      </c>
      <c r="E26" s="306">
        <v>170</v>
      </c>
      <c r="F26" s="302">
        <v>57</v>
      </c>
      <c r="G26" s="282">
        <v>64.89</v>
      </c>
      <c r="H26" s="301">
        <f t="shared" si="5"/>
        <v>551.89</v>
      </c>
      <c r="I26" s="293"/>
      <c r="J26" s="251"/>
      <c r="K26" s="291"/>
    </row>
    <row r="27" spans="1:11" ht="21" customHeight="1">
      <c r="A27" s="299" t="s">
        <v>223</v>
      </c>
      <c r="B27" s="290" t="s">
        <v>19</v>
      </c>
      <c r="C27" s="296" t="s">
        <v>2</v>
      </c>
      <c r="D27" s="319">
        <v>34</v>
      </c>
      <c r="E27" s="306">
        <v>50</v>
      </c>
      <c r="F27" s="302">
        <v>34</v>
      </c>
      <c r="G27" s="281"/>
      <c r="H27" s="301">
        <f t="shared" si="5"/>
        <v>118</v>
      </c>
      <c r="I27" s="293">
        <v>16</v>
      </c>
      <c r="J27" s="251"/>
      <c r="K27" s="291"/>
    </row>
    <row r="28" spans="1:11" ht="25.5" customHeight="1">
      <c r="A28" s="299" t="s">
        <v>224</v>
      </c>
      <c r="B28" s="314" t="s">
        <v>125</v>
      </c>
      <c r="C28" s="296" t="s">
        <v>2</v>
      </c>
      <c r="D28" s="317">
        <v>140</v>
      </c>
      <c r="E28" s="306">
        <v>263</v>
      </c>
      <c r="F28" s="302">
        <v>57</v>
      </c>
      <c r="G28" s="281"/>
      <c r="H28" s="301">
        <f t="shared" si="5"/>
        <v>460</v>
      </c>
      <c r="I28" s="293">
        <v>400</v>
      </c>
      <c r="J28" s="251"/>
      <c r="K28" s="291"/>
    </row>
    <row r="29" spans="1:11" ht="15.75" customHeight="1">
      <c r="A29" s="299" t="s">
        <v>225</v>
      </c>
      <c r="B29" s="290" t="s">
        <v>130</v>
      </c>
      <c r="C29" s="296" t="s">
        <v>2</v>
      </c>
      <c r="D29" s="319">
        <v>50</v>
      </c>
      <c r="E29" s="306">
        <v>245</v>
      </c>
      <c r="F29" s="302">
        <v>68</v>
      </c>
      <c r="G29" s="281">
        <v>47.5</v>
      </c>
      <c r="H29" s="301">
        <f t="shared" si="5"/>
        <v>410.5</v>
      </c>
      <c r="I29" s="293">
        <v>305</v>
      </c>
      <c r="J29" s="251"/>
      <c r="K29" s="291" t="s">
        <v>268</v>
      </c>
    </row>
    <row r="30" spans="1:11">
      <c r="A30" s="299" t="s">
        <v>226</v>
      </c>
      <c r="B30" s="290" t="s">
        <v>210</v>
      </c>
      <c r="C30" s="296"/>
      <c r="D30" s="319">
        <v>72</v>
      </c>
      <c r="E30" s="306">
        <v>49</v>
      </c>
      <c r="F30" s="302"/>
      <c r="G30" s="281">
        <v>0</v>
      </c>
      <c r="H30" s="301">
        <f t="shared" si="5"/>
        <v>121</v>
      </c>
      <c r="I30" s="293"/>
      <c r="J30" s="251"/>
      <c r="K30" s="291"/>
    </row>
    <row r="31" spans="1:11" ht="24.75" customHeight="1">
      <c r="A31" s="299" t="s">
        <v>227</v>
      </c>
      <c r="B31" s="290" t="s">
        <v>212</v>
      </c>
      <c r="C31" s="296"/>
      <c r="D31" s="319">
        <v>200</v>
      </c>
      <c r="E31" s="306"/>
      <c r="F31" s="302"/>
      <c r="G31" s="281">
        <v>0</v>
      </c>
      <c r="H31" s="301">
        <f t="shared" si="5"/>
        <v>200</v>
      </c>
      <c r="I31" s="293"/>
      <c r="J31" s="251"/>
      <c r="K31" s="291"/>
    </row>
    <row r="32" spans="1:11" ht="25.5">
      <c r="A32" s="299" t="s">
        <v>228</v>
      </c>
      <c r="B32" s="290" t="s">
        <v>131</v>
      </c>
      <c r="C32" s="296" t="s">
        <v>2</v>
      </c>
      <c r="D32" s="319">
        <v>120</v>
      </c>
      <c r="E32" s="306">
        <v>136</v>
      </c>
      <c r="F32" s="302">
        <v>57</v>
      </c>
      <c r="G32" s="282"/>
      <c r="H32" s="301">
        <f t="shared" si="5"/>
        <v>313</v>
      </c>
      <c r="I32" s="293"/>
      <c r="J32" s="251"/>
      <c r="K32" s="291"/>
    </row>
    <row r="33" spans="1:11" ht="26.25" customHeight="1">
      <c r="A33" s="299" t="s">
        <v>229</v>
      </c>
      <c r="B33" s="290" t="s">
        <v>33</v>
      </c>
      <c r="C33" s="296" t="s">
        <v>2</v>
      </c>
      <c r="D33" s="319">
        <v>650</v>
      </c>
      <c r="E33" s="306">
        <v>670</v>
      </c>
      <c r="F33" s="302">
        <v>364</v>
      </c>
      <c r="G33" s="282">
        <v>70.59</v>
      </c>
      <c r="H33" s="301">
        <f t="shared" si="5"/>
        <v>1754.59</v>
      </c>
      <c r="I33" s="293">
        <v>150</v>
      </c>
      <c r="J33" s="251"/>
      <c r="K33" s="291"/>
    </row>
    <row r="34" spans="1:11" ht="27" customHeight="1">
      <c r="A34" s="299" t="s">
        <v>230</v>
      </c>
      <c r="B34" s="290" t="s">
        <v>211</v>
      </c>
      <c r="C34" s="296" t="s">
        <v>2</v>
      </c>
      <c r="D34" s="319">
        <v>200</v>
      </c>
      <c r="E34" s="306">
        <v>482</v>
      </c>
      <c r="F34" s="302">
        <v>20</v>
      </c>
      <c r="G34" s="282"/>
      <c r="H34" s="301">
        <f t="shared" si="5"/>
        <v>702</v>
      </c>
      <c r="I34" s="293">
        <v>508</v>
      </c>
      <c r="J34" s="251"/>
      <c r="K34" s="291"/>
    </row>
    <row r="35" spans="1:11" ht="23.25" customHeight="1">
      <c r="A35" s="299" t="s">
        <v>235</v>
      </c>
      <c r="B35" s="290" t="s">
        <v>30</v>
      </c>
      <c r="C35" s="296" t="s">
        <v>2</v>
      </c>
      <c r="D35" s="319">
        <v>300</v>
      </c>
      <c r="E35" s="306">
        <v>40</v>
      </c>
      <c r="F35" s="320"/>
      <c r="G35" s="281"/>
      <c r="H35" s="301">
        <f t="shared" si="5"/>
        <v>340</v>
      </c>
      <c r="I35" s="293"/>
      <c r="J35" s="251"/>
      <c r="K35" s="291"/>
    </row>
    <row r="36" spans="1:11" ht="20.25" customHeight="1">
      <c r="A36" s="299" t="s">
        <v>236</v>
      </c>
      <c r="B36" s="290" t="s">
        <v>231</v>
      </c>
      <c r="C36" s="296" t="s">
        <v>2</v>
      </c>
      <c r="D36" s="319">
        <v>200</v>
      </c>
      <c r="E36" s="306"/>
      <c r="F36" s="320"/>
      <c r="G36" s="281"/>
      <c r="H36" s="301">
        <f t="shared" si="5"/>
        <v>200</v>
      </c>
      <c r="I36" s="293">
        <v>170</v>
      </c>
      <c r="J36" s="251"/>
      <c r="K36" s="291"/>
    </row>
    <row r="37" spans="1:11" ht="21" customHeight="1">
      <c r="A37" s="299" t="s">
        <v>237</v>
      </c>
      <c r="B37" s="290" t="s">
        <v>214</v>
      </c>
      <c r="C37" s="296" t="s">
        <v>2</v>
      </c>
      <c r="D37" s="319">
        <v>80</v>
      </c>
      <c r="E37" s="306">
        <v>120</v>
      </c>
      <c r="F37" s="320"/>
      <c r="G37" s="320"/>
      <c r="H37" s="301">
        <f t="shared" si="5"/>
        <v>200</v>
      </c>
      <c r="I37" s="293"/>
      <c r="J37" s="251"/>
      <c r="K37" s="291"/>
    </row>
    <row r="38" spans="1:11" ht="21.75" customHeight="1">
      <c r="A38" s="299" t="s">
        <v>238</v>
      </c>
      <c r="B38" s="290" t="s">
        <v>233</v>
      </c>
      <c r="C38" s="296" t="s">
        <v>2</v>
      </c>
      <c r="D38" s="319">
        <v>72</v>
      </c>
      <c r="E38" s="306">
        <v>100</v>
      </c>
      <c r="F38" s="320"/>
      <c r="G38" s="320"/>
      <c r="H38" s="301">
        <f t="shared" si="5"/>
        <v>172</v>
      </c>
      <c r="I38" s="293"/>
      <c r="J38" s="251"/>
      <c r="K38" s="291" t="s">
        <v>269</v>
      </c>
    </row>
    <row r="39" spans="1:11" ht="26.25" customHeight="1">
      <c r="A39" s="299" t="s">
        <v>239</v>
      </c>
      <c r="B39" s="290" t="s">
        <v>232</v>
      </c>
      <c r="C39" s="296" t="s">
        <v>2</v>
      </c>
      <c r="D39" s="319">
        <v>72</v>
      </c>
      <c r="E39" s="306"/>
      <c r="F39" s="320"/>
      <c r="G39" s="320"/>
      <c r="H39" s="301">
        <f t="shared" si="5"/>
        <v>72</v>
      </c>
      <c r="I39" s="293"/>
      <c r="J39" s="251"/>
      <c r="K39" s="291" t="s">
        <v>269</v>
      </c>
    </row>
    <row r="40" spans="1:11" ht="25.5">
      <c r="A40" s="299" t="s">
        <v>240</v>
      </c>
      <c r="B40" s="290" t="s">
        <v>217</v>
      </c>
      <c r="C40" s="296" t="s">
        <v>2</v>
      </c>
      <c r="D40" s="319">
        <v>72</v>
      </c>
      <c r="E40" s="306">
        <v>100</v>
      </c>
      <c r="F40" s="320"/>
      <c r="G40" s="320"/>
      <c r="H40" s="301">
        <f t="shared" si="5"/>
        <v>172</v>
      </c>
      <c r="I40" s="293"/>
      <c r="J40" s="251"/>
      <c r="K40" s="291" t="s">
        <v>269</v>
      </c>
    </row>
    <row r="41" spans="1:11" ht="27" customHeight="1">
      <c r="A41" s="299" t="s">
        <v>241</v>
      </c>
      <c r="B41" s="290" t="s">
        <v>218</v>
      </c>
      <c r="C41" s="296" t="s">
        <v>2</v>
      </c>
      <c r="D41" s="319">
        <v>72</v>
      </c>
      <c r="E41" s="306">
        <v>100</v>
      </c>
      <c r="F41" s="320"/>
      <c r="G41" s="320"/>
      <c r="H41" s="301">
        <f t="shared" si="5"/>
        <v>172</v>
      </c>
      <c r="I41" s="293"/>
      <c r="J41" s="251"/>
      <c r="K41" s="291"/>
    </row>
    <row r="42" spans="1:11" ht="27" customHeight="1">
      <c r="A42" s="299" t="s">
        <v>242</v>
      </c>
      <c r="B42" s="290" t="s">
        <v>210</v>
      </c>
      <c r="C42" s="296" t="s">
        <v>2</v>
      </c>
      <c r="D42" s="319">
        <v>72</v>
      </c>
      <c r="E42" s="306">
        <v>60</v>
      </c>
      <c r="F42" s="320"/>
      <c r="G42" s="320"/>
      <c r="H42" s="301">
        <f t="shared" si="5"/>
        <v>132</v>
      </c>
      <c r="I42" s="293"/>
      <c r="J42" s="251"/>
      <c r="K42" s="291"/>
    </row>
    <row r="43" spans="1:11" ht="16.5" customHeight="1">
      <c r="A43" s="299" t="s">
        <v>243</v>
      </c>
      <c r="B43" s="290" t="s">
        <v>219</v>
      </c>
      <c r="C43" s="296" t="s">
        <v>2</v>
      </c>
      <c r="D43" s="319">
        <v>50</v>
      </c>
      <c r="E43" s="306">
        <v>50</v>
      </c>
      <c r="F43" s="320"/>
      <c r="G43" s="321">
        <v>128</v>
      </c>
      <c r="H43" s="301">
        <f t="shared" si="5"/>
        <v>228</v>
      </c>
      <c r="I43" s="293"/>
      <c r="J43" s="251"/>
      <c r="K43" s="291"/>
    </row>
    <row r="44" spans="1:11" ht="23.25" customHeight="1">
      <c r="A44" s="299" t="s">
        <v>244</v>
      </c>
      <c r="B44" s="290" t="s">
        <v>139</v>
      </c>
      <c r="C44" s="296" t="s">
        <v>2</v>
      </c>
      <c r="D44" s="319">
        <v>100</v>
      </c>
      <c r="E44" s="306">
        <v>100</v>
      </c>
      <c r="F44" s="320"/>
      <c r="G44" s="320"/>
      <c r="H44" s="301">
        <f t="shared" si="5"/>
        <v>200</v>
      </c>
      <c r="I44" s="293"/>
      <c r="J44" s="251"/>
      <c r="K44" s="291"/>
    </row>
    <row r="45" spans="1:11" ht="27" customHeight="1">
      <c r="A45" s="299" t="s">
        <v>245</v>
      </c>
      <c r="B45" s="290" t="s">
        <v>132</v>
      </c>
      <c r="C45" s="296" t="s">
        <v>2</v>
      </c>
      <c r="D45" s="319">
        <v>50</v>
      </c>
      <c r="E45" s="306">
        <v>50</v>
      </c>
      <c r="F45" s="320"/>
      <c r="G45" s="320"/>
      <c r="H45" s="301">
        <f t="shared" si="5"/>
        <v>100</v>
      </c>
      <c r="I45" s="293"/>
      <c r="J45" s="251"/>
      <c r="K45" s="291"/>
    </row>
    <row r="46" spans="1:11" ht="51.75" customHeight="1">
      <c r="A46" s="299" t="s">
        <v>256</v>
      </c>
      <c r="B46" s="322" t="s">
        <v>16</v>
      </c>
      <c r="C46" s="296"/>
      <c r="D46" s="319"/>
      <c r="E46" s="306">
        <v>95</v>
      </c>
      <c r="F46" s="320"/>
      <c r="G46" s="320"/>
      <c r="H46" s="301">
        <f t="shared" si="5"/>
        <v>95</v>
      </c>
      <c r="I46" s="293"/>
      <c r="J46" s="251"/>
      <c r="K46" s="291"/>
    </row>
    <row r="47" spans="1:11" ht="28.5" customHeight="1">
      <c r="A47" s="299" t="s">
        <v>257</v>
      </c>
      <c r="B47" s="322" t="s">
        <v>215</v>
      </c>
      <c r="C47" s="296"/>
      <c r="D47" s="319"/>
      <c r="E47" s="306">
        <v>100</v>
      </c>
      <c r="F47" s="320"/>
      <c r="G47" s="320"/>
      <c r="H47" s="301">
        <f t="shared" si="5"/>
        <v>100</v>
      </c>
      <c r="I47" s="293"/>
      <c r="J47" s="251"/>
      <c r="K47" s="291" t="s">
        <v>269</v>
      </c>
    </row>
    <row r="48" spans="1:11" ht="24.75" customHeight="1">
      <c r="A48" s="299" t="s">
        <v>258</v>
      </c>
      <c r="B48" s="322" t="s">
        <v>212</v>
      </c>
      <c r="C48" s="296"/>
      <c r="D48" s="319"/>
      <c r="E48" s="306">
        <v>100</v>
      </c>
      <c r="F48" s="320"/>
      <c r="G48" s="320"/>
      <c r="H48" s="301">
        <f t="shared" si="5"/>
        <v>100</v>
      </c>
      <c r="I48" s="293"/>
      <c r="J48" s="251"/>
      <c r="K48" s="291"/>
    </row>
    <row r="49" spans="1:11" ht="26.25" customHeight="1">
      <c r="A49" s="303" t="s">
        <v>21</v>
      </c>
      <c r="B49" s="323" t="s">
        <v>22</v>
      </c>
      <c r="C49" s="286" t="s">
        <v>2</v>
      </c>
      <c r="D49" s="324">
        <f t="shared" ref="D49" si="8">D50</f>
        <v>25328.449000000001</v>
      </c>
      <c r="E49" s="304">
        <f t="shared" ref="E49" si="9">E50</f>
        <v>29653.342000000001</v>
      </c>
      <c r="F49" s="320"/>
      <c r="G49" s="320"/>
      <c r="H49" s="330">
        <f t="shared" si="5"/>
        <v>54981.790999999997</v>
      </c>
      <c r="I49" s="289">
        <f>I50</f>
        <v>14254</v>
      </c>
      <c r="J49" s="251"/>
      <c r="K49" s="291"/>
    </row>
    <row r="50" spans="1:11" ht="38.25">
      <c r="A50" s="342" t="s">
        <v>81</v>
      </c>
      <c r="B50" s="343" t="s">
        <v>164</v>
      </c>
      <c r="C50" s="344" t="s">
        <v>2</v>
      </c>
      <c r="D50" s="345">
        <f t="shared" ref="D50" si="10">D52+D56+D57</f>
        <v>25328.449000000001</v>
      </c>
      <c r="E50" s="346">
        <f t="shared" ref="E50" si="11">E52+E56+E57</f>
        <v>29653.342000000001</v>
      </c>
      <c r="F50" s="347"/>
      <c r="G50" s="347"/>
      <c r="H50" s="348">
        <f t="shared" si="5"/>
        <v>54981.790999999997</v>
      </c>
      <c r="I50" s="348">
        <f>I52+I56+I57</f>
        <v>14254</v>
      </c>
      <c r="J50" s="253"/>
      <c r="K50" s="356"/>
    </row>
    <row r="51" spans="1:11">
      <c r="A51" s="305"/>
      <c r="B51" s="314" t="s">
        <v>4</v>
      </c>
      <c r="C51" s="286"/>
      <c r="D51" s="319"/>
      <c r="E51" s="327"/>
      <c r="F51" s="320"/>
      <c r="G51" s="320"/>
      <c r="H51" s="330">
        <f t="shared" si="5"/>
        <v>0</v>
      </c>
      <c r="I51" s="251"/>
      <c r="J51" s="251"/>
      <c r="K51" s="291"/>
    </row>
    <row r="52" spans="1:11" ht="25.5">
      <c r="A52" s="305"/>
      <c r="B52" s="323" t="s">
        <v>151</v>
      </c>
      <c r="C52" s="286" t="s">
        <v>2</v>
      </c>
      <c r="D52" s="326">
        <f t="shared" ref="D52" si="12">D53+D54+D55</f>
        <v>18743.449000000001</v>
      </c>
      <c r="E52" s="328">
        <f t="shared" ref="E52" si="13">E53+E54+E55</f>
        <v>16297.342000000001</v>
      </c>
      <c r="F52" s="320"/>
      <c r="G52" s="320"/>
      <c r="H52" s="330">
        <f t="shared" si="5"/>
        <v>35040.790999999997</v>
      </c>
      <c r="I52" s="330">
        <f>I53+I54+I55</f>
        <v>9698</v>
      </c>
      <c r="J52" s="251"/>
      <c r="K52" s="291" t="s">
        <v>271</v>
      </c>
    </row>
    <row r="53" spans="1:11" ht="38.25">
      <c r="A53" s="299" t="s">
        <v>82</v>
      </c>
      <c r="B53" s="314" t="s">
        <v>24</v>
      </c>
      <c r="C53" s="296" t="s">
        <v>2</v>
      </c>
      <c r="D53" s="326">
        <v>16886</v>
      </c>
      <c r="E53" s="306">
        <v>14682.3</v>
      </c>
      <c r="F53" s="320"/>
      <c r="G53" s="320"/>
      <c r="H53" s="330">
        <f t="shared" si="5"/>
        <v>31568.3</v>
      </c>
      <c r="I53" s="291">
        <v>8934</v>
      </c>
      <c r="J53" s="251"/>
      <c r="K53" s="291"/>
    </row>
    <row r="54" spans="1:11">
      <c r="A54" s="299" t="s">
        <v>83</v>
      </c>
      <c r="B54" s="290" t="s">
        <v>9</v>
      </c>
      <c r="C54" s="296" t="s">
        <v>2</v>
      </c>
      <c r="D54" s="319">
        <f t="shared" ref="D54" si="14">(D53-10%)*6%</f>
        <v>1013.154</v>
      </c>
      <c r="E54" s="307">
        <f t="shared" ref="E54" si="15">(E53-10%)*6%</f>
        <v>880.9319999999999</v>
      </c>
      <c r="F54" s="320"/>
      <c r="G54" s="320"/>
      <c r="H54" s="330">
        <f t="shared" si="5"/>
        <v>1894.0859999999998</v>
      </c>
      <c r="I54" s="291">
        <v>502</v>
      </c>
      <c r="J54" s="251"/>
      <c r="K54" s="291"/>
    </row>
    <row r="55" spans="1:11">
      <c r="A55" s="329" t="s">
        <v>134</v>
      </c>
      <c r="B55" s="290" t="s">
        <v>122</v>
      </c>
      <c r="C55" s="296" t="s">
        <v>2</v>
      </c>
      <c r="D55" s="319">
        <f t="shared" ref="D55" si="16">(D53-10%)*5%</f>
        <v>844.29500000000007</v>
      </c>
      <c r="E55" s="307">
        <f t="shared" ref="E55" si="17">(E53-10%)*5%</f>
        <v>734.11</v>
      </c>
      <c r="F55" s="320"/>
      <c r="G55" s="320"/>
      <c r="H55" s="330">
        <f t="shared" si="5"/>
        <v>1578.4050000000002</v>
      </c>
      <c r="I55" s="291">
        <v>262</v>
      </c>
      <c r="J55" s="251"/>
      <c r="K55" s="291"/>
    </row>
    <row r="56" spans="1:11" ht="15.75" customHeight="1">
      <c r="A56" s="299" t="s">
        <v>84</v>
      </c>
      <c r="B56" s="290" t="s">
        <v>154</v>
      </c>
      <c r="C56" s="296" t="s">
        <v>2</v>
      </c>
      <c r="D56" s="326">
        <v>550</v>
      </c>
      <c r="E56" s="304">
        <v>780</v>
      </c>
      <c r="F56" s="320"/>
      <c r="G56" s="320"/>
      <c r="H56" s="330">
        <f t="shared" si="5"/>
        <v>1330</v>
      </c>
      <c r="I56" s="333">
        <v>510</v>
      </c>
      <c r="J56" s="251"/>
      <c r="K56" s="291"/>
    </row>
    <row r="57" spans="1:11" ht="25.5">
      <c r="A57" s="299" t="s">
        <v>85</v>
      </c>
      <c r="B57" s="287" t="s">
        <v>155</v>
      </c>
      <c r="C57" s="286" t="s">
        <v>2</v>
      </c>
      <c r="D57" s="326">
        <f>D58+D59+D60++D61+D62+D63+D64+D65+D66+D67+D68+D69+D70+D71+D72+D73</f>
        <v>6035</v>
      </c>
      <c r="E57" s="326">
        <f>E58+E59+E60++E61+E62+E63+E64+E65+E66+E67+E68+E69+E70+E71+E72+E73</f>
        <v>12576</v>
      </c>
      <c r="F57" s="320"/>
      <c r="G57" s="320"/>
      <c r="H57" s="330">
        <f t="shared" si="5"/>
        <v>18611</v>
      </c>
      <c r="I57" s="250">
        <f>I58+I59+I60+I61+I62+I63+I64+I65+I66+I67+I68+I69+I70+I71+I72+I73</f>
        <v>4046</v>
      </c>
      <c r="J57" s="251"/>
      <c r="K57" s="291"/>
    </row>
    <row r="58" spans="1:11" ht="21" customHeight="1">
      <c r="A58" s="329" t="s">
        <v>165</v>
      </c>
      <c r="B58" s="290" t="s">
        <v>144</v>
      </c>
      <c r="C58" s="296" t="s">
        <v>2</v>
      </c>
      <c r="D58" s="319">
        <v>150</v>
      </c>
      <c r="E58" s="306">
        <v>1675</v>
      </c>
      <c r="F58" s="320"/>
      <c r="G58" s="320"/>
      <c r="H58" s="330">
        <f t="shared" si="5"/>
        <v>1825</v>
      </c>
      <c r="I58" s="291">
        <v>120</v>
      </c>
      <c r="J58" s="251"/>
      <c r="K58" s="291"/>
    </row>
    <row r="59" spans="1:11" ht="15" customHeight="1">
      <c r="A59" s="329" t="s">
        <v>166</v>
      </c>
      <c r="B59" s="290" t="s">
        <v>147</v>
      </c>
      <c r="C59" s="296" t="s">
        <v>2</v>
      </c>
      <c r="D59" s="319">
        <v>200</v>
      </c>
      <c r="E59" s="306">
        <v>1800</v>
      </c>
      <c r="F59" s="320"/>
      <c r="G59" s="320"/>
      <c r="H59" s="330">
        <f t="shared" si="5"/>
        <v>2000</v>
      </c>
      <c r="I59" s="291">
        <v>255</v>
      </c>
      <c r="J59" s="251"/>
      <c r="K59" s="291"/>
    </row>
    <row r="60" spans="1:11" ht="16.5" customHeight="1">
      <c r="A60" s="329" t="s">
        <v>167</v>
      </c>
      <c r="B60" s="290" t="s">
        <v>186</v>
      </c>
      <c r="C60" s="296" t="s">
        <v>2</v>
      </c>
      <c r="D60" s="319">
        <v>150</v>
      </c>
      <c r="E60" s="306">
        <v>246</v>
      </c>
      <c r="F60" s="320"/>
      <c r="G60" s="320"/>
      <c r="H60" s="330">
        <f t="shared" si="5"/>
        <v>396</v>
      </c>
      <c r="I60" s="291">
        <v>175</v>
      </c>
      <c r="J60" s="251"/>
      <c r="K60" s="291"/>
    </row>
    <row r="61" spans="1:11" ht="18" customHeight="1">
      <c r="A61" s="329" t="s">
        <v>168</v>
      </c>
      <c r="B61" s="290" t="s">
        <v>25</v>
      </c>
      <c r="C61" s="296" t="s">
        <v>2</v>
      </c>
      <c r="D61" s="319">
        <v>300</v>
      </c>
      <c r="E61" s="306">
        <v>250</v>
      </c>
      <c r="F61" s="320"/>
      <c r="G61" s="320"/>
      <c r="H61" s="330">
        <f t="shared" si="5"/>
        <v>550</v>
      </c>
      <c r="I61" s="291">
        <v>90</v>
      </c>
      <c r="J61" s="251"/>
      <c r="K61" s="291"/>
    </row>
    <row r="62" spans="1:11" ht="18" customHeight="1">
      <c r="A62" s="329" t="s">
        <v>169</v>
      </c>
      <c r="B62" s="290" t="s">
        <v>19</v>
      </c>
      <c r="C62" s="296" t="s">
        <v>2</v>
      </c>
      <c r="D62" s="319">
        <v>400</v>
      </c>
      <c r="E62" s="306">
        <v>350</v>
      </c>
      <c r="F62" s="320"/>
      <c r="G62" s="320"/>
      <c r="H62" s="330">
        <f t="shared" si="5"/>
        <v>750</v>
      </c>
      <c r="I62" s="291">
        <v>150</v>
      </c>
      <c r="J62" s="251"/>
      <c r="K62" s="291"/>
    </row>
    <row r="63" spans="1:11" ht="20.25" customHeight="1">
      <c r="A63" s="329" t="s">
        <v>170</v>
      </c>
      <c r="B63" s="290" t="s">
        <v>185</v>
      </c>
      <c r="C63" s="296" t="s">
        <v>2</v>
      </c>
      <c r="D63" s="319">
        <v>150</v>
      </c>
      <c r="E63" s="306">
        <v>1200</v>
      </c>
      <c r="F63" s="320"/>
      <c r="G63" s="320"/>
      <c r="H63" s="330">
        <f t="shared" si="5"/>
        <v>1350</v>
      </c>
      <c r="I63" s="291">
        <v>100</v>
      </c>
      <c r="J63" s="251"/>
      <c r="K63" s="291"/>
    </row>
    <row r="64" spans="1:11" ht="13.5" customHeight="1">
      <c r="A64" s="329" t="s">
        <v>171</v>
      </c>
      <c r="B64" s="290" t="s">
        <v>234</v>
      </c>
      <c r="C64" s="296" t="s">
        <v>2</v>
      </c>
      <c r="D64" s="319">
        <v>120</v>
      </c>
      <c r="E64" s="306">
        <v>550</v>
      </c>
      <c r="F64" s="320"/>
      <c r="G64" s="320"/>
      <c r="H64" s="330">
        <f t="shared" si="5"/>
        <v>670</v>
      </c>
      <c r="I64" s="291">
        <v>100</v>
      </c>
      <c r="J64" s="251"/>
      <c r="K64" s="291"/>
    </row>
    <row r="65" spans="1:11" ht="15" customHeight="1">
      <c r="A65" s="329" t="s">
        <v>172</v>
      </c>
      <c r="B65" s="290" t="s">
        <v>10</v>
      </c>
      <c r="C65" s="296" t="s">
        <v>2</v>
      </c>
      <c r="D65" s="319">
        <v>720</v>
      </c>
      <c r="E65" s="306">
        <v>1300</v>
      </c>
      <c r="F65" s="320"/>
      <c r="G65" s="320"/>
      <c r="H65" s="330">
        <f t="shared" si="5"/>
        <v>2020</v>
      </c>
      <c r="I65" s="291">
        <v>528</v>
      </c>
      <c r="J65" s="251"/>
      <c r="K65" s="291"/>
    </row>
    <row r="66" spans="1:11" ht="21.75" customHeight="1">
      <c r="A66" s="329" t="s">
        <v>173</v>
      </c>
      <c r="B66" s="290" t="s">
        <v>133</v>
      </c>
      <c r="C66" s="296"/>
      <c r="D66" s="319"/>
      <c r="E66" s="306">
        <v>250</v>
      </c>
      <c r="F66" s="320"/>
      <c r="G66" s="320"/>
      <c r="H66" s="330">
        <f t="shared" si="5"/>
        <v>250</v>
      </c>
      <c r="I66" s="291">
        <v>97</v>
      </c>
      <c r="J66" s="251"/>
      <c r="K66" s="291" t="s">
        <v>272</v>
      </c>
    </row>
    <row r="67" spans="1:11" ht="18" customHeight="1">
      <c r="A67" s="329" t="s">
        <v>174</v>
      </c>
      <c r="B67" s="290" t="s">
        <v>194</v>
      </c>
      <c r="C67" s="296" t="s">
        <v>2</v>
      </c>
      <c r="D67" s="319">
        <v>150</v>
      </c>
      <c r="E67" s="306">
        <v>500</v>
      </c>
      <c r="F67" s="320"/>
      <c r="G67" s="320"/>
      <c r="H67" s="330">
        <f t="shared" si="5"/>
        <v>650</v>
      </c>
      <c r="I67" s="291">
        <v>120</v>
      </c>
      <c r="J67" s="251"/>
      <c r="K67" s="291"/>
    </row>
    <row r="68" spans="1:11" ht="18" customHeight="1">
      <c r="A68" s="329" t="s">
        <v>175</v>
      </c>
      <c r="B68" s="290" t="s">
        <v>139</v>
      </c>
      <c r="C68" s="296" t="s">
        <v>2</v>
      </c>
      <c r="D68" s="319">
        <v>115</v>
      </c>
      <c r="E68" s="306">
        <v>200</v>
      </c>
      <c r="F68" s="320"/>
      <c r="G68" s="320"/>
      <c r="H68" s="330">
        <f t="shared" si="5"/>
        <v>315</v>
      </c>
      <c r="I68" s="291">
        <v>92</v>
      </c>
      <c r="J68" s="251"/>
      <c r="K68" s="291"/>
    </row>
    <row r="69" spans="1:11" ht="17.25" customHeight="1">
      <c r="A69" s="329" t="s">
        <v>176</v>
      </c>
      <c r="B69" s="290" t="s">
        <v>30</v>
      </c>
      <c r="C69" s="296" t="s">
        <v>2</v>
      </c>
      <c r="D69" s="319">
        <v>1200</v>
      </c>
      <c r="E69" s="306">
        <v>1300</v>
      </c>
      <c r="F69" s="320"/>
      <c r="G69" s="320"/>
      <c r="H69" s="330">
        <f t="shared" si="5"/>
        <v>2500</v>
      </c>
      <c r="I69" s="291">
        <v>400</v>
      </c>
      <c r="J69" s="251"/>
      <c r="K69" s="291"/>
    </row>
    <row r="70" spans="1:11" ht="15.75" customHeight="1">
      <c r="A70" s="329" t="s">
        <v>177</v>
      </c>
      <c r="B70" s="290" t="s">
        <v>130</v>
      </c>
      <c r="C70" s="296" t="s">
        <v>2</v>
      </c>
      <c r="D70" s="319">
        <v>60</v>
      </c>
      <c r="E70" s="306">
        <v>50</v>
      </c>
      <c r="F70" s="320"/>
      <c r="G70" s="320"/>
      <c r="H70" s="330">
        <f t="shared" si="5"/>
        <v>110</v>
      </c>
      <c r="I70" s="291">
        <v>125</v>
      </c>
      <c r="J70" s="251"/>
      <c r="K70" s="291" t="s">
        <v>268</v>
      </c>
    </row>
    <row r="71" spans="1:11" ht="28.5" customHeight="1">
      <c r="A71" s="329" t="s">
        <v>178</v>
      </c>
      <c r="B71" s="290" t="s">
        <v>18</v>
      </c>
      <c r="C71" s="296" t="s">
        <v>2</v>
      </c>
      <c r="D71" s="319">
        <v>60</v>
      </c>
      <c r="E71" s="306">
        <v>460</v>
      </c>
      <c r="F71" s="320"/>
      <c r="G71" s="320"/>
      <c r="H71" s="330">
        <f t="shared" si="5"/>
        <v>520</v>
      </c>
      <c r="I71" s="291"/>
      <c r="J71" s="251"/>
      <c r="K71" s="291"/>
    </row>
    <row r="72" spans="1:11" ht="25.5" customHeight="1">
      <c r="A72" s="329" t="s">
        <v>179</v>
      </c>
      <c r="B72" s="290" t="s">
        <v>32</v>
      </c>
      <c r="C72" s="296" t="s">
        <v>2</v>
      </c>
      <c r="D72" s="319">
        <v>2200</v>
      </c>
      <c r="E72" s="306">
        <v>2085</v>
      </c>
      <c r="F72" s="320"/>
      <c r="G72" s="320"/>
      <c r="H72" s="330">
        <f t="shared" ref="H72:H85" si="18">D72+E72+F72+G72</f>
        <v>4285</v>
      </c>
      <c r="I72" s="291">
        <v>1610</v>
      </c>
      <c r="J72" s="251"/>
      <c r="K72" s="291" t="s">
        <v>273</v>
      </c>
    </row>
    <row r="73" spans="1:11" ht="39.75" customHeight="1">
      <c r="A73" s="329" t="s">
        <v>180</v>
      </c>
      <c r="B73" s="290" t="s">
        <v>31</v>
      </c>
      <c r="C73" s="296" t="s">
        <v>2</v>
      </c>
      <c r="D73" s="319">
        <v>60</v>
      </c>
      <c r="E73" s="306">
        <v>360</v>
      </c>
      <c r="F73" s="320"/>
      <c r="G73" s="320"/>
      <c r="H73" s="330">
        <f t="shared" si="18"/>
        <v>420</v>
      </c>
      <c r="I73" s="292">
        <v>84</v>
      </c>
      <c r="J73" s="251"/>
      <c r="K73" s="291"/>
    </row>
    <row r="74" spans="1:11">
      <c r="A74" s="303" t="s">
        <v>38</v>
      </c>
      <c r="B74" s="287" t="s">
        <v>156</v>
      </c>
      <c r="C74" s="286" t="s">
        <v>2</v>
      </c>
      <c r="D74" s="319">
        <f>D7+D50</f>
        <v>78161.448999999993</v>
      </c>
      <c r="E74" s="306">
        <f>E7+E49</f>
        <v>74602.592000000004</v>
      </c>
      <c r="F74" s="306">
        <f>F7+F49</f>
        <v>12294.4</v>
      </c>
      <c r="G74" s="283">
        <f>G30+G7</f>
        <v>24313.8</v>
      </c>
      <c r="H74" s="330">
        <f t="shared" si="18"/>
        <v>189372.24099999998</v>
      </c>
      <c r="I74" s="330">
        <f>I7+I50</f>
        <v>75066</v>
      </c>
      <c r="J74" s="251"/>
      <c r="K74" s="291"/>
    </row>
    <row r="75" spans="1:11">
      <c r="A75" s="303" t="s">
        <v>43</v>
      </c>
      <c r="B75" s="323" t="s">
        <v>42</v>
      </c>
      <c r="C75" s="286" t="s">
        <v>2</v>
      </c>
      <c r="D75" s="319">
        <f>D77</f>
        <v>76679.55</v>
      </c>
      <c r="E75" s="319">
        <f t="shared" ref="E75:F75" si="19">E77</f>
        <v>72654.400000000009</v>
      </c>
      <c r="F75" s="319">
        <f t="shared" si="19"/>
        <v>12723.699999999999</v>
      </c>
      <c r="G75" s="319">
        <f>G77</f>
        <v>23826.600000000002</v>
      </c>
      <c r="H75" s="330">
        <f t="shared" si="18"/>
        <v>185884.25000000003</v>
      </c>
      <c r="I75" s="422">
        <v>75518</v>
      </c>
      <c r="J75" s="291"/>
      <c r="K75" s="291"/>
    </row>
    <row r="76" spans="1:11" ht="18.75" customHeight="1">
      <c r="A76" s="401" t="s">
        <v>45</v>
      </c>
      <c r="B76" s="416" t="s">
        <v>44</v>
      </c>
      <c r="C76" s="286" t="s">
        <v>251</v>
      </c>
      <c r="D76" s="324">
        <v>123.18</v>
      </c>
      <c r="E76" s="306">
        <v>112</v>
      </c>
      <c r="F76" s="330">
        <v>21.5</v>
      </c>
      <c r="G76" s="284">
        <v>305</v>
      </c>
      <c r="H76" s="330">
        <f t="shared" si="18"/>
        <v>561.68000000000006</v>
      </c>
      <c r="I76" s="333">
        <v>318</v>
      </c>
      <c r="J76" s="291"/>
      <c r="K76" s="291"/>
    </row>
    <row r="77" spans="1:11">
      <c r="A77" s="401"/>
      <c r="B77" s="416"/>
      <c r="C77" s="286" t="s">
        <v>2</v>
      </c>
      <c r="D77" s="286">
        <f t="shared" ref="D77:G77" si="20">D76*D80</f>
        <v>76679.55</v>
      </c>
      <c r="E77" s="360">
        <f t="shared" si="20"/>
        <v>72654.400000000009</v>
      </c>
      <c r="F77" s="360">
        <f t="shared" si="20"/>
        <v>12723.699999999999</v>
      </c>
      <c r="G77" s="360">
        <f t="shared" si="20"/>
        <v>23826.600000000002</v>
      </c>
      <c r="H77" s="330">
        <f t="shared" si="18"/>
        <v>185884.25000000003</v>
      </c>
      <c r="I77" s="291"/>
      <c r="J77" s="291"/>
      <c r="K77" s="291"/>
    </row>
    <row r="78" spans="1:11" ht="15.75" customHeight="1">
      <c r="A78" s="401" t="s">
        <v>47</v>
      </c>
      <c r="B78" s="402" t="s">
        <v>191</v>
      </c>
      <c r="C78" s="286" t="s">
        <v>46</v>
      </c>
      <c r="D78" s="319">
        <v>5</v>
      </c>
      <c r="E78" s="327">
        <v>5</v>
      </c>
      <c r="F78" s="302">
        <v>0.5</v>
      </c>
      <c r="G78" s="283">
        <v>0.72</v>
      </c>
      <c r="H78" s="330"/>
      <c r="I78" s="291"/>
      <c r="J78" s="291"/>
      <c r="K78" s="291"/>
    </row>
    <row r="79" spans="1:11" ht="21.75" customHeight="1">
      <c r="A79" s="401"/>
      <c r="B79" s="402"/>
      <c r="C79" s="286" t="s">
        <v>251</v>
      </c>
      <c r="D79" s="331">
        <v>6.16</v>
      </c>
      <c r="E79" s="306">
        <v>5.58</v>
      </c>
      <c r="F79" s="291">
        <v>0.11</v>
      </c>
      <c r="G79" s="283">
        <v>2.2000000000000002</v>
      </c>
      <c r="H79" s="330"/>
      <c r="I79" s="291"/>
      <c r="J79" s="291"/>
      <c r="K79" s="291"/>
    </row>
    <row r="80" spans="1:11" ht="15.75">
      <c r="A80" s="303" t="s">
        <v>157</v>
      </c>
      <c r="B80" s="332" t="s">
        <v>48</v>
      </c>
      <c r="C80" s="286" t="s">
        <v>252</v>
      </c>
      <c r="D80" s="324">
        <v>622.5</v>
      </c>
      <c r="E80" s="304">
        <v>648.70000000000005</v>
      </c>
      <c r="F80" s="333">
        <v>591.79999999999995</v>
      </c>
      <c r="G80" s="283">
        <v>78.12</v>
      </c>
      <c r="H80" s="352"/>
      <c r="I80" s="357"/>
      <c r="J80" s="291"/>
      <c r="K80" s="291"/>
    </row>
    <row r="81" spans="1:11">
      <c r="A81" s="404"/>
      <c r="B81" s="334" t="s">
        <v>246</v>
      </c>
      <c r="C81" s="406" t="s">
        <v>51</v>
      </c>
      <c r="D81" s="339">
        <f>+E81+F81+G81</f>
        <v>48</v>
      </c>
      <c r="E81" s="341">
        <f t="shared" ref="E81" si="21">E84+E85</f>
        <v>34</v>
      </c>
      <c r="F81" s="341">
        <f t="shared" ref="F81" si="22">F84+F85</f>
        <v>7</v>
      </c>
      <c r="G81" s="350">
        <v>7</v>
      </c>
      <c r="H81" s="353">
        <f t="shared" si="18"/>
        <v>96</v>
      </c>
      <c r="I81" s="358">
        <v>64</v>
      </c>
      <c r="J81" s="291"/>
      <c r="K81" s="291" t="s">
        <v>266</v>
      </c>
    </row>
    <row r="82" spans="1:11">
      <c r="A82" s="405"/>
      <c r="B82" s="335" t="s">
        <v>255</v>
      </c>
      <c r="C82" s="407"/>
      <c r="D82" s="340"/>
      <c r="E82" s="340"/>
      <c r="F82" s="340"/>
      <c r="G82" s="351"/>
      <c r="H82" s="354"/>
      <c r="I82" s="359"/>
      <c r="J82" s="291"/>
      <c r="K82" s="291"/>
    </row>
    <row r="83" spans="1:11">
      <c r="A83" s="320"/>
      <c r="B83" s="291" t="s">
        <v>4</v>
      </c>
      <c r="C83" s="336"/>
      <c r="D83" s="337"/>
      <c r="E83" s="325"/>
      <c r="F83" s="337"/>
      <c r="G83" s="320"/>
      <c r="H83" s="349">
        <f t="shared" si="18"/>
        <v>0</v>
      </c>
      <c r="I83" s="359"/>
      <c r="J83" s="291"/>
      <c r="K83" s="291"/>
    </row>
    <row r="84" spans="1:11">
      <c r="A84" s="320"/>
      <c r="B84" s="291" t="s">
        <v>52</v>
      </c>
      <c r="C84" s="338" t="s">
        <v>51</v>
      </c>
      <c r="D84" s="337">
        <v>23</v>
      </c>
      <c r="E84" s="293">
        <v>25</v>
      </c>
      <c r="F84" s="337">
        <v>7</v>
      </c>
      <c r="G84" s="320">
        <v>7</v>
      </c>
      <c r="H84" s="330">
        <f t="shared" si="18"/>
        <v>62</v>
      </c>
      <c r="I84" s="333">
        <v>46</v>
      </c>
      <c r="J84" s="291"/>
      <c r="K84" s="291"/>
    </row>
    <row r="85" spans="1:11">
      <c r="A85" s="320"/>
      <c r="B85" s="291" t="s">
        <v>53</v>
      </c>
      <c r="C85" s="291" t="s">
        <v>51</v>
      </c>
      <c r="D85" s="337">
        <v>10</v>
      </c>
      <c r="E85" s="293">
        <v>9</v>
      </c>
      <c r="F85" s="337"/>
      <c r="G85" s="320"/>
      <c r="H85" s="330">
        <f t="shared" si="18"/>
        <v>19</v>
      </c>
      <c r="I85" s="333">
        <v>18</v>
      </c>
      <c r="J85" s="291"/>
      <c r="K85" s="291"/>
    </row>
    <row r="86" spans="1:11">
      <c r="A86" s="325"/>
      <c r="B86" s="325"/>
      <c r="C86" s="325"/>
      <c r="D86" s="325"/>
      <c r="E86" s="325"/>
      <c r="F86" s="325"/>
      <c r="G86" s="325"/>
    </row>
    <row r="88" spans="1:11">
      <c r="B88" s="355" t="s">
        <v>259</v>
      </c>
      <c r="C88" s="277"/>
      <c r="D88" s="277" t="s">
        <v>260</v>
      </c>
      <c r="E88" s="277"/>
    </row>
    <row r="89" spans="1:11">
      <c r="B89" s="277"/>
      <c r="C89" s="277"/>
      <c r="D89" s="277"/>
      <c r="E89" s="277"/>
    </row>
    <row r="90" spans="1:11">
      <c r="B90" s="277" t="s">
        <v>261</v>
      </c>
      <c r="C90" s="277"/>
      <c r="D90" s="277" t="s">
        <v>262</v>
      </c>
      <c r="E90" s="277"/>
    </row>
    <row r="91" spans="1:11">
      <c r="B91" s="277"/>
      <c r="C91" s="277"/>
      <c r="D91" s="277"/>
      <c r="E91" s="277"/>
    </row>
    <row r="92" spans="1:11">
      <c r="B92" s="277"/>
      <c r="C92" s="277"/>
      <c r="D92" s="277"/>
      <c r="E92" s="277"/>
    </row>
  </sheetData>
  <mergeCells count="18">
    <mergeCell ref="J5:J6"/>
    <mergeCell ref="K5:K6"/>
    <mergeCell ref="A81:A82"/>
    <mergeCell ref="C81:C82"/>
    <mergeCell ref="H5:H6"/>
    <mergeCell ref="D5:G5"/>
    <mergeCell ref="A8:A9"/>
    <mergeCell ref="A76:A77"/>
    <mergeCell ref="A5:A6"/>
    <mergeCell ref="B5:B6"/>
    <mergeCell ref="C5:C6"/>
    <mergeCell ref="B76:B77"/>
    <mergeCell ref="I5:I6"/>
    <mergeCell ref="A1:I1"/>
    <mergeCell ref="A2:I2"/>
    <mergeCell ref="A78:A79"/>
    <mergeCell ref="B78:B79"/>
    <mergeCell ref="A3:D3"/>
  </mergeCells>
  <pageMargins left="0.19685039370078741" right="0.11811023622047245" top="0.15748031496062992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Акшым-Кызан</vt:lpstr>
      <vt:lpstr>Акж-Сынгырлау</vt:lpstr>
      <vt:lpstr>Беки-Баскудык</vt:lpstr>
      <vt:lpstr>Акшым2</vt:lpstr>
      <vt:lpstr>Акж-Сынг2</vt:lpstr>
      <vt:lpstr>ПД Акш-Кызан</vt:lpstr>
      <vt:lpstr>ТС-2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2018-12-11T04:52:45Z</cp:lastPrinted>
  <dcterms:created xsi:type="dcterms:W3CDTF">2015-07-21T05:35:20Z</dcterms:created>
  <dcterms:modified xsi:type="dcterms:W3CDTF">2018-12-11T04:57:21Z</dcterms:modified>
</cp:coreProperties>
</file>