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432" activeTab="1"/>
  </bookViews>
  <sheets>
    <sheet name="тариф БГВ  2018г рус" sheetId="87" r:id="rId1"/>
    <sheet name="тариф БГВ  2018г каз" sheetId="81" r:id="rId2"/>
  </sheets>
  <calcPr calcId="145621"/>
</workbook>
</file>

<file path=xl/calcChain.xml><?xml version="1.0" encoding="utf-8"?>
<calcChain xmlns="http://schemas.openxmlformats.org/spreadsheetml/2006/main">
  <c r="E48" i="81" l="1"/>
  <c r="E37" i="81"/>
  <c r="E36" i="81" s="1"/>
  <c r="D37" i="81"/>
  <c r="D36" i="81" s="1"/>
  <c r="E27" i="81"/>
  <c r="D27" i="81"/>
  <c r="F24" i="81"/>
  <c r="E49" i="87" l="1"/>
  <c r="E44" i="87"/>
  <c r="E50" i="87"/>
  <c r="E49" i="81" s="1"/>
  <c r="E19" i="87"/>
  <c r="E42" i="87"/>
  <c r="E20" i="87"/>
  <c r="E26" i="87" l="1"/>
  <c r="F26" i="87" s="1"/>
  <c r="E25" i="87"/>
  <c r="F25" i="87" s="1"/>
  <c r="E24" i="87"/>
  <c r="E23" i="87"/>
  <c r="E40" i="87"/>
  <c r="F40" i="87" s="1"/>
  <c r="E27" i="87"/>
  <c r="F27" i="87"/>
  <c r="F50" i="87"/>
  <c r="E45" i="87"/>
  <c r="F44" i="87"/>
  <c r="E43" i="87"/>
  <c r="F42" i="87"/>
  <c r="F41" i="87"/>
  <c r="D38" i="87"/>
  <c r="D37" i="87"/>
  <c r="E35" i="87"/>
  <c r="F32" i="87"/>
  <c r="E31" i="87"/>
  <c r="F31" i="87" s="1"/>
  <c r="E30" i="87"/>
  <c r="D28" i="87"/>
  <c r="F24" i="87"/>
  <c r="F23" i="87"/>
  <c r="D21" i="87"/>
  <c r="F20" i="87"/>
  <c r="F19" i="87"/>
  <c r="E18" i="87"/>
  <c r="F18" i="87" s="1"/>
  <c r="F17" i="87"/>
  <c r="E17" i="87"/>
  <c r="E15" i="87"/>
  <c r="F15" i="87" s="1"/>
  <c r="D15" i="87"/>
  <c r="D14" i="87"/>
  <c r="D47" i="87" s="1"/>
  <c r="E28" i="87" l="1"/>
  <c r="F28" i="87" s="1"/>
  <c r="E38" i="87"/>
  <c r="E37" i="87" s="1"/>
  <c r="F37" i="87" s="1"/>
  <c r="E21" i="87"/>
  <c r="F21" i="87" s="1"/>
  <c r="D51" i="87"/>
  <c r="D49" i="87"/>
  <c r="F49" i="87" s="1"/>
  <c r="F38" i="87"/>
  <c r="F30" i="87"/>
  <c r="F43" i="87"/>
  <c r="E14" i="87" l="1"/>
  <c r="E47" i="87" s="1"/>
  <c r="F16" i="81"/>
  <c r="F17" i="81"/>
  <c r="F18" i="81"/>
  <c r="F23" i="81"/>
  <c r="F25" i="81"/>
  <c r="F26" i="81"/>
  <c r="F29" i="81"/>
  <c r="F30" i="81"/>
  <c r="F31" i="81"/>
  <c r="F39" i="81"/>
  <c r="F40" i="81"/>
  <c r="F43" i="81"/>
  <c r="F49" i="81"/>
  <c r="F14" i="87" l="1"/>
  <c r="F51" i="87"/>
  <c r="E48" i="87"/>
  <c r="F47" i="87"/>
  <c r="Q29" i="87"/>
  <c r="P29" i="87"/>
  <c r="F41" i="81" l="1"/>
  <c r="F42" i="81"/>
  <c r="E20" i="81" l="1"/>
  <c r="F22" i="81"/>
  <c r="E14" i="81"/>
  <c r="F19" i="81"/>
  <c r="E13" i="81" l="1"/>
  <c r="E46" i="81" s="1"/>
  <c r="E47" i="81" l="1"/>
  <c r="F37" i="81"/>
  <c r="F36" i="81"/>
  <c r="Q28" i="81"/>
  <c r="P28" i="81"/>
  <c r="F27" i="81"/>
  <c r="D20" i="81"/>
  <c r="F20" i="81" s="1"/>
  <c r="D14" i="81"/>
  <c r="F14" i="81" s="1"/>
  <c r="D13" i="81" l="1"/>
  <c r="D46" i="81" l="1"/>
  <c r="F13" i="81"/>
  <c r="D48" i="81" l="1"/>
  <c r="F46" i="81"/>
  <c r="D50" i="81" l="1"/>
  <c r="F50" i="81" s="1"/>
  <c r="F48" i="81"/>
</calcChain>
</file>

<file path=xl/sharedStrings.xml><?xml version="1.0" encoding="utf-8"?>
<sst xmlns="http://schemas.openxmlformats.org/spreadsheetml/2006/main" count="248" uniqueCount="149">
  <si>
    <t>Материальные затраты, всего</t>
  </si>
  <si>
    <t>1.1</t>
  </si>
  <si>
    <t>Раисова Б.Б.</t>
  </si>
  <si>
    <t>2.1</t>
  </si>
  <si>
    <t>2.2</t>
  </si>
  <si>
    <t>4.1</t>
  </si>
  <si>
    <t>ГСМ</t>
  </si>
  <si>
    <t>сырье и материалы</t>
  </si>
  <si>
    <t>Директор</t>
  </si>
  <si>
    <t>Кожанов Ж.О.</t>
  </si>
  <si>
    <t>и тарифообразованию</t>
  </si>
  <si>
    <t>Специалист по планированию</t>
  </si>
  <si>
    <t>Приложение 9           </t>
  </si>
  <si>
    <t>к Правилам утверждения тарифов   </t>
  </si>
  <si>
    <t>(цен, ставок сборов) и       </t>
  </si>
  <si>
    <t>тарифных смет в упрощенном порядке</t>
  </si>
  <si>
    <t xml:space="preserve">  </t>
  </si>
  <si>
    <t xml:space="preserve">№ п/п </t>
  </si>
  <si>
    <t xml:space="preserve">Наименование показателей* </t>
  </si>
  <si>
    <t xml:space="preserve">Единица измерения </t>
  </si>
  <si>
    <t xml:space="preserve">I </t>
  </si>
  <si>
    <t xml:space="preserve">Затраты на производство и предоставление услуг, всего </t>
  </si>
  <si>
    <t xml:space="preserve">тыс. тенге </t>
  </si>
  <si>
    <t xml:space="preserve">-//- </t>
  </si>
  <si>
    <t xml:space="preserve">в том числе: </t>
  </si>
  <si>
    <t xml:space="preserve">запасные части </t>
  </si>
  <si>
    <t xml:space="preserve">Затраты на оплату труда, всего </t>
  </si>
  <si>
    <t xml:space="preserve">заработная плата </t>
  </si>
  <si>
    <t xml:space="preserve">социальный налог </t>
  </si>
  <si>
    <t xml:space="preserve">Амортизация </t>
  </si>
  <si>
    <t xml:space="preserve">Прочие затраты, всего </t>
  </si>
  <si>
    <t xml:space="preserve">охрана труда и техника безопасности </t>
  </si>
  <si>
    <t xml:space="preserve">услуги связи </t>
  </si>
  <si>
    <t xml:space="preserve">II </t>
  </si>
  <si>
    <t xml:space="preserve">Расходы периода, всего </t>
  </si>
  <si>
    <t xml:space="preserve">Общие и административные, всего </t>
  </si>
  <si>
    <t xml:space="preserve">командировочные расходы </t>
  </si>
  <si>
    <t xml:space="preserve">налоги </t>
  </si>
  <si>
    <t xml:space="preserve">плата за пользование водными ресурсами поверхностных источников </t>
  </si>
  <si>
    <t xml:space="preserve">III </t>
  </si>
  <si>
    <t xml:space="preserve">Всего затрат </t>
  </si>
  <si>
    <t xml:space="preserve">IV </t>
  </si>
  <si>
    <t xml:space="preserve">V </t>
  </si>
  <si>
    <t xml:space="preserve">Всего доходов </t>
  </si>
  <si>
    <t xml:space="preserve">Объемы оказываемых услуг </t>
  </si>
  <si>
    <t xml:space="preserve">VII </t>
  </si>
  <si>
    <t xml:space="preserve">Тариф (без НДС) </t>
  </si>
  <si>
    <t>медосмотр</t>
  </si>
  <si>
    <t>санитарно-гигиенические и бактериологические исследования</t>
  </si>
  <si>
    <t>2.3</t>
  </si>
  <si>
    <t>мед.страхование</t>
  </si>
  <si>
    <t xml:space="preserve">обязательное страхование </t>
  </si>
  <si>
    <t>от 19 марта 2003 года № 80-ОД</t>
  </si>
  <si>
    <t>IX</t>
  </si>
  <si>
    <t xml:space="preserve">электроэнергия </t>
  </si>
  <si>
    <t>1.2</t>
  </si>
  <si>
    <t>1.3</t>
  </si>
  <si>
    <t>1.4</t>
  </si>
  <si>
    <t>Наименование СЕМ:  Павлодарский филиал РГП на ПХВ "Казводхоз" КВР МСХ РК</t>
  </si>
  <si>
    <t>5.1</t>
  </si>
  <si>
    <t>5.2</t>
  </si>
  <si>
    <t>5.4</t>
  </si>
  <si>
    <t>      М.П.</t>
  </si>
  <si>
    <t>5.3</t>
  </si>
  <si>
    <t>Участок:  Беловодский групповой водопровод</t>
  </si>
  <si>
    <t>Принято в действующей тарифной смете</t>
  </si>
  <si>
    <t>Фактически сложившиеся показатели тарифной сметы</t>
  </si>
  <si>
    <t>Отклонение в %</t>
  </si>
  <si>
    <t>4.2</t>
  </si>
  <si>
    <t>4.3</t>
  </si>
  <si>
    <t>5.5</t>
  </si>
  <si>
    <t>Тарифтерді (бағаларды, алым</t>
  </si>
  <si>
    <t>ставкаларын) және тарифтік</t>
  </si>
  <si>
    <t>тәртіппен бекіту ережесіне</t>
  </si>
  <si>
    <t>9-қосымша</t>
  </si>
  <si>
    <t>сметаларды оңайлатылған  </t>
  </si>
  <si>
    <t xml:space="preserve">2003 жылғы 19 наурыздағы N 80-НҚ бұйрығы </t>
  </si>
  <si>
    <t xml:space="preserve">ТМС атауы:  Қазақстан Республикасы Ауыл шаруашылығы министрлігінің Су ресурстары комитеті "Қазсушар" шаруашылық жүргізу құқығындағы Республикалық мемлекеттік кәсіпорынның Павлодар филиалы </t>
  </si>
  <si>
    <t>Учаскесі: Беловод топтық су құбыры</t>
  </si>
  <si>
    <t>Көрсеткіштердің атауы</t>
  </si>
  <si>
    <t xml:space="preserve">р/с № </t>
  </si>
  <si>
    <t>Өлшем бірлігі</t>
  </si>
  <si>
    <t xml:space="preserve">Бекітілген тарифтік сметада көзделген </t>
  </si>
  <si>
    <t>Ауытқу,%</t>
  </si>
  <si>
    <t xml:space="preserve">Тарифтік сметаның нақты болған көрсеткіші </t>
  </si>
  <si>
    <t xml:space="preserve">Тауарларды өндіру мен қызметтерді ұсынуға арналған шығындар, барлығы </t>
  </si>
  <si>
    <t>мың тенге</t>
  </si>
  <si>
    <t xml:space="preserve">Материалдық шығындар, барлығы </t>
  </si>
  <si>
    <t xml:space="preserve">шикізат пен материалдар </t>
  </si>
  <si>
    <t>қосалқы бөлшектер</t>
  </si>
  <si>
    <t>ЖЖМ</t>
  </si>
  <si>
    <t>электр энергиясы</t>
  </si>
  <si>
    <t>Еңбекке арналған шығындар, барлығы</t>
  </si>
  <si>
    <t xml:space="preserve">оның ішінде: </t>
  </si>
  <si>
    <t xml:space="preserve"> әлеуметтік салық  </t>
  </si>
  <si>
    <t>мед. сақтандыру</t>
  </si>
  <si>
    <t xml:space="preserve">Өзге шығындар, барлығы </t>
  </si>
  <si>
    <t>еңбекті қорғау және техника қауіпсіздігі</t>
  </si>
  <si>
    <t xml:space="preserve"> байланыс қызметтері </t>
  </si>
  <si>
    <t>санитарлық-гигиеналық және бактериологиялық зерттеу</t>
  </si>
  <si>
    <t xml:space="preserve">Кезең шығыстары, барлығы </t>
  </si>
  <si>
    <t xml:space="preserve">жалпы және әкімшілік шығыстар, барлығы </t>
  </si>
  <si>
    <t>міндетті сақтандыру</t>
  </si>
  <si>
    <t>мед.тексеру</t>
  </si>
  <si>
    <t xml:space="preserve">іссапар шығыстары </t>
  </si>
  <si>
    <t xml:space="preserve">салықтар </t>
  </si>
  <si>
    <t xml:space="preserve">жер бетіндегі көздердің су ресурстарын пайдаланғаны үшін төлем </t>
  </si>
  <si>
    <t xml:space="preserve">Барлық шығын </t>
  </si>
  <si>
    <t>Пайда</t>
  </si>
  <si>
    <t>Барлық табыс</t>
  </si>
  <si>
    <t>Көрсетілген қызметтердің көлемі</t>
  </si>
  <si>
    <t>Тариф (ҚҚС-сыз)</t>
  </si>
  <si>
    <t>Қожанов Ж.О.</t>
  </si>
  <si>
    <t>    Мөр орны</t>
  </si>
  <si>
    <t>тарифті қалыптастыру маманы</t>
  </si>
  <si>
    <t xml:space="preserve">Жоспарлау және </t>
  </si>
  <si>
    <r>
      <t xml:space="preserve">тыс. м </t>
    </r>
    <r>
      <rPr>
        <b/>
        <vertAlign val="superscript"/>
        <sz val="11"/>
        <color theme="1"/>
        <rFont val="Times New Roman"/>
        <family val="1"/>
        <charset val="204"/>
      </rPr>
      <t xml:space="preserve">3 </t>
    </r>
  </si>
  <si>
    <r>
      <t xml:space="preserve">тенге/м </t>
    </r>
    <r>
      <rPr>
        <b/>
        <vertAlign val="superscript"/>
        <sz val="11"/>
        <color theme="1"/>
        <rFont val="Times New Roman"/>
        <family val="1"/>
        <charset val="204"/>
      </rPr>
      <t xml:space="preserve">3 </t>
    </r>
  </si>
  <si>
    <r>
      <t xml:space="preserve">мың. м </t>
    </r>
    <r>
      <rPr>
        <b/>
        <vertAlign val="superscript"/>
        <sz val="11"/>
        <color theme="1"/>
        <rFont val="Times New Roman"/>
        <family val="1"/>
        <charset val="204"/>
      </rPr>
      <t xml:space="preserve">3 </t>
    </r>
  </si>
  <si>
    <r>
      <t xml:space="preserve">теңге/м </t>
    </r>
    <r>
      <rPr>
        <b/>
        <vertAlign val="superscript"/>
        <sz val="11"/>
        <color theme="1"/>
        <rFont val="Times New Roman"/>
        <family val="1"/>
        <charset val="204"/>
      </rPr>
      <t xml:space="preserve">3 </t>
    </r>
  </si>
  <si>
    <t>Исполнение тарифной сметы на услуги по подаче воды по  магистральным трубопроводам  за  2018 год</t>
  </si>
  <si>
    <t>2.4</t>
  </si>
  <si>
    <t>социальные отчисления</t>
  </si>
  <si>
    <t>4.4</t>
  </si>
  <si>
    <t>4.5</t>
  </si>
  <si>
    <t>4.6</t>
  </si>
  <si>
    <t>услуги дезинсекции, дератизации</t>
  </si>
  <si>
    <t>работы по изготовлению стендов</t>
  </si>
  <si>
    <t>услуги по договорам ГПХ</t>
  </si>
  <si>
    <t>5.6</t>
  </si>
  <si>
    <t>5.7</t>
  </si>
  <si>
    <t>публикации в СМИ</t>
  </si>
  <si>
    <t>нотариальные услуги</t>
  </si>
  <si>
    <t>4.7</t>
  </si>
  <si>
    <t>работы по государственному техническому обследованию объектов недвижимости и выдаче техпаспортов</t>
  </si>
  <si>
    <t xml:space="preserve">Прибыль/убыток </t>
  </si>
  <si>
    <t xml:space="preserve">VI </t>
  </si>
  <si>
    <t>Главный бухгалтер</t>
  </si>
  <si>
    <t>Мерканов А.К.</t>
  </si>
  <si>
    <t xml:space="preserve"> әлеуметтік аударымдар</t>
  </si>
  <si>
    <t>дезинсекция, дератизация қызметтері</t>
  </si>
  <si>
    <t>стенд дайындау жұмыстары</t>
  </si>
  <si>
    <t>азаматтық-құқықтық сипаттағы шарттар бойынша қызметтер</t>
  </si>
  <si>
    <t>жылжымайтын мүлік объектілерін мемлекеттік техникалық тексеру және техпаспорттарды беру бойынша жұмыстар</t>
  </si>
  <si>
    <t>БАҚ жарияланымдары</t>
  </si>
  <si>
    <t>нотариалдық қызметтер</t>
  </si>
  <si>
    <t>Бас бухгалтер</t>
  </si>
  <si>
    <t>жалақы</t>
  </si>
  <si>
    <t>2018 жылға суды магистралды труба құбырлары және (немесе)  арналар арқылы беру жөніндегі қызметтерге арналған тарифтік сметаның орындалуы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</si>
</sst>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2"/>
      <name val="宋体"/>
      <charset val="13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vertAlign val="superscript"/>
      <sz val="11"/>
      <color theme="1"/>
      <name val="Times New Roman"/>
      <family val="1"/>
      <charset val="204"/>
    </font>
    <font>
      <b/>
      <sz val="11"/>
      <color rgb="FF2B2B2B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>
      <alignment vertical="center"/>
    </xf>
    <xf numFmtId="0" fontId="7" fillId="0" borderId="0"/>
    <xf numFmtId="0" fontId="8" fillId="0" borderId="0"/>
    <xf numFmtId="43" fontId="10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0" borderId="0" xfId="0" applyFont="1" applyBorder="1"/>
    <xf numFmtId="0" fontId="3" fillId="0" borderId="0" xfId="0" applyFont="1" applyAlignment="1"/>
    <xf numFmtId="49" fontId="12" fillId="0" borderId="0" xfId="0" applyNumberFormat="1" applyFont="1" applyBorder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64" fontId="2" fillId="2" borderId="1" xfId="8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2" xfId="6"/>
    <cellStyle name="Обычный 2 2 2 3" xfId="4"/>
    <cellStyle name="Обычный 2 2 5" xfId="3"/>
    <cellStyle name="Обычный 2 7" xfId="1"/>
    <cellStyle name="Обычный 3" xfId="7"/>
    <cellStyle name="Обычный 32" xfId="5"/>
    <cellStyle name="Процентный 2 3" xfId="2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1039135.100%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1039135.10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H53" sqref="H53"/>
    </sheetView>
  </sheetViews>
  <sheetFormatPr defaultColWidth="9.109375" defaultRowHeight="13.8"/>
  <cols>
    <col min="1" max="1" width="8.109375" style="1" customWidth="1"/>
    <col min="2" max="2" width="41.109375" style="1" customWidth="1"/>
    <col min="3" max="3" width="10.109375" style="1" customWidth="1"/>
    <col min="4" max="4" width="14.88671875" style="1" customWidth="1"/>
    <col min="5" max="5" width="13" style="1" customWidth="1"/>
    <col min="6" max="6" width="11.6640625" style="1" customWidth="1"/>
    <col min="7" max="7" width="10.6640625" style="1" customWidth="1"/>
    <col min="8" max="8" width="9" style="1" customWidth="1"/>
    <col min="9" max="12" width="8.6640625" style="1" customWidth="1"/>
    <col min="13" max="16384" width="9.109375" style="1"/>
  </cols>
  <sheetData>
    <row r="1" spans="1:14" ht="11.4" customHeight="1">
      <c r="A1" s="4"/>
      <c r="C1" s="5"/>
      <c r="E1" s="6" t="s">
        <v>12</v>
      </c>
    </row>
    <row r="2" spans="1:14" ht="11.4" customHeight="1">
      <c r="A2" s="4"/>
      <c r="C2" s="5"/>
      <c r="E2" s="6" t="s">
        <v>13</v>
      </c>
    </row>
    <row r="3" spans="1:14" ht="11.4" customHeight="1">
      <c r="A3" s="4"/>
      <c r="C3" s="5"/>
      <c r="E3" s="6" t="s">
        <v>14</v>
      </c>
    </row>
    <row r="4" spans="1:14" ht="11.4" customHeight="1">
      <c r="A4" s="4"/>
      <c r="C4" s="5"/>
      <c r="E4" s="6" t="s">
        <v>15</v>
      </c>
    </row>
    <row r="5" spans="1:14" ht="11.4" customHeight="1">
      <c r="A5" s="7" t="s">
        <v>16</v>
      </c>
      <c r="C5" s="5"/>
      <c r="E5" s="8" t="s">
        <v>52</v>
      </c>
    </row>
    <row r="6" spans="1:14" ht="13.5" customHeight="1">
      <c r="A6" s="7"/>
      <c r="C6" s="5"/>
      <c r="D6" s="8"/>
    </row>
    <row r="7" spans="1:14" ht="13.5" customHeight="1">
      <c r="A7" s="47" t="s">
        <v>58</v>
      </c>
      <c r="B7" s="48"/>
      <c r="C7" s="48"/>
      <c r="D7" s="48"/>
      <c r="E7" s="48"/>
      <c r="F7" s="48"/>
    </row>
    <row r="8" spans="1:14" ht="13.2" customHeight="1">
      <c r="A8" s="9" t="s">
        <v>64</v>
      </c>
      <c r="C8" s="5"/>
      <c r="D8" s="5"/>
    </row>
    <row r="9" spans="1:14" ht="10.95" customHeight="1">
      <c r="A9" s="9"/>
      <c r="C9" s="5"/>
      <c r="D9" s="5"/>
    </row>
    <row r="10" spans="1:14" ht="15" customHeight="1">
      <c r="A10" s="43" t="s">
        <v>120</v>
      </c>
      <c r="B10" s="44"/>
      <c r="C10" s="44"/>
      <c r="D10" s="44"/>
      <c r="E10" s="45"/>
      <c r="F10" s="45"/>
    </row>
    <row r="11" spans="1:14" ht="9" customHeight="1">
      <c r="A11" s="10"/>
      <c r="C11" s="5"/>
      <c r="D11" s="5"/>
    </row>
    <row r="12" spans="1:14" ht="70.2" customHeight="1">
      <c r="A12" s="36" t="s">
        <v>17</v>
      </c>
      <c r="B12" s="12" t="s">
        <v>18</v>
      </c>
      <c r="C12" s="12" t="s">
        <v>19</v>
      </c>
      <c r="D12" s="12" t="s">
        <v>65</v>
      </c>
      <c r="E12" s="38" t="s">
        <v>66</v>
      </c>
      <c r="F12" s="12" t="s">
        <v>67</v>
      </c>
    </row>
    <row r="13" spans="1:14" s="2" customFormat="1" ht="12" customHeight="1">
      <c r="A13" s="36">
        <v>1</v>
      </c>
      <c r="B13" s="12">
        <v>2</v>
      </c>
      <c r="C13" s="12">
        <v>3</v>
      </c>
      <c r="D13" s="12">
        <v>4</v>
      </c>
      <c r="E13" s="20">
        <v>5</v>
      </c>
      <c r="F13" s="12">
        <v>6</v>
      </c>
      <c r="G13" s="1"/>
      <c r="H13" s="1"/>
      <c r="I13" s="1"/>
      <c r="J13" s="1"/>
      <c r="K13" s="1"/>
      <c r="L13" s="1"/>
      <c r="M13" s="1"/>
      <c r="N13" s="1"/>
    </row>
    <row r="14" spans="1:14" s="2" customFormat="1" ht="30" customHeight="1">
      <c r="A14" s="36" t="s">
        <v>20</v>
      </c>
      <c r="B14" s="13" t="s">
        <v>21</v>
      </c>
      <c r="C14" s="14" t="s">
        <v>22</v>
      </c>
      <c r="D14" s="15">
        <f>D15+D21+D27+D28</f>
        <v>160580.22999999998</v>
      </c>
      <c r="E14" s="27">
        <f>E15+E21+E27+E28</f>
        <v>107686.38765</v>
      </c>
      <c r="F14" s="39">
        <f t="shared" ref="F14:F51" si="0">(E14/D14*100)-100</f>
        <v>-32.939199520389266</v>
      </c>
      <c r="G14" s="1"/>
      <c r="H14" s="1"/>
      <c r="I14" s="1"/>
      <c r="J14" s="1"/>
      <c r="K14" s="1"/>
      <c r="L14" s="1"/>
      <c r="M14" s="1"/>
      <c r="N14" s="1"/>
    </row>
    <row r="15" spans="1:14" s="2" customFormat="1" ht="18" customHeight="1">
      <c r="A15" s="46">
        <v>1</v>
      </c>
      <c r="B15" s="16" t="s">
        <v>0</v>
      </c>
      <c r="C15" s="12" t="s">
        <v>23</v>
      </c>
      <c r="D15" s="17">
        <f t="shared" ref="D15" si="1">SUM(D17:D20)</f>
        <v>22267.52</v>
      </c>
      <c r="E15" s="21">
        <f>SUM(E17:E20)</f>
        <v>14959.473649999998</v>
      </c>
      <c r="F15" s="39">
        <f t="shared" si="0"/>
        <v>-32.819309694119511</v>
      </c>
      <c r="G15" s="1"/>
      <c r="H15" s="1"/>
      <c r="I15" s="1"/>
      <c r="J15" s="1"/>
      <c r="K15" s="1"/>
      <c r="L15" s="1"/>
      <c r="M15" s="1"/>
      <c r="N15" s="1"/>
    </row>
    <row r="16" spans="1:14" ht="14.4" customHeight="1">
      <c r="A16" s="46"/>
      <c r="B16" s="16" t="s">
        <v>24</v>
      </c>
      <c r="C16" s="12"/>
      <c r="D16" s="17"/>
      <c r="E16" s="21"/>
      <c r="F16" s="39"/>
    </row>
    <row r="17" spans="1:17" ht="18.600000000000001" customHeight="1">
      <c r="A17" s="36" t="s">
        <v>1</v>
      </c>
      <c r="B17" s="16" t="s">
        <v>7</v>
      </c>
      <c r="C17" s="12" t="s">
        <v>23</v>
      </c>
      <c r="D17" s="17">
        <v>7473.42</v>
      </c>
      <c r="E17" s="21">
        <f>7.32+2.973+5.322+2.621+6.24+4.5+15+42+50+15+30+12+0.6+2.509+6.4+7.95+2.5+1.1+196.95+42.475+38.866+407.143+101.786+101.786+101.786+61.071</f>
        <v>1265.8979999999999</v>
      </c>
      <c r="F17" s="39">
        <f t="shared" si="0"/>
        <v>-83.061329351220735</v>
      </c>
    </row>
    <row r="18" spans="1:17" s="3" customFormat="1" ht="18.600000000000001" customHeight="1">
      <c r="A18" s="18" t="s">
        <v>55</v>
      </c>
      <c r="B18" s="19" t="s">
        <v>25</v>
      </c>
      <c r="C18" s="20" t="s">
        <v>23</v>
      </c>
      <c r="D18" s="21">
        <v>1171.5</v>
      </c>
      <c r="E18" s="21">
        <f>79+3+10+48+80+55.068+75+37+26</f>
        <v>413.06799999999998</v>
      </c>
      <c r="F18" s="39">
        <f t="shared" si="0"/>
        <v>-64.740247545881346</v>
      </c>
    </row>
    <row r="19" spans="1:17" s="3" customFormat="1" ht="18.600000000000001" customHeight="1">
      <c r="A19" s="18" t="s">
        <v>56</v>
      </c>
      <c r="B19" s="19" t="s">
        <v>6</v>
      </c>
      <c r="C19" s="20" t="s">
        <v>23</v>
      </c>
      <c r="D19" s="21">
        <v>3839.4</v>
      </c>
      <c r="E19" s="21">
        <f>551.73+527.34+127.71+58.48+94.25+66.32</f>
        <v>1425.8300000000002</v>
      </c>
      <c r="F19" s="39">
        <f t="shared" si="0"/>
        <v>-62.863207792884303</v>
      </c>
    </row>
    <row r="20" spans="1:17" s="3" customFormat="1" ht="18.600000000000001" customHeight="1">
      <c r="A20" s="18" t="s">
        <v>57</v>
      </c>
      <c r="B20" s="19" t="s">
        <v>54</v>
      </c>
      <c r="C20" s="20" t="s">
        <v>23</v>
      </c>
      <c r="D20" s="21">
        <v>9783.2000000000007</v>
      </c>
      <c r="E20" s="21">
        <f>(317382.67+367727.01+2526324.7+2538827.79+2586188.32+1262966.52+585406.02+569869.8+231636.6+211877.82+328235.2+328235.2)/1000</f>
        <v>11854.677649999998</v>
      </c>
      <c r="F20" s="39">
        <f t="shared" si="0"/>
        <v>21.173825026576139</v>
      </c>
      <c r="G20" s="22"/>
    </row>
    <row r="21" spans="1:17" s="3" customFormat="1" ht="18.600000000000001" customHeight="1">
      <c r="A21" s="18">
        <v>2</v>
      </c>
      <c r="B21" s="19" t="s">
        <v>26</v>
      </c>
      <c r="C21" s="20" t="s">
        <v>23</v>
      </c>
      <c r="D21" s="21">
        <f>SUM(D23:D26)</f>
        <v>24230.39</v>
      </c>
      <c r="E21" s="21">
        <f>SUM(E23:E26)</f>
        <v>14681.22</v>
      </c>
      <c r="F21" s="39">
        <f t="shared" si="0"/>
        <v>-39.40988981192627</v>
      </c>
    </row>
    <row r="22" spans="1:17" s="3" customFormat="1" ht="15.6" customHeight="1">
      <c r="A22" s="18"/>
      <c r="B22" s="19" t="s">
        <v>24</v>
      </c>
      <c r="C22" s="20"/>
      <c r="D22" s="21"/>
      <c r="E22" s="21"/>
      <c r="F22" s="39"/>
    </row>
    <row r="23" spans="1:17" s="3" customFormat="1" ht="19.2" customHeight="1">
      <c r="A23" s="18" t="s">
        <v>3</v>
      </c>
      <c r="B23" s="19" t="s">
        <v>27</v>
      </c>
      <c r="C23" s="20" t="s">
        <v>23</v>
      </c>
      <c r="D23" s="21">
        <v>21750.799999999999</v>
      </c>
      <c r="E23" s="21">
        <f>11975.38+1365.1</f>
        <v>13340.48</v>
      </c>
      <c r="F23" s="39">
        <f t="shared" si="0"/>
        <v>-38.666715707008478</v>
      </c>
    </row>
    <row r="24" spans="1:17" s="3" customFormat="1" ht="19.2" customHeight="1">
      <c r="A24" s="18" t="s">
        <v>4</v>
      </c>
      <c r="B24" s="19" t="s">
        <v>28</v>
      </c>
      <c r="C24" s="20" t="s">
        <v>23</v>
      </c>
      <c r="D24" s="21">
        <v>1174.54</v>
      </c>
      <c r="E24" s="21">
        <f>647.63+73.72</f>
        <v>721.35</v>
      </c>
      <c r="F24" s="39">
        <f t="shared" si="0"/>
        <v>-38.584467110528372</v>
      </c>
    </row>
    <row r="25" spans="1:17" s="3" customFormat="1" ht="19.2" customHeight="1">
      <c r="A25" s="18" t="s">
        <v>49</v>
      </c>
      <c r="B25" s="19" t="s">
        <v>122</v>
      </c>
      <c r="C25" s="20" t="s">
        <v>23</v>
      </c>
      <c r="D25" s="21">
        <v>978.79</v>
      </c>
      <c r="E25" s="21">
        <f>376.26+43</f>
        <v>419.26</v>
      </c>
      <c r="F25" s="39">
        <f t="shared" si="0"/>
        <v>-57.165479827133503</v>
      </c>
    </row>
    <row r="26" spans="1:17" s="3" customFormat="1" ht="19.2" customHeight="1">
      <c r="A26" s="18" t="s">
        <v>121</v>
      </c>
      <c r="B26" s="19" t="s">
        <v>50</v>
      </c>
      <c r="C26" s="20" t="s">
        <v>23</v>
      </c>
      <c r="D26" s="21">
        <v>326.26</v>
      </c>
      <c r="E26" s="21">
        <f>179.65+20.48</f>
        <v>200.13</v>
      </c>
      <c r="F26" s="39">
        <f t="shared" si="0"/>
        <v>-38.65935143750383</v>
      </c>
    </row>
    <row r="27" spans="1:17" s="3" customFormat="1" ht="19.2" customHeight="1">
      <c r="A27" s="18">
        <v>3</v>
      </c>
      <c r="B27" s="19" t="s">
        <v>29</v>
      </c>
      <c r="C27" s="20" t="s">
        <v>23</v>
      </c>
      <c r="D27" s="21">
        <v>112979.51</v>
      </c>
      <c r="E27" s="21">
        <f>63278.22+8517.86</f>
        <v>71796.08</v>
      </c>
      <c r="F27" s="39">
        <f t="shared" si="0"/>
        <v>-36.452123044258201</v>
      </c>
    </row>
    <row r="28" spans="1:17" s="3" customFormat="1" ht="18.600000000000001" customHeight="1">
      <c r="A28" s="18">
        <v>4</v>
      </c>
      <c r="B28" s="19" t="s">
        <v>30</v>
      </c>
      <c r="C28" s="20" t="s">
        <v>23</v>
      </c>
      <c r="D28" s="21">
        <f>SUM(D30:D32)</f>
        <v>1102.81</v>
      </c>
      <c r="E28" s="21">
        <f>SUM(E30:E36)</f>
        <v>6249.6139999999996</v>
      </c>
      <c r="F28" s="39">
        <f t="shared" si="0"/>
        <v>466.69906874257572</v>
      </c>
    </row>
    <row r="29" spans="1:17" s="3" customFormat="1" ht="13.2" customHeight="1">
      <c r="A29" s="18"/>
      <c r="B29" s="19" t="s">
        <v>24</v>
      </c>
      <c r="C29" s="20"/>
      <c r="D29" s="21"/>
      <c r="E29" s="21"/>
      <c r="F29" s="39"/>
      <c r="P29" s="3">
        <f t="shared" ref="P29:Q29" si="2">SUM(K28:K29)</f>
        <v>0</v>
      </c>
      <c r="Q29" s="3">
        <f t="shared" si="2"/>
        <v>0</v>
      </c>
    </row>
    <row r="30" spans="1:17" s="3" customFormat="1" ht="19.95" customHeight="1">
      <c r="A30" s="23" t="s">
        <v>5</v>
      </c>
      <c r="B30" s="19" t="s">
        <v>31</v>
      </c>
      <c r="C30" s="20" t="s">
        <v>23</v>
      </c>
      <c r="D30" s="21">
        <v>939.1</v>
      </c>
      <c r="E30" s="21">
        <f>36+2.5</f>
        <v>38.5</v>
      </c>
      <c r="F30" s="39">
        <f t="shared" si="0"/>
        <v>-95.900330103290386</v>
      </c>
    </row>
    <row r="31" spans="1:17" s="3" customFormat="1" ht="19.95" customHeight="1">
      <c r="A31" s="23" t="s">
        <v>68</v>
      </c>
      <c r="B31" s="19" t="s">
        <v>32</v>
      </c>
      <c r="C31" s="20" t="s">
        <v>23</v>
      </c>
      <c r="D31" s="21">
        <v>22.81</v>
      </c>
      <c r="E31" s="21">
        <f>274.87</f>
        <v>274.87</v>
      </c>
      <c r="F31" s="39">
        <f t="shared" si="0"/>
        <v>1105.0416483998247</v>
      </c>
    </row>
    <row r="32" spans="1:17" s="3" customFormat="1" ht="29.4" customHeight="1">
      <c r="A32" s="23" t="s">
        <v>69</v>
      </c>
      <c r="B32" s="19" t="s">
        <v>48</v>
      </c>
      <c r="C32" s="20" t="s">
        <v>23</v>
      </c>
      <c r="D32" s="21">
        <v>140.9</v>
      </c>
      <c r="E32" s="21">
        <v>0</v>
      </c>
      <c r="F32" s="39">
        <f t="shared" si="0"/>
        <v>-100</v>
      </c>
    </row>
    <row r="33" spans="1:6" s="3" customFormat="1" ht="21.6" customHeight="1">
      <c r="A33" s="23" t="s">
        <v>123</v>
      </c>
      <c r="B33" s="37" t="s">
        <v>126</v>
      </c>
      <c r="C33" s="20" t="s">
        <v>23</v>
      </c>
      <c r="D33" s="21">
        <v>0</v>
      </c>
      <c r="E33" s="21">
        <v>600</v>
      </c>
      <c r="F33" s="39">
        <v>100</v>
      </c>
    </row>
    <row r="34" spans="1:6" s="3" customFormat="1" ht="21.6" customHeight="1">
      <c r="A34" s="23" t="s">
        <v>124</v>
      </c>
      <c r="B34" s="40" t="s">
        <v>127</v>
      </c>
      <c r="C34" s="20" t="s">
        <v>23</v>
      </c>
      <c r="D34" s="21">
        <v>0</v>
      </c>
      <c r="E34" s="21">
        <v>135</v>
      </c>
      <c r="F34" s="39">
        <v>100</v>
      </c>
    </row>
    <row r="35" spans="1:6" s="3" customFormat="1" ht="21.6" customHeight="1">
      <c r="A35" s="23" t="s">
        <v>125</v>
      </c>
      <c r="B35" s="40" t="s">
        <v>128</v>
      </c>
      <c r="C35" s="20" t="s">
        <v>23</v>
      </c>
      <c r="D35" s="21">
        <v>0</v>
      </c>
      <c r="E35" s="21">
        <f>1083.458+1067.61+923.606</f>
        <v>3074.674</v>
      </c>
      <c r="F35" s="39">
        <v>100</v>
      </c>
    </row>
    <row r="36" spans="1:6" s="3" customFormat="1" ht="43.95" customHeight="1">
      <c r="A36" s="23" t="s">
        <v>133</v>
      </c>
      <c r="B36" s="19" t="s">
        <v>134</v>
      </c>
      <c r="C36" s="20" t="s">
        <v>23</v>
      </c>
      <c r="D36" s="21">
        <v>0</v>
      </c>
      <c r="E36" s="21">
        <v>2126.5700000000002</v>
      </c>
      <c r="F36" s="39">
        <v>100</v>
      </c>
    </row>
    <row r="37" spans="1:6" s="3" customFormat="1" ht="19.95" customHeight="1">
      <c r="A37" s="24" t="s">
        <v>33</v>
      </c>
      <c r="B37" s="25" t="s">
        <v>34</v>
      </c>
      <c r="C37" s="26" t="s">
        <v>23</v>
      </c>
      <c r="D37" s="27">
        <f>D38</f>
        <v>1060.8600000000001</v>
      </c>
      <c r="E37" s="27">
        <f>E38</f>
        <v>3439.9693520000005</v>
      </c>
      <c r="F37" s="39">
        <f t="shared" si="0"/>
        <v>224.26232980789172</v>
      </c>
    </row>
    <row r="38" spans="1:6" s="3" customFormat="1" ht="15.6" customHeight="1">
      <c r="A38" s="18">
        <v>5</v>
      </c>
      <c r="B38" s="19" t="s">
        <v>35</v>
      </c>
      <c r="C38" s="20" t="s">
        <v>23</v>
      </c>
      <c r="D38" s="21">
        <f>SUM(D40:D46)</f>
        <v>1060.8600000000001</v>
      </c>
      <c r="E38" s="21">
        <f>SUM(E40:E46)</f>
        <v>3439.9693520000005</v>
      </c>
      <c r="F38" s="39">
        <f t="shared" si="0"/>
        <v>224.26232980789172</v>
      </c>
    </row>
    <row r="39" spans="1:6" s="3" customFormat="1" ht="14.4" customHeight="1">
      <c r="A39" s="18"/>
      <c r="B39" s="19" t="s">
        <v>24</v>
      </c>
      <c r="C39" s="20"/>
      <c r="D39" s="21"/>
      <c r="E39" s="21"/>
      <c r="F39" s="39"/>
    </row>
    <row r="40" spans="1:6" s="3" customFormat="1" ht="18.600000000000001" customHeight="1">
      <c r="A40" s="23" t="s">
        <v>59</v>
      </c>
      <c r="B40" s="19" t="s">
        <v>51</v>
      </c>
      <c r="C40" s="20" t="s">
        <v>23</v>
      </c>
      <c r="D40" s="21">
        <v>106.58</v>
      </c>
      <c r="E40" s="21">
        <f>E23*0.49%</f>
        <v>65.368352000000002</v>
      </c>
      <c r="F40" s="39">
        <f t="shared" si="0"/>
        <v>-38.66733721148433</v>
      </c>
    </row>
    <row r="41" spans="1:6" s="3" customFormat="1" ht="18.600000000000001" customHeight="1">
      <c r="A41" s="23" t="s">
        <v>60</v>
      </c>
      <c r="B41" s="19" t="s">
        <v>47</v>
      </c>
      <c r="C41" s="20" t="s">
        <v>23</v>
      </c>
      <c r="D41" s="21">
        <v>90</v>
      </c>
      <c r="E41" s="21">
        <v>0</v>
      </c>
      <c r="F41" s="39">
        <f t="shared" si="0"/>
        <v>-100</v>
      </c>
    </row>
    <row r="42" spans="1:6" s="3" customFormat="1" ht="19.2" customHeight="1">
      <c r="A42" s="23" t="s">
        <v>63</v>
      </c>
      <c r="B42" s="19" t="s">
        <v>36</v>
      </c>
      <c r="C42" s="20" t="s">
        <v>23</v>
      </c>
      <c r="D42" s="21">
        <v>115.44</v>
      </c>
      <c r="E42" s="21">
        <f>9.62+9.62+9.62+9.62+9.62+9.62+9.62+9.62+33.67+33.67+14.43+9.62+9.62+9.62+9.62+9.62+9.62+19.24+19.24+9.62+9.62+9.62+9.62+52.91+52.91+9.62+9.62+14.43+14.43+9.62+9.62+38.48+9.62+28.86+28.86+28.86+14.43+19.24+19.24+9.62+9.62</f>
        <v>673.40000000000009</v>
      </c>
      <c r="F42" s="39">
        <f t="shared" si="0"/>
        <v>483.33333333333337</v>
      </c>
    </row>
    <row r="43" spans="1:6" s="3" customFormat="1" ht="18" customHeight="1">
      <c r="A43" s="23" t="s">
        <v>61</v>
      </c>
      <c r="B43" s="19" t="s">
        <v>37</v>
      </c>
      <c r="C43" s="20" t="s">
        <v>23</v>
      </c>
      <c r="D43" s="21">
        <v>686.19</v>
      </c>
      <c r="E43" s="21">
        <f>2007.528+483.692+520.058-346.7</f>
        <v>2664.5780000000004</v>
      </c>
      <c r="F43" s="39">
        <f t="shared" si="0"/>
        <v>288.31489820603628</v>
      </c>
    </row>
    <row r="44" spans="1:6" s="3" customFormat="1" ht="27" customHeight="1">
      <c r="A44" s="23" t="s">
        <v>70</v>
      </c>
      <c r="B44" s="19" t="s">
        <v>38</v>
      </c>
      <c r="C44" s="20" t="s">
        <v>23</v>
      </c>
      <c r="D44" s="21">
        <v>62.65</v>
      </c>
      <c r="E44" s="21">
        <f>11.651+12.669+1.076</f>
        <v>25.396000000000001</v>
      </c>
      <c r="F44" s="39">
        <f t="shared" si="0"/>
        <v>-59.463687150837984</v>
      </c>
    </row>
    <row r="45" spans="1:6" s="3" customFormat="1" ht="21" customHeight="1">
      <c r="A45" s="23" t="s">
        <v>129</v>
      </c>
      <c r="B45" s="19" t="s">
        <v>131</v>
      </c>
      <c r="C45" s="20" t="s">
        <v>23</v>
      </c>
      <c r="D45" s="21">
        <v>0</v>
      </c>
      <c r="E45" s="21">
        <f>2.607+2.607</f>
        <v>5.2140000000000004</v>
      </c>
      <c r="F45" s="39">
        <v>100</v>
      </c>
    </row>
    <row r="46" spans="1:6" s="3" customFormat="1" ht="19.2" customHeight="1">
      <c r="A46" s="23" t="s">
        <v>130</v>
      </c>
      <c r="B46" s="19" t="s">
        <v>132</v>
      </c>
      <c r="C46" s="20" t="s">
        <v>23</v>
      </c>
      <c r="D46" s="21">
        <v>0</v>
      </c>
      <c r="E46" s="21">
        <v>6.0129999999999999</v>
      </c>
      <c r="F46" s="39">
        <v>100</v>
      </c>
    </row>
    <row r="47" spans="1:6" s="3" customFormat="1" ht="19.2" customHeight="1">
      <c r="A47" s="24" t="s">
        <v>39</v>
      </c>
      <c r="B47" s="25" t="s">
        <v>40</v>
      </c>
      <c r="C47" s="26" t="s">
        <v>23</v>
      </c>
      <c r="D47" s="27">
        <f>D14+D37</f>
        <v>161641.08999999997</v>
      </c>
      <c r="E47" s="27">
        <f>E14+E37</f>
        <v>111126.357002</v>
      </c>
      <c r="F47" s="39">
        <f t="shared" si="0"/>
        <v>-31.251170725215943</v>
      </c>
    </row>
    <row r="48" spans="1:6" s="3" customFormat="1" ht="19.2" customHeight="1">
      <c r="A48" s="24" t="s">
        <v>41</v>
      </c>
      <c r="B48" s="25" t="s">
        <v>135</v>
      </c>
      <c r="C48" s="26" t="s">
        <v>23</v>
      </c>
      <c r="D48" s="27">
        <v>0</v>
      </c>
      <c r="E48" s="27">
        <f>E49-E47</f>
        <v>-60413.235002000009</v>
      </c>
      <c r="F48" s="39"/>
    </row>
    <row r="49" spans="1:14" s="3" customFormat="1" ht="19.2" customHeight="1">
      <c r="A49" s="24" t="s">
        <v>42</v>
      </c>
      <c r="B49" s="25" t="s">
        <v>43</v>
      </c>
      <c r="C49" s="26" t="s">
        <v>23</v>
      </c>
      <c r="D49" s="27">
        <f>D47+D48</f>
        <v>161641.08999999997</v>
      </c>
      <c r="E49" s="27">
        <f>1079.6+1598.96+9710.313+21538.411+10724.249+3061.366+91.529+74.765+68.03+136.061+17.484+68.036+89.286+114.8+214.286+482.345+43.879+49.662+1550.06</f>
        <v>50713.121999999996</v>
      </c>
      <c r="F49" s="39">
        <f t="shared" si="0"/>
        <v>-68.626095010866351</v>
      </c>
    </row>
    <row r="50" spans="1:14" s="28" customFormat="1" ht="21.6" customHeight="1">
      <c r="A50" s="24" t="s">
        <v>136</v>
      </c>
      <c r="B50" s="25" t="s">
        <v>44</v>
      </c>
      <c r="C50" s="26" t="s">
        <v>116</v>
      </c>
      <c r="D50" s="27">
        <v>475.2</v>
      </c>
      <c r="E50" s="27">
        <f>26.99+39.974+28.547+63.32+31.528+9+0.269+0.22+0.2+0.4+0.051+0.2+0.262+0.337+0.63+1.418+0.129+0.146+4.557</f>
        <v>208.17799999999991</v>
      </c>
      <c r="F50" s="39">
        <f t="shared" si="0"/>
        <v>-56.191498316498333</v>
      </c>
      <c r="G50" s="41"/>
      <c r="H50" s="3"/>
      <c r="I50" s="3"/>
      <c r="J50" s="3"/>
      <c r="K50" s="3"/>
      <c r="L50" s="3"/>
      <c r="M50" s="3"/>
      <c r="N50" s="3"/>
    </row>
    <row r="51" spans="1:14" ht="16.8">
      <c r="A51" s="24" t="s">
        <v>45</v>
      </c>
      <c r="B51" s="25" t="s">
        <v>46</v>
      </c>
      <c r="C51" s="26" t="s">
        <v>117</v>
      </c>
      <c r="D51" s="27">
        <f>D47/D50</f>
        <v>340.15380892255888</v>
      </c>
      <c r="E51" s="27">
        <v>340.15</v>
      </c>
      <c r="F51" s="39">
        <f t="shared" si="0"/>
        <v>-1.1197647825724744E-3</v>
      </c>
    </row>
    <row r="52" spans="1:14">
      <c r="A52" s="29"/>
      <c r="B52" s="29"/>
      <c r="C52" s="29"/>
      <c r="D52" s="29"/>
      <c r="E52" s="3"/>
    </row>
    <row r="53" spans="1:14" ht="22.95" customHeight="1">
      <c r="A53" s="30" t="s">
        <v>8</v>
      </c>
      <c r="B53" s="30"/>
      <c r="C53" s="30" t="s">
        <v>9</v>
      </c>
      <c r="D53" s="30"/>
      <c r="E53" s="3"/>
    </row>
    <row r="54" spans="1:14" ht="30" customHeight="1">
      <c r="A54" s="30" t="s">
        <v>137</v>
      </c>
      <c r="B54" s="30"/>
      <c r="C54" s="30" t="s">
        <v>138</v>
      </c>
      <c r="D54" s="30"/>
      <c r="E54" s="3"/>
    </row>
    <row r="55" spans="1:14" ht="18.600000000000001" customHeight="1">
      <c r="A55" s="31" t="s">
        <v>11</v>
      </c>
      <c r="B55" s="30"/>
      <c r="C55" s="30"/>
      <c r="D55" s="30"/>
      <c r="E55" s="3"/>
    </row>
    <row r="56" spans="1:14">
      <c r="A56" s="31" t="s">
        <v>10</v>
      </c>
      <c r="B56" s="30"/>
      <c r="C56" s="30" t="s">
        <v>2</v>
      </c>
      <c r="D56" s="30"/>
      <c r="E56" s="3"/>
    </row>
    <row r="57" spans="1:14">
      <c r="E57" s="3"/>
    </row>
    <row r="58" spans="1:14" ht="14.4">
      <c r="A58" s="30" t="s">
        <v>62</v>
      </c>
      <c r="B58" s="32"/>
      <c r="C58" s="32"/>
      <c r="D58" s="32"/>
      <c r="E58" s="3"/>
    </row>
  </sheetData>
  <mergeCells count="3">
    <mergeCell ref="A10:F10"/>
    <mergeCell ref="A15:A16"/>
    <mergeCell ref="A7:F7"/>
  </mergeCells>
  <hyperlinks>
    <hyperlink ref="L2" r:id="rId1" display="jl:1039135.100 "/>
  </hyperlinks>
  <pageMargins left="0.59055118110236227" right="0.19685039370078741" top="0.39370078740157483" bottom="0.19685039370078741" header="0.31496062992125984" footer="0.31496062992125984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view="pageBreakPreview" zoomScale="106" zoomScaleNormal="100" zoomScaleSheetLayoutView="106" workbookViewId="0">
      <selection activeCell="E54" sqref="E54"/>
    </sheetView>
  </sheetViews>
  <sheetFormatPr defaultColWidth="9.109375" defaultRowHeight="13.8"/>
  <cols>
    <col min="1" max="1" width="8.109375" style="1" customWidth="1"/>
    <col min="2" max="2" width="43" style="1" customWidth="1"/>
    <col min="3" max="3" width="11.88671875" style="1" customWidth="1"/>
    <col min="4" max="4" width="13" style="1" customWidth="1"/>
    <col min="5" max="5" width="13.5546875" style="1" customWidth="1"/>
    <col min="6" max="6" width="11" style="1" customWidth="1"/>
    <col min="7" max="7" width="10.6640625" style="1" customWidth="1"/>
    <col min="8" max="8" width="58.6640625" style="1" customWidth="1"/>
    <col min="9" max="12" width="8.6640625" style="1" customWidth="1"/>
    <col min="13" max="16384" width="9.109375" style="1"/>
  </cols>
  <sheetData>
    <row r="1" spans="1:14" ht="13.5" customHeight="1">
      <c r="A1" s="4"/>
      <c r="C1" s="5"/>
      <c r="D1" s="33" t="s">
        <v>71</v>
      </c>
      <c r="E1" s="33"/>
      <c r="F1" s="33"/>
    </row>
    <row r="2" spans="1:14" ht="14.25" customHeight="1">
      <c r="A2" s="4"/>
      <c r="C2" s="5"/>
      <c r="E2" s="6" t="s">
        <v>72</v>
      </c>
    </row>
    <row r="3" spans="1:14" ht="14.25" customHeight="1">
      <c r="A3" s="4"/>
      <c r="C3" s="5"/>
      <c r="E3" s="6" t="s">
        <v>75</v>
      </c>
      <c r="H3" s="32"/>
    </row>
    <row r="4" spans="1:14" ht="12.75" customHeight="1">
      <c r="A4" s="4"/>
      <c r="C4" s="5"/>
      <c r="E4" s="6" t="s">
        <v>73</v>
      </c>
      <c r="H4" s="32"/>
    </row>
    <row r="5" spans="1:14" ht="13.5" customHeight="1">
      <c r="A5" s="7" t="s">
        <v>16</v>
      </c>
      <c r="C5" s="5"/>
      <c r="E5" s="8" t="s">
        <v>76</v>
      </c>
      <c r="H5" s="32"/>
    </row>
    <row r="6" spans="1:14" ht="13.5" customHeight="1">
      <c r="A6" s="7"/>
      <c r="C6" s="5"/>
      <c r="D6" s="8"/>
      <c r="E6" s="1" t="s">
        <v>74</v>
      </c>
      <c r="H6" s="32"/>
    </row>
    <row r="7" spans="1:14" ht="44.25" customHeight="1">
      <c r="A7" s="49" t="s">
        <v>77</v>
      </c>
      <c r="B7" s="50"/>
      <c r="C7" s="50"/>
      <c r="D7" s="50"/>
      <c r="E7" s="50"/>
      <c r="F7" s="50"/>
    </row>
    <row r="8" spans="1:14" ht="18" customHeight="1">
      <c r="A8" s="9" t="s">
        <v>78</v>
      </c>
      <c r="C8" s="5"/>
      <c r="D8" s="5"/>
    </row>
    <row r="9" spans="1:14" ht="37.200000000000003" customHeight="1">
      <c r="A9" s="43" t="s">
        <v>148</v>
      </c>
      <c r="B9" s="44"/>
      <c r="C9" s="44"/>
      <c r="D9" s="44"/>
      <c r="E9" s="45"/>
      <c r="F9" s="45"/>
    </row>
    <row r="10" spans="1:14" ht="3.6" customHeight="1">
      <c r="A10" s="10"/>
      <c r="C10" s="5"/>
      <c r="D10" s="5"/>
    </row>
    <row r="11" spans="1:14" ht="57" customHeight="1">
      <c r="A11" s="11" t="s">
        <v>80</v>
      </c>
      <c r="B11" s="34" t="s">
        <v>79</v>
      </c>
      <c r="C11" s="12" t="s">
        <v>81</v>
      </c>
      <c r="D11" s="12" t="s">
        <v>82</v>
      </c>
      <c r="E11" s="35" t="s">
        <v>84</v>
      </c>
      <c r="F11" s="12" t="s">
        <v>83</v>
      </c>
    </row>
    <row r="12" spans="1:14" s="2" customFormat="1" ht="16.95" customHeight="1">
      <c r="A12" s="11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"/>
      <c r="H12" s="1"/>
      <c r="I12" s="1"/>
      <c r="J12" s="1"/>
      <c r="K12" s="1"/>
      <c r="L12" s="1"/>
      <c r="M12" s="1"/>
      <c r="N12" s="1"/>
    </row>
    <row r="13" spans="1:14" s="2" customFormat="1" ht="30" customHeight="1">
      <c r="A13" s="42" t="s">
        <v>20</v>
      </c>
      <c r="B13" s="13" t="s">
        <v>85</v>
      </c>
      <c r="C13" s="14" t="s">
        <v>86</v>
      </c>
      <c r="D13" s="15">
        <f>D14+D20+D26+D27</f>
        <v>160580.22999999998</v>
      </c>
      <c r="E13" s="15">
        <f>E14+E20+E26+E27</f>
        <v>107686.39</v>
      </c>
      <c r="F13" s="51">
        <f t="shared" ref="F13:F50" si="0">(E13/D13*100)-100</f>
        <v>-32.939198056946353</v>
      </c>
      <c r="G13" s="1"/>
      <c r="H13" s="1"/>
      <c r="I13" s="1"/>
      <c r="J13" s="1"/>
      <c r="K13" s="1"/>
      <c r="L13" s="1"/>
      <c r="M13" s="1"/>
      <c r="N13" s="1"/>
    </row>
    <row r="14" spans="1:14" s="2" customFormat="1" ht="18.600000000000001" customHeight="1">
      <c r="A14" s="46">
        <v>1</v>
      </c>
      <c r="B14" s="16" t="s">
        <v>87</v>
      </c>
      <c r="C14" s="12" t="s">
        <v>86</v>
      </c>
      <c r="D14" s="17">
        <f t="shared" ref="D14" si="1">SUM(D16:D19)</f>
        <v>22267.52</v>
      </c>
      <c r="E14" s="17">
        <f>SUM(E16:E19)</f>
        <v>14959.48</v>
      </c>
      <c r="F14" s="51">
        <f t="shared" si="0"/>
        <v>-32.8192811772483</v>
      </c>
      <c r="G14" s="1"/>
      <c r="H14" s="1"/>
      <c r="I14" s="1"/>
      <c r="J14" s="1"/>
      <c r="K14" s="1"/>
      <c r="L14" s="1"/>
      <c r="M14" s="1"/>
      <c r="N14" s="1"/>
    </row>
    <row r="15" spans="1:14" ht="14.4" customHeight="1">
      <c r="A15" s="46"/>
      <c r="B15" s="16" t="s">
        <v>93</v>
      </c>
      <c r="C15" s="12"/>
      <c r="D15" s="17"/>
      <c r="E15" s="17"/>
      <c r="F15" s="51"/>
    </row>
    <row r="16" spans="1:14" ht="18.600000000000001" customHeight="1">
      <c r="A16" s="42" t="s">
        <v>1</v>
      </c>
      <c r="B16" s="16" t="s">
        <v>88</v>
      </c>
      <c r="C16" s="12" t="s">
        <v>23</v>
      </c>
      <c r="D16" s="17">
        <v>7473.42</v>
      </c>
      <c r="E16" s="17">
        <v>1265.9000000000001</v>
      </c>
      <c r="F16" s="51">
        <f t="shared" si="0"/>
        <v>-83.061302589711261</v>
      </c>
    </row>
    <row r="17" spans="1:17" s="3" customFormat="1" ht="18.600000000000001" customHeight="1">
      <c r="A17" s="18" t="s">
        <v>55</v>
      </c>
      <c r="B17" s="19" t="s">
        <v>89</v>
      </c>
      <c r="C17" s="20" t="s">
        <v>23</v>
      </c>
      <c r="D17" s="21">
        <v>1171.5</v>
      </c>
      <c r="E17" s="21">
        <v>413.07</v>
      </c>
      <c r="F17" s="51">
        <f t="shared" si="0"/>
        <v>-64.740076824583866</v>
      </c>
    </row>
    <row r="18" spans="1:17" s="3" customFormat="1" ht="18.600000000000001" customHeight="1">
      <c r="A18" s="18" t="s">
        <v>56</v>
      </c>
      <c r="B18" s="19" t="s">
        <v>90</v>
      </c>
      <c r="C18" s="20" t="s">
        <v>23</v>
      </c>
      <c r="D18" s="21">
        <v>3839.4</v>
      </c>
      <c r="E18" s="21">
        <v>1425.83</v>
      </c>
      <c r="F18" s="51">
        <f t="shared" si="0"/>
        <v>-62.86320779288431</v>
      </c>
    </row>
    <row r="19" spans="1:17" s="3" customFormat="1" ht="18.600000000000001" customHeight="1">
      <c r="A19" s="18" t="s">
        <v>57</v>
      </c>
      <c r="B19" s="19" t="s">
        <v>91</v>
      </c>
      <c r="C19" s="20" t="s">
        <v>23</v>
      </c>
      <c r="D19" s="21">
        <v>9783.2000000000007</v>
      </c>
      <c r="E19" s="21">
        <v>11854.68</v>
      </c>
      <c r="F19" s="51">
        <f t="shared" si="0"/>
        <v>21.173849047346465</v>
      </c>
      <c r="G19" s="22"/>
    </row>
    <row r="20" spans="1:17" s="3" customFormat="1" ht="18.600000000000001" customHeight="1">
      <c r="A20" s="18">
        <v>2</v>
      </c>
      <c r="B20" s="19" t="s">
        <v>92</v>
      </c>
      <c r="C20" s="20" t="s">
        <v>23</v>
      </c>
      <c r="D20" s="21">
        <f>SUM(D22:D25)</f>
        <v>24230.39</v>
      </c>
      <c r="E20" s="21">
        <f>SUM(E22:E25)</f>
        <v>14681.22</v>
      </c>
      <c r="F20" s="51">
        <f t="shared" si="0"/>
        <v>-39.40988981192627</v>
      </c>
    </row>
    <row r="21" spans="1:17" s="3" customFormat="1" ht="13.95" customHeight="1">
      <c r="A21" s="18"/>
      <c r="B21" s="19" t="s">
        <v>93</v>
      </c>
      <c r="C21" s="20"/>
      <c r="D21" s="21"/>
      <c r="E21" s="21"/>
      <c r="F21" s="51"/>
    </row>
    <row r="22" spans="1:17" s="3" customFormat="1" ht="18.600000000000001" customHeight="1">
      <c r="A22" s="18" t="s">
        <v>3</v>
      </c>
      <c r="B22" s="19" t="s">
        <v>147</v>
      </c>
      <c r="C22" s="20" t="s">
        <v>23</v>
      </c>
      <c r="D22" s="21">
        <v>21750.799999999999</v>
      </c>
      <c r="E22" s="21">
        <v>13340.48</v>
      </c>
      <c r="F22" s="51">
        <f t="shared" si="0"/>
        <v>-38.666715707008478</v>
      </c>
    </row>
    <row r="23" spans="1:17" s="3" customFormat="1" ht="18.600000000000001" customHeight="1">
      <c r="A23" s="18" t="s">
        <v>4</v>
      </c>
      <c r="B23" s="19" t="s">
        <v>94</v>
      </c>
      <c r="C23" s="20" t="s">
        <v>23</v>
      </c>
      <c r="D23" s="21">
        <v>1174.54</v>
      </c>
      <c r="E23" s="21">
        <v>721.35</v>
      </c>
      <c r="F23" s="51">
        <f t="shared" si="0"/>
        <v>-38.584467110528372</v>
      </c>
    </row>
    <row r="24" spans="1:17" s="3" customFormat="1" ht="18.600000000000001" customHeight="1">
      <c r="A24" s="18" t="s">
        <v>49</v>
      </c>
      <c r="B24" s="19" t="s">
        <v>139</v>
      </c>
      <c r="C24" s="20"/>
      <c r="D24" s="21">
        <v>978.79</v>
      </c>
      <c r="E24" s="21">
        <v>419.26</v>
      </c>
      <c r="F24" s="51">
        <f t="shared" si="0"/>
        <v>-57.165479827133503</v>
      </c>
    </row>
    <row r="25" spans="1:17" s="3" customFormat="1" ht="18.600000000000001" customHeight="1">
      <c r="A25" s="18" t="s">
        <v>121</v>
      </c>
      <c r="B25" s="19" t="s">
        <v>95</v>
      </c>
      <c r="C25" s="20" t="s">
        <v>23</v>
      </c>
      <c r="D25" s="21">
        <v>326.26</v>
      </c>
      <c r="E25" s="21">
        <v>200.13</v>
      </c>
      <c r="F25" s="51">
        <f t="shared" si="0"/>
        <v>-38.65935143750383</v>
      </c>
    </row>
    <row r="26" spans="1:17" s="3" customFormat="1" ht="18.600000000000001" customHeight="1">
      <c r="A26" s="18">
        <v>3</v>
      </c>
      <c r="B26" s="19" t="s">
        <v>29</v>
      </c>
      <c r="C26" s="20" t="s">
        <v>23</v>
      </c>
      <c r="D26" s="21">
        <v>112979.51</v>
      </c>
      <c r="E26" s="21">
        <v>71796.08</v>
      </c>
      <c r="F26" s="51">
        <f t="shared" si="0"/>
        <v>-36.452123044258201</v>
      </c>
    </row>
    <row r="27" spans="1:17" s="3" customFormat="1" ht="18.600000000000001" customHeight="1">
      <c r="A27" s="18">
        <v>4</v>
      </c>
      <c r="B27" s="19" t="s">
        <v>96</v>
      </c>
      <c r="C27" s="20" t="s">
        <v>23</v>
      </c>
      <c r="D27" s="21">
        <f>SUM(D29:D35)</f>
        <v>1102.81</v>
      </c>
      <c r="E27" s="21">
        <f>SUM(E29:E35)</f>
        <v>6249.6100000000006</v>
      </c>
      <c r="F27" s="51">
        <f t="shared" si="0"/>
        <v>466.69870603277093</v>
      </c>
    </row>
    <row r="28" spans="1:17" s="3" customFormat="1" ht="13.95" customHeight="1">
      <c r="A28" s="18"/>
      <c r="B28" s="19" t="s">
        <v>93</v>
      </c>
      <c r="C28" s="20"/>
      <c r="D28" s="21"/>
      <c r="E28" s="21"/>
      <c r="F28" s="51"/>
      <c r="P28" s="3">
        <f t="shared" ref="P28:Q28" si="2">SUM(K27:K28)</f>
        <v>0</v>
      </c>
      <c r="Q28" s="3">
        <f t="shared" si="2"/>
        <v>0</v>
      </c>
    </row>
    <row r="29" spans="1:17" s="3" customFormat="1" ht="18.600000000000001" customHeight="1">
      <c r="A29" s="23" t="s">
        <v>5</v>
      </c>
      <c r="B29" s="19" t="s">
        <v>97</v>
      </c>
      <c r="C29" s="20" t="s">
        <v>23</v>
      </c>
      <c r="D29" s="21">
        <v>939.1</v>
      </c>
      <c r="E29" s="21">
        <v>38.5</v>
      </c>
      <c r="F29" s="51">
        <f t="shared" si="0"/>
        <v>-95.900330103290386</v>
      </c>
    </row>
    <row r="30" spans="1:17" s="3" customFormat="1" ht="18.600000000000001" customHeight="1">
      <c r="A30" s="23" t="s">
        <v>68</v>
      </c>
      <c r="B30" s="19" t="s">
        <v>98</v>
      </c>
      <c r="C30" s="20" t="s">
        <v>23</v>
      </c>
      <c r="D30" s="21">
        <v>22.81</v>
      </c>
      <c r="E30" s="21">
        <v>274.87</v>
      </c>
      <c r="F30" s="51">
        <f t="shared" si="0"/>
        <v>1105.0416483998247</v>
      </c>
    </row>
    <row r="31" spans="1:17" s="3" customFormat="1" ht="25.95" customHeight="1">
      <c r="A31" s="23" t="s">
        <v>69</v>
      </c>
      <c r="B31" s="19" t="s">
        <v>99</v>
      </c>
      <c r="C31" s="20" t="s">
        <v>23</v>
      </c>
      <c r="D31" s="21">
        <v>140.9</v>
      </c>
      <c r="E31" s="21">
        <v>0</v>
      </c>
      <c r="F31" s="51">
        <f t="shared" si="0"/>
        <v>-100</v>
      </c>
    </row>
    <row r="32" spans="1:17" s="3" customFormat="1" ht="19.2" customHeight="1">
      <c r="A32" s="23" t="s">
        <v>123</v>
      </c>
      <c r="B32" s="19" t="s">
        <v>140</v>
      </c>
      <c r="C32" s="20" t="s">
        <v>23</v>
      </c>
      <c r="D32" s="21">
        <v>0</v>
      </c>
      <c r="E32" s="21">
        <v>600</v>
      </c>
      <c r="F32" s="51">
        <v>100</v>
      </c>
    </row>
    <row r="33" spans="1:6" s="3" customFormat="1" ht="19.2" customHeight="1">
      <c r="A33" s="23" t="s">
        <v>124</v>
      </c>
      <c r="B33" s="19" t="s">
        <v>141</v>
      </c>
      <c r="C33" s="20" t="s">
        <v>23</v>
      </c>
      <c r="D33" s="21">
        <v>0</v>
      </c>
      <c r="E33" s="21">
        <v>135</v>
      </c>
      <c r="F33" s="51">
        <v>100</v>
      </c>
    </row>
    <row r="34" spans="1:6" s="3" customFormat="1" ht="25.5" customHeight="1">
      <c r="A34" s="23" t="s">
        <v>125</v>
      </c>
      <c r="B34" s="19" t="s">
        <v>142</v>
      </c>
      <c r="C34" s="20" t="s">
        <v>23</v>
      </c>
      <c r="D34" s="21">
        <v>0</v>
      </c>
      <c r="E34" s="21">
        <v>3074.67</v>
      </c>
      <c r="F34" s="51">
        <v>100</v>
      </c>
    </row>
    <row r="35" spans="1:6" s="3" customFormat="1" ht="43.8" customHeight="1">
      <c r="A35" s="23" t="s">
        <v>133</v>
      </c>
      <c r="B35" s="19" t="s">
        <v>143</v>
      </c>
      <c r="C35" s="20" t="s">
        <v>23</v>
      </c>
      <c r="D35" s="21">
        <v>0</v>
      </c>
      <c r="E35" s="21">
        <v>2126.5700000000002</v>
      </c>
      <c r="F35" s="51">
        <v>100</v>
      </c>
    </row>
    <row r="36" spans="1:6" s="3" customFormat="1" ht="20.399999999999999" customHeight="1">
      <c r="A36" s="24" t="s">
        <v>33</v>
      </c>
      <c r="B36" s="25" t="s">
        <v>100</v>
      </c>
      <c r="C36" s="26" t="s">
        <v>23</v>
      </c>
      <c r="D36" s="27">
        <f>D37</f>
        <v>1060.8600000000001</v>
      </c>
      <c r="E36" s="27">
        <f>E37</f>
        <v>3439.9700000000003</v>
      </c>
      <c r="F36" s="51">
        <f t="shared" si="0"/>
        <v>224.26239089040962</v>
      </c>
    </row>
    <row r="37" spans="1:6" s="3" customFormat="1" ht="20.399999999999999" customHeight="1">
      <c r="A37" s="18">
        <v>5</v>
      </c>
      <c r="B37" s="19" t="s">
        <v>101</v>
      </c>
      <c r="C37" s="20" t="s">
        <v>23</v>
      </c>
      <c r="D37" s="21">
        <f>SUM(D39:D45)</f>
        <v>1060.8600000000001</v>
      </c>
      <c r="E37" s="21">
        <f>SUM(E39:E45)</f>
        <v>3439.9700000000003</v>
      </c>
      <c r="F37" s="51">
        <f t="shared" si="0"/>
        <v>224.26239089040962</v>
      </c>
    </row>
    <row r="38" spans="1:6" s="3" customFormat="1" ht="14.4" customHeight="1">
      <c r="A38" s="18"/>
      <c r="B38" s="19" t="s">
        <v>93</v>
      </c>
      <c r="C38" s="20"/>
      <c r="D38" s="21"/>
      <c r="E38" s="21"/>
      <c r="F38" s="51"/>
    </row>
    <row r="39" spans="1:6" s="3" customFormat="1" ht="20.399999999999999" customHeight="1">
      <c r="A39" s="23" t="s">
        <v>59</v>
      </c>
      <c r="B39" s="19" t="s">
        <v>102</v>
      </c>
      <c r="C39" s="20" t="s">
        <v>23</v>
      </c>
      <c r="D39" s="21">
        <v>106.58</v>
      </c>
      <c r="E39" s="21">
        <v>65.37</v>
      </c>
      <c r="F39" s="51">
        <f t="shared" si="0"/>
        <v>-38.66579095515106</v>
      </c>
    </row>
    <row r="40" spans="1:6" s="3" customFormat="1" ht="20.399999999999999" customHeight="1">
      <c r="A40" s="23" t="s">
        <v>60</v>
      </c>
      <c r="B40" s="19" t="s">
        <v>103</v>
      </c>
      <c r="C40" s="20" t="s">
        <v>23</v>
      </c>
      <c r="D40" s="21">
        <v>90</v>
      </c>
      <c r="E40" s="21">
        <v>0</v>
      </c>
      <c r="F40" s="51">
        <f t="shared" si="0"/>
        <v>-100</v>
      </c>
    </row>
    <row r="41" spans="1:6" s="3" customFormat="1" ht="20.399999999999999" customHeight="1">
      <c r="A41" s="23" t="s">
        <v>63</v>
      </c>
      <c r="B41" s="19" t="s">
        <v>104</v>
      </c>
      <c r="C41" s="20" t="s">
        <v>23</v>
      </c>
      <c r="D41" s="21">
        <v>115.44</v>
      </c>
      <c r="E41" s="21">
        <v>673.4</v>
      </c>
      <c r="F41" s="51">
        <f t="shared" si="0"/>
        <v>483.33333333333326</v>
      </c>
    </row>
    <row r="42" spans="1:6" s="3" customFormat="1" ht="20.399999999999999" customHeight="1">
      <c r="A42" s="23" t="s">
        <v>61</v>
      </c>
      <c r="B42" s="19" t="s">
        <v>105</v>
      </c>
      <c r="C42" s="20" t="s">
        <v>23</v>
      </c>
      <c r="D42" s="21">
        <v>686.19</v>
      </c>
      <c r="E42" s="21">
        <v>2664.58</v>
      </c>
      <c r="F42" s="51">
        <f t="shared" si="0"/>
        <v>288.31518967049936</v>
      </c>
    </row>
    <row r="43" spans="1:6" s="3" customFormat="1" ht="28.8" customHeight="1">
      <c r="A43" s="23" t="s">
        <v>70</v>
      </c>
      <c r="B43" s="19" t="s">
        <v>106</v>
      </c>
      <c r="C43" s="20" t="s">
        <v>23</v>
      </c>
      <c r="D43" s="21">
        <v>62.65</v>
      </c>
      <c r="E43" s="21">
        <v>25.4</v>
      </c>
      <c r="F43" s="51">
        <f t="shared" si="0"/>
        <v>-59.457302474062253</v>
      </c>
    </row>
    <row r="44" spans="1:6" s="3" customFormat="1" ht="20.399999999999999" customHeight="1">
      <c r="A44" s="23" t="s">
        <v>129</v>
      </c>
      <c r="B44" s="19" t="s">
        <v>144</v>
      </c>
      <c r="C44" s="20" t="s">
        <v>23</v>
      </c>
      <c r="D44" s="21">
        <v>0</v>
      </c>
      <c r="E44" s="21">
        <v>5.21</v>
      </c>
      <c r="F44" s="51">
        <v>100</v>
      </c>
    </row>
    <row r="45" spans="1:6" s="3" customFormat="1" ht="20.399999999999999" customHeight="1">
      <c r="A45" s="23" t="s">
        <v>130</v>
      </c>
      <c r="B45" s="19" t="s">
        <v>145</v>
      </c>
      <c r="C45" s="20" t="s">
        <v>23</v>
      </c>
      <c r="D45" s="21">
        <v>0</v>
      </c>
      <c r="E45" s="21">
        <v>6.01</v>
      </c>
      <c r="F45" s="51">
        <v>100</v>
      </c>
    </row>
    <row r="46" spans="1:6" s="3" customFormat="1" ht="18.600000000000001" customHeight="1">
      <c r="A46" s="24" t="s">
        <v>39</v>
      </c>
      <c r="B46" s="25" t="s">
        <v>107</v>
      </c>
      <c r="C46" s="26" t="s">
        <v>23</v>
      </c>
      <c r="D46" s="27">
        <f>D13+D36</f>
        <v>161641.08999999997</v>
      </c>
      <c r="E46" s="27">
        <f>E13+E36</f>
        <v>111126.36</v>
      </c>
      <c r="F46" s="51">
        <f t="shared" si="0"/>
        <v>-31.251168870489536</v>
      </c>
    </row>
    <row r="47" spans="1:6" s="3" customFormat="1" ht="18.600000000000001" customHeight="1">
      <c r="A47" s="24" t="s">
        <v>41</v>
      </c>
      <c r="B47" s="25" t="s">
        <v>108</v>
      </c>
      <c r="C47" s="26" t="s">
        <v>23</v>
      </c>
      <c r="D47" s="27">
        <v>0</v>
      </c>
      <c r="E47" s="27">
        <f>E48-E46</f>
        <v>-60413.238000000005</v>
      </c>
      <c r="F47" s="51"/>
    </row>
    <row r="48" spans="1:6" s="3" customFormat="1" ht="18.600000000000001" customHeight="1">
      <c r="A48" s="24" t="s">
        <v>42</v>
      </c>
      <c r="B48" s="25" t="s">
        <v>109</v>
      </c>
      <c r="C48" s="26" t="s">
        <v>23</v>
      </c>
      <c r="D48" s="27">
        <f>D46+D47</f>
        <v>161641.08999999997</v>
      </c>
      <c r="E48" s="27">
        <f>1079.6+1598.96+9710.313+21538.411+10724.249+3061.366+91.529+74.765+68.03+136.061+17.484+68.036+89.286+114.8+214.286+482.345+43.879+49.662+1550.06</f>
        <v>50713.121999999996</v>
      </c>
      <c r="F48" s="51">
        <f t="shared" si="0"/>
        <v>-68.626095010866351</v>
      </c>
    </row>
    <row r="49" spans="1:14" s="3" customFormat="1" ht="18.600000000000001" customHeight="1">
      <c r="A49" s="24" t="s">
        <v>45</v>
      </c>
      <c r="B49" s="25" t="s">
        <v>110</v>
      </c>
      <c r="C49" s="26" t="s">
        <v>118</v>
      </c>
      <c r="D49" s="27">
        <v>475.2</v>
      </c>
      <c r="E49" s="27">
        <f>'тариф БГВ  2018г рус'!E50</f>
        <v>208.17799999999991</v>
      </c>
      <c r="F49" s="51">
        <f t="shared" si="0"/>
        <v>-56.191498316498333</v>
      </c>
    </row>
    <row r="50" spans="1:14" s="28" customFormat="1" ht="18.600000000000001" customHeight="1">
      <c r="A50" s="24" t="s">
        <v>53</v>
      </c>
      <c r="B50" s="25" t="s">
        <v>111</v>
      </c>
      <c r="C50" s="26" t="s">
        <v>119</v>
      </c>
      <c r="D50" s="27">
        <f>D48/D49</f>
        <v>340.15380892255888</v>
      </c>
      <c r="E50" s="27">
        <v>340.15</v>
      </c>
      <c r="F50" s="51">
        <f t="shared" si="0"/>
        <v>-1.1197647825724744E-3</v>
      </c>
      <c r="G50" s="3"/>
      <c r="H50" s="3"/>
      <c r="I50" s="3"/>
      <c r="J50" s="3"/>
      <c r="K50" s="3"/>
      <c r="L50" s="3"/>
      <c r="M50" s="3"/>
      <c r="N50" s="3"/>
    </row>
    <row r="51" spans="1:14">
      <c r="A51" s="29"/>
      <c r="B51" s="29"/>
      <c r="C51" s="29"/>
      <c r="D51" s="29"/>
    </row>
    <row r="52" spans="1:14">
      <c r="A52" s="30" t="s">
        <v>8</v>
      </c>
      <c r="B52" s="30"/>
      <c r="C52" s="30" t="s">
        <v>112</v>
      </c>
      <c r="D52" s="30"/>
    </row>
    <row r="53" spans="1:14">
      <c r="A53" s="30"/>
      <c r="B53" s="30"/>
      <c r="C53" s="30"/>
      <c r="D53" s="30"/>
    </row>
    <row r="54" spans="1:14">
      <c r="A54" s="30" t="s">
        <v>146</v>
      </c>
      <c r="B54" s="30"/>
      <c r="C54" s="30" t="s">
        <v>138</v>
      </c>
      <c r="D54" s="30"/>
    </row>
    <row r="55" spans="1:14" ht="22.95" customHeight="1">
      <c r="A55" s="31" t="s">
        <v>115</v>
      </c>
      <c r="B55" s="30"/>
      <c r="C55" s="30"/>
      <c r="D55" s="30"/>
    </row>
    <row r="56" spans="1:14">
      <c r="A56" s="31" t="s">
        <v>114</v>
      </c>
      <c r="B56" s="30"/>
      <c r="C56" s="30" t="s">
        <v>2</v>
      </c>
      <c r="D56" s="30"/>
    </row>
    <row r="58" spans="1:14" ht="14.4">
      <c r="A58" s="30" t="s">
        <v>113</v>
      </c>
      <c r="B58" s="32"/>
      <c r="C58" s="32"/>
      <c r="D58" s="32"/>
    </row>
  </sheetData>
  <mergeCells count="3">
    <mergeCell ref="A14:A15"/>
    <mergeCell ref="A9:F9"/>
    <mergeCell ref="A7:F7"/>
  </mergeCells>
  <hyperlinks>
    <hyperlink ref="L2" r:id="rId1" display="jl:1039135.100 "/>
  </hyperlinks>
  <pageMargins left="0.59055118110236227" right="0.19685039370078741" top="0.39370078740157483" bottom="0.19685039370078741" header="0.31496062992125984" footer="0.31496062992125984"/>
  <pageSetup paperSize="9" scale="92" orientation="portrait" r:id="rId2"/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 БГВ  2018г рус</vt:lpstr>
      <vt:lpstr>тариф БГВ  2018г 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2018-12-12T11:14:11Z</cp:lastPrinted>
  <dcterms:created xsi:type="dcterms:W3CDTF">2011-11-22T13:08:56Z</dcterms:created>
  <dcterms:modified xsi:type="dcterms:W3CDTF">2018-12-12T12:10:23Z</dcterms:modified>
</cp:coreProperties>
</file>