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0305" yWindow="-15" windowWidth="10230" windowHeight="8115" firstSheet="1" activeTab="8"/>
  </bookViews>
  <sheets>
    <sheet name="Панфилов ПУ" sheetId="11" r:id="rId1"/>
    <sheet name="Каратальский ПУ" sheetId="12" r:id="rId2"/>
    <sheet name="Алмалы, Ащыбулак" sheetId="15" r:id="rId3"/>
    <sheet name="Акешки" sheetId="14" r:id="rId4"/>
    <sheet name="Аксу" sheetId="13" r:id="rId5"/>
    <sheet name="Алаколь" sheetId="17" r:id="rId6"/>
    <sheet name="Коксу" sheetId="7" r:id="rId7"/>
    <sheet name="Ескелді" sheetId="10" r:id="rId8"/>
    <sheet name="Талдык" sheetId="18" r:id="rId9"/>
    <sheet name="Уйгур" sheetId="16" r:id="rId10"/>
    <sheet name="Сводная" sheetId="20" r:id="rId11"/>
  </sheets>
  <externalReferences>
    <externalReference r:id="rId12"/>
    <externalReference r:id="rId13"/>
    <externalReference r:id="rId14"/>
  </externalReferences>
  <definedNames>
    <definedName name="AS2DocOpenMode" hidden="1">"AS2DocumentEdit"</definedName>
    <definedName name="TextRefCopyRangeCount" hidden="1">3</definedName>
    <definedName name="АБП" localSheetId="9">'[1]Служебный ФКРБ'!$A$2:$A$136</definedName>
    <definedName name="АБП">'[2]Служебный ФКРБ'!$A$2:$A$136</definedName>
    <definedName name="ВидПредмета" localSheetId="9">'[1]Вид предмета'!$A$1:$A$3</definedName>
    <definedName name="ВидПредмета">'[2]Вид предмета'!$A$1:$A$3</definedName>
    <definedName name="_xlnm.Print_Titles" localSheetId="1">'Каратальский ПУ'!$A:$C,'Каратальский ПУ'!$5:$5</definedName>
    <definedName name="_xlnm.Print_Titles" localSheetId="10">Сводная!$A:$C,Сводная!$5:$6</definedName>
    <definedName name="Источник" localSheetId="9">'[1]Источник финансирования'!$A$1:$A$6</definedName>
    <definedName name="Источник">'[2]Источник финансирования'!$A$1:$A$6</definedName>
    <definedName name="КАТО" localSheetId="9">[1]КАТО!$A$2:$A$17162</definedName>
    <definedName name="КАТО">[2]КАТО!$A$2:$A$17162</definedName>
    <definedName name="Месяц" localSheetId="9">[1]Месяцы!$A$1:$A$13</definedName>
    <definedName name="Месяц">[2]Месяцы!$A$1:$A$13</definedName>
    <definedName name="_xlnm.Print_Area" localSheetId="3">Акешки!$A$1:$G$43</definedName>
    <definedName name="_xlnm.Print_Area" localSheetId="4">Аксу!$A$1:$G$67</definedName>
    <definedName name="_xlnm.Print_Area" localSheetId="2">'Алмалы, Ащыбулак'!$A$1:$G$48</definedName>
    <definedName name="_xlnm.Print_Area" localSheetId="7">Ескелді!$A$1:$G$74</definedName>
    <definedName name="_xlnm.Print_Area" localSheetId="1">'Каратальский ПУ'!$A$1:$G$69</definedName>
    <definedName name="_xlnm.Print_Area" localSheetId="6">Коксу!$A$1:$G$65</definedName>
    <definedName name="_xlnm.Print_Area" localSheetId="10">Сводная!$A$1:$Y$80</definedName>
    <definedName name="_xlnm.Print_Area" localSheetId="8">Талдык!$A$1:$G$65</definedName>
    <definedName name="_xlnm.Print_Area" localSheetId="9">Уйгур!$A$1:$G$68</definedName>
    <definedName name="Программа" localSheetId="9">'[1]Служебный ФКРБ'!$B$2:$B$145</definedName>
    <definedName name="Программа">'[2]Служебный ФКРБ'!$B$2:$B$145</definedName>
    <definedName name="ролгорлгрд">'[3]Exchange Rate Link Sheet'!$I$12</definedName>
    <definedName name="Специфика" localSheetId="9">[1]ЭКРБ!$A$1:$A$87</definedName>
    <definedName name="Специфика">[2]ЭКРБ!$A$1:$A$87</definedName>
    <definedName name="Способ" localSheetId="9">'[1]Способ закупки'!$A$1:$A$14</definedName>
    <definedName name="Способ">'[2]Способ закупки'!$A$1:$A$14</definedName>
    <definedName name="Тип_пункта" localSheetId="9">'[1]Тип пункта плана'!$A$1:$A$3</definedName>
    <definedName name="Тип_пункта">'[2]Тип пункта плана'!$A$1:$A$3</definedName>
  </definedNames>
  <calcPr calcId="124519" refMode="R1C1" iterate="1"/>
</workbook>
</file>

<file path=xl/calcChain.xml><?xml version="1.0" encoding="utf-8"?>
<calcChain xmlns="http://schemas.openxmlformats.org/spreadsheetml/2006/main">
  <c r="F62" i="10"/>
  <c r="F61"/>
  <c r="F60"/>
  <c r="F59"/>
  <c r="F57"/>
  <c r="F53"/>
  <c r="F52"/>
  <c r="F51"/>
  <c r="F50"/>
  <c r="F49"/>
  <c r="F48"/>
  <c r="F47"/>
  <c r="F46"/>
  <c r="F45"/>
  <c r="F44"/>
  <c r="F43"/>
  <c r="F42"/>
  <c r="F40"/>
  <c r="F38"/>
  <c r="F37"/>
  <c r="F36"/>
  <c r="F34"/>
  <c r="F33"/>
  <c r="F32"/>
  <c r="F31"/>
  <c r="F27"/>
  <c r="F25"/>
  <c r="F24"/>
  <c r="F23"/>
  <c r="F21"/>
  <c r="F20"/>
  <c r="F19"/>
  <c r="F18"/>
  <c r="F17"/>
  <c r="F15"/>
  <c r="F14"/>
  <c r="F13"/>
  <c r="F12"/>
  <c r="F10"/>
  <c r="F9"/>
  <c r="F8"/>
  <c r="F7"/>
  <c r="F6"/>
  <c r="Y80" i="20"/>
  <c r="X80"/>
  <c r="Y77"/>
  <c r="X77"/>
  <c r="Y76"/>
  <c r="X76"/>
  <c r="Y70"/>
  <c r="Y64"/>
  <c r="Y72"/>
  <c r="Y59"/>
  <c r="Y65"/>
  <c r="Y67"/>
  <c r="Y68"/>
  <c r="Y69"/>
  <c r="E41" i="16"/>
  <c r="D41"/>
  <c r="X59" i="20"/>
  <c r="X67"/>
  <c r="X65"/>
  <c r="X69"/>
  <c r="X68"/>
  <c r="Y56"/>
  <c r="X56"/>
  <c r="Y51"/>
  <c r="X51"/>
  <c r="Y52"/>
  <c r="X52"/>
  <c r="Y49"/>
  <c r="X49"/>
  <c r="Y50"/>
  <c r="X50"/>
  <c r="Y53"/>
  <c r="X53"/>
  <c r="Y54"/>
  <c r="X54"/>
  <c r="Y48"/>
  <c r="X48"/>
  <c r="Y45"/>
  <c r="X45"/>
  <c r="Y42"/>
  <c r="Y43"/>
  <c r="Y44"/>
  <c r="X44"/>
  <c r="X43"/>
  <c r="X42"/>
  <c r="Y29"/>
  <c r="X29"/>
  <c r="Y33"/>
  <c r="X33"/>
  <c r="Y27"/>
  <c r="X27"/>
  <c r="Y30"/>
  <c r="X30"/>
  <c r="Y34"/>
  <c r="X34"/>
  <c r="Y28"/>
  <c r="X28"/>
  <c r="Y26"/>
  <c r="X26"/>
  <c r="Y24"/>
  <c r="X24"/>
  <c r="Y22"/>
  <c r="X22"/>
  <c r="Y19"/>
  <c r="Y20"/>
  <c r="Y21"/>
  <c r="X21"/>
  <c r="X20"/>
  <c r="X19"/>
  <c r="Y11"/>
  <c r="Y13"/>
  <c r="Y14"/>
  <c r="Y15"/>
  <c r="X14"/>
  <c r="X15"/>
  <c r="X13"/>
  <c r="X11"/>
  <c r="W76"/>
  <c r="V76"/>
  <c r="W24"/>
  <c r="W26"/>
  <c r="W35"/>
  <c r="W64"/>
  <c r="V64"/>
  <c r="W63"/>
  <c r="V63"/>
  <c r="W67"/>
  <c r="V67"/>
  <c r="W59"/>
  <c r="V59"/>
  <c r="W65"/>
  <c r="V65"/>
  <c r="W68"/>
  <c r="V68"/>
  <c r="W69"/>
  <c r="V69"/>
  <c r="W22"/>
  <c r="V22"/>
  <c r="W19"/>
  <c r="W20"/>
  <c r="W21"/>
  <c r="W11"/>
  <c r="W14"/>
  <c r="W15"/>
  <c r="V14"/>
  <c r="V15"/>
  <c r="V11"/>
  <c r="E24" i="18"/>
  <c r="D28"/>
  <c r="E28"/>
  <c r="E37"/>
  <c r="V57" i="20"/>
  <c r="W57"/>
  <c r="W53"/>
  <c r="V53"/>
  <c r="W42"/>
  <c r="W43"/>
  <c r="W44"/>
  <c r="V44"/>
  <c r="V43"/>
  <c r="V42"/>
  <c r="U80"/>
  <c r="T80"/>
  <c r="U79"/>
  <c r="T79"/>
  <c r="T78"/>
  <c r="U77"/>
  <c r="T77"/>
  <c r="U76"/>
  <c r="T76"/>
  <c r="U64"/>
  <c r="U59"/>
  <c r="U65"/>
  <c r="U67"/>
  <c r="U68"/>
  <c r="U69"/>
  <c r="U71"/>
  <c r="T65"/>
  <c r="E36" i="10"/>
  <c r="U49" i="20"/>
  <c r="U48"/>
  <c r="U50"/>
  <c r="U53"/>
  <c r="U54"/>
  <c r="U56"/>
  <c r="T53"/>
  <c r="T54"/>
  <c r="T49"/>
  <c r="T50"/>
  <c r="T56"/>
  <c r="T48"/>
  <c r="U45"/>
  <c r="T45"/>
  <c r="U42"/>
  <c r="U43"/>
  <c r="U44"/>
  <c r="T44"/>
  <c r="T43"/>
  <c r="T42"/>
  <c r="U26"/>
  <c r="U27"/>
  <c r="U28"/>
  <c r="U29"/>
  <c r="U31"/>
  <c r="U34"/>
  <c r="U38"/>
  <c r="T31"/>
  <c r="T28"/>
  <c r="T34"/>
  <c r="T38"/>
  <c r="Y25"/>
  <c r="P37"/>
  <c r="Q37"/>
  <c r="T29"/>
  <c r="T27"/>
  <c r="T26"/>
  <c r="U24"/>
  <c r="T24"/>
  <c r="U22"/>
  <c r="T22"/>
  <c r="U19"/>
  <c r="U20"/>
  <c r="U21"/>
  <c r="T21"/>
  <c r="T20"/>
  <c r="T19"/>
  <c r="U11"/>
  <c r="U12"/>
  <c r="U14"/>
  <c r="U15"/>
  <c r="U16"/>
  <c r="T12"/>
  <c r="Q64"/>
  <c r="P64"/>
  <c r="O64"/>
  <c r="N64"/>
  <c r="M64"/>
  <c r="L64"/>
  <c r="K64"/>
  <c r="J64"/>
  <c r="S80"/>
  <c r="R80"/>
  <c r="S79"/>
  <c r="R79"/>
  <c r="S78"/>
  <c r="R78"/>
  <c r="S77"/>
  <c r="R77"/>
  <c r="E48" i="7"/>
  <c r="S76" i="20"/>
  <c r="R76"/>
  <c r="S59"/>
  <c r="S64"/>
  <c r="S65"/>
  <c r="S66"/>
  <c r="S67"/>
  <c r="S68"/>
  <c r="S69"/>
  <c r="S70"/>
  <c r="S73"/>
  <c r="R64"/>
  <c r="R68"/>
  <c r="R69"/>
  <c r="R67"/>
  <c r="R65"/>
  <c r="R70"/>
  <c r="R59"/>
  <c r="R66"/>
  <c r="R73"/>
  <c r="S48"/>
  <c r="S49"/>
  <c r="S50"/>
  <c r="S52"/>
  <c r="S54"/>
  <c r="S56"/>
  <c r="R54"/>
  <c r="R52"/>
  <c r="R50"/>
  <c r="R49"/>
  <c r="R56"/>
  <c r="R48"/>
  <c r="S45"/>
  <c r="R45"/>
  <c r="S42"/>
  <c r="S43"/>
  <c r="S44"/>
  <c r="R44"/>
  <c r="R43"/>
  <c r="R42"/>
  <c r="S26"/>
  <c r="S28"/>
  <c r="S29"/>
  <c r="S34"/>
  <c r="R28"/>
  <c r="R29"/>
  <c r="R34"/>
  <c r="R26"/>
  <c r="R25" s="1"/>
  <c r="S24"/>
  <c r="R24"/>
  <c r="S22"/>
  <c r="R22"/>
  <c r="S19"/>
  <c r="S20"/>
  <c r="S21"/>
  <c r="R21"/>
  <c r="R20"/>
  <c r="R19"/>
  <c r="S11"/>
  <c r="S13"/>
  <c r="S14"/>
  <c r="S15"/>
  <c r="R14"/>
  <c r="R15"/>
  <c r="R13"/>
  <c r="R11"/>
  <c r="Q80"/>
  <c r="P80"/>
  <c r="Q79"/>
  <c r="P79"/>
  <c r="Q78"/>
  <c r="P78"/>
  <c r="Q77"/>
  <c r="P77"/>
  <c r="Q76"/>
  <c r="P76"/>
  <c r="Q62"/>
  <c r="P62"/>
  <c r="Q61"/>
  <c r="P61"/>
  <c r="Q59"/>
  <c r="Q65"/>
  <c r="Q67"/>
  <c r="Q72"/>
  <c r="P72"/>
  <c r="P67"/>
  <c r="P59"/>
  <c r="P65"/>
  <c r="Q54"/>
  <c r="P54"/>
  <c r="Q56"/>
  <c r="P56"/>
  <c r="Q50"/>
  <c r="P50"/>
  <c r="Q51"/>
  <c r="P51"/>
  <c r="Q52"/>
  <c r="P52"/>
  <c r="Q49"/>
  <c r="P49"/>
  <c r="Q48"/>
  <c r="P48"/>
  <c r="Q45"/>
  <c r="P45"/>
  <c r="Q42"/>
  <c r="Q43"/>
  <c r="Q44"/>
  <c r="P44"/>
  <c r="P43"/>
  <c r="P42"/>
  <c r="Q30"/>
  <c r="P30"/>
  <c r="Q36"/>
  <c r="P36"/>
  <c r="D20" i="17"/>
  <c r="Q26" i="20"/>
  <c r="Q28"/>
  <c r="Q31"/>
  <c r="Q32"/>
  <c r="Q34"/>
  <c r="P31"/>
  <c r="P32"/>
  <c r="P34"/>
  <c r="P28"/>
  <c r="P26"/>
  <c r="P25" s="1"/>
  <c r="Q24"/>
  <c r="P24"/>
  <c r="Q22"/>
  <c r="P22"/>
  <c r="Q19"/>
  <c r="Q20"/>
  <c r="Q21"/>
  <c r="P21"/>
  <c r="P20"/>
  <c r="P19"/>
  <c r="Q11"/>
  <c r="Q14"/>
  <c r="Q15"/>
  <c r="Q17"/>
  <c r="P17"/>
  <c r="P15"/>
  <c r="P14"/>
  <c r="P11"/>
  <c r="O77"/>
  <c r="N77"/>
  <c r="O76"/>
  <c r="N76"/>
  <c r="O59"/>
  <c r="O60"/>
  <c r="O65"/>
  <c r="O67"/>
  <c r="O68"/>
  <c r="O69"/>
  <c r="O72"/>
  <c r="N72"/>
  <c r="N67"/>
  <c r="O45"/>
  <c r="N45"/>
  <c r="N60"/>
  <c r="N59"/>
  <c r="N65"/>
  <c r="N68"/>
  <c r="N69"/>
  <c r="O48"/>
  <c r="O49"/>
  <c r="O50"/>
  <c r="O51"/>
  <c r="O52"/>
  <c r="O53"/>
  <c r="O54"/>
  <c r="O55"/>
  <c r="O56"/>
  <c r="O42"/>
  <c r="O43"/>
  <c r="O44"/>
  <c r="O36"/>
  <c r="O34"/>
  <c r="O30"/>
  <c r="O28"/>
  <c r="O26"/>
  <c r="O25" s="1"/>
  <c r="O24"/>
  <c r="O22"/>
  <c r="O11"/>
  <c r="O12"/>
  <c r="O14"/>
  <c r="O15"/>
  <c r="O21"/>
  <c r="O20"/>
  <c r="O19"/>
  <c r="O18" s="1"/>
  <c r="M76"/>
  <c r="L76"/>
  <c r="M28"/>
  <c r="M25" s="1"/>
  <c r="L28"/>
  <c r="L25" s="1"/>
  <c r="M22"/>
  <c r="L22"/>
  <c r="M19"/>
  <c r="M20"/>
  <c r="L20"/>
  <c r="L19"/>
  <c r="K80"/>
  <c r="J80"/>
  <c r="K79"/>
  <c r="J79"/>
  <c r="K78"/>
  <c r="J78"/>
  <c r="K77"/>
  <c r="J77"/>
  <c r="K76"/>
  <c r="J76"/>
  <c r="K45"/>
  <c r="J45"/>
  <c r="K59"/>
  <c r="J59"/>
  <c r="K48"/>
  <c r="J48"/>
  <c r="K33"/>
  <c r="J33"/>
  <c r="K28"/>
  <c r="K25" s="1"/>
  <c r="J28"/>
  <c r="J25" s="1"/>
  <c r="K24"/>
  <c r="J24"/>
  <c r="K22"/>
  <c r="J22"/>
  <c r="K19"/>
  <c r="K20"/>
  <c r="J20"/>
  <c r="J19"/>
  <c r="K11"/>
  <c r="J11"/>
  <c r="F56" i="16"/>
  <c r="F55"/>
  <c r="F54"/>
  <c r="F53"/>
  <c r="F48"/>
  <c r="F46"/>
  <c r="F45"/>
  <c r="F44"/>
  <c r="F43"/>
  <c r="F42"/>
  <c r="F40"/>
  <c r="F39"/>
  <c r="F38"/>
  <c r="F36"/>
  <c r="F33"/>
  <c r="F32"/>
  <c r="F30"/>
  <c r="F29"/>
  <c r="F28"/>
  <c r="F24"/>
  <c r="F23"/>
  <c r="F22"/>
  <c r="F21"/>
  <c r="F20"/>
  <c r="F19"/>
  <c r="F18"/>
  <c r="F17"/>
  <c r="F16"/>
  <c r="F14"/>
  <c r="F13"/>
  <c r="F12"/>
  <c r="F11"/>
  <c r="F10"/>
  <c r="F9"/>
  <c r="F8"/>
  <c r="F7"/>
  <c r="F6"/>
  <c r="S25" i="20" l="1"/>
  <c r="W41"/>
  <c r="Q25"/>
  <c r="U25"/>
  <c r="U47"/>
  <c r="V41"/>
  <c r="X25"/>
  <c r="T25"/>
  <c r="O9"/>
  <c r="E57" i="16"/>
  <c r="E43"/>
  <c r="E27"/>
  <c r="E28"/>
  <c r="E32"/>
  <c r="E49"/>
  <c r="E48"/>
  <c r="E31"/>
  <c r="E30"/>
  <c r="E19"/>
  <c r="E17"/>
  <c r="E7"/>
  <c r="E14"/>
  <c r="E12" s="1"/>
  <c r="E15"/>
  <c r="D32"/>
  <c r="D30"/>
  <c r="D28" s="1"/>
  <c r="D14"/>
  <c r="D13"/>
  <c r="F50" i="18"/>
  <c r="F49"/>
  <c r="F46"/>
  <c r="F45"/>
  <c r="F44"/>
  <c r="F43"/>
  <c r="F42"/>
  <c r="F40"/>
  <c r="F39"/>
  <c r="F38"/>
  <c r="F37"/>
  <c r="F36"/>
  <c r="F35"/>
  <c r="F31"/>
  <c r="F30"/>
  <c r="F28"/>
  <c r="F26"/>
  <c r="F25"/>
  <c r="F20"/>
  <c r="F19"/>
  <c r="F18"/>
  <c r="F17"/>
  <c r="F16"/>
  <c r="F15"/>
  <c r="F12"/>
  <c r="F11"/>
  <c r="F10"/>
  <c r="F9"/>
  <c r="F8"/>
  <c r="F7"/>
  <c r="F6"/>
  <c r="F5"/>
  <c r="D26"/>
  <c r="D12"/>
  <c r="D37"/>
  <c r="D17"/>
  <c r="D15"/>
  <c r="D10"/>
  <c r="D6"/>
  <c r="E17"/>
  <c r="E15"/>
  <c r="E9"/>
  <c r="E6" s="1"/>
  <c r="E12"/>
  <c r="E13"/>
  <c r="E10" s="1"/>
  <c r="E53"/>
  <c r="E42"/>
  <c r="E26"/>
  <c r="E46"/>
  <c r="E27"/>
  <c r="E6" i="16" l="1"/>
  <c r="D27"/>
  <c r="F27" s="1"/>
  <c r="E5" i="18"/>
  <c r="D24"/>
  <c r="D23" s="1"/>
  <c r="D5"/>
  <c r="E32" i="10"/>
  <c r="E37"/>
  <c r="E43"/>
  <c r="E56"/>
  <c r="E35"/>
  <c r="E34"/>
  <c r="E18"/>
  <c r="E15"/>
  <c r="E14"/>
  <c r="E13" s="1"/>
  <c r="E25"/>
  <c r="E20" s="1"/>
  <c r="E16"/>
  <c r="E8"/>
  <c r="E7" s="1"/>
  <c r="D36"/>
  <c r="D43"/>
  <c r="D34"/>
  <c r="D15"/>
  <c r="D18"/>
  <c r="F49" i="7"/>
  <c r="F47"/>
  <c r="F46"/>
  <c r="F45"/>
  <c r="F44"/>
  <c r="F43"/>
  <c r="F40"/>
  <c r="F38"/>
  <c r="F36"/>
  <c r="F35"/>
  <c r="F34"/>
  <c r="F33"/>
  <c r="F32"/>
  <c r="F30"/>
  <c r="F29"/>
  <c r="F27"/>
  <c r="F26"/>
  <c r="F25"/>
  <c r="F24"/>
  <c r="F23"/>
  <c r="F22"/>
  <c r="F21"/>
  <c r="F20"/>
  <c r="F19"/>
  <c r="F18"/>
  <c r="F17"/>
  <c r="F16"/>
  <c r="F14"/>
  <c r="F13"/>
  <c r="F12"/>
  <c r="F11"/>
  <c r="F10"/>
  <c r="F9"/>
  <c r="F8"/>
  <c r="F7"/>
  <c r="E53"/>
  <c r="E41"/>
  <c r="E40"/>
  <c r="E36" s="1"/>
  <c r="E38"/>
  <c r="E27"/>
  <c r="E28"/>
  <c r="E21"/>
  <c r="E19" s="1"/>
  <c r="E8"/>
  <c r="E7" s="1"/>
  <c r="E14"/>
  <c r="E12" s="1"/>
  <c r="E15"/>
  <c r="D27"/>
  <c r="D25" s="1"/>
  <c r="D19"/>
  <c r="D7"/>
  <c r="E29"/>
  <c r="D29"/>
  <c r="D36"/>
  <c r="D14"/>
  <c r="D12" s="1"/>
  <c r="E57" i="17"/>
  <c r="E48"/>
  <c r="E45"/>
  <c r="E44"/>
  <c r="E33"/>
  <c r="E32"/>
  <c r="E19"/>
  <c r="E15"/>
  <c r="E16"/>
  <c r="D15"/>
  <c r="F56"/>
  <c r="F55"/>
  <c r="F54"/>
  <c r="F50"/>
  <c r="F49"/>
  <c r="F46"/>
  <c r="F45"/>
  <c r="F44"/>
  <c r="F43"/>
  <c r="F40"/>
  <c r="F39"/>
  <c r="F37"/>
  <c r="F36"/>
  <c r="F35"/>
  <c r="F31"/>
  <c r="F28"/>
  <c r="F27"/>
  <c r="F26"/>
  <c r="F25"/>
  <c r="F24"/>
  <c r="F23"/>
  <c r="F21"/>
  <c r="F17"/>
  <c r="F14"/>
  <c r="F12"/>
  <c r="F11"/>
  <c r="F10"/>
  <c r="F9"/>
  <c r="E56" i="13"/>
  <c r="E23" i="18" l="1"/>
  <c r="F23" s="1"/>
  <c r="F24"/>
  <c r="E47"/>
  <c r="D47"/>
  <c r="D24" i="7"/>
  <c r="E46" i="13"/>
  <c r="E44"/>
  <c r="E28"/>
  <c r="E31"/>
  <c r="E30" s="1"/>
  <c r="E29"/>
  <c r="E43"/>
  <c r="E40" s="1"/>
  <c r="E14"/>
  <c r="E17"/>
  <c r="E8"/>
  <c r="E7" s="1"/>
  <c r="E21"/>
  <c r="E22"/>
  <c r="F22" s="1"/>
  <c r="E15"/>
  <c r="E13"/>
  <c r="D56"/>
  <c r="F56" s="1"/>
  <c r="D28"/>
  <c r="D14"/>
  <c r="F55"/>
  <c r="F54"/>
  <c r="F53"/>
  <c r="F52"/>
  <c r="F48"/>
  <c r="F47"/>
  <c r="F46"/>
  <c r="F44"/>
  <c r="F43"/>
  <c r="F42"/>
  <c r="F41"/>
  <c r="F37"/>
  <c r="F35"/>
  <c r="F33"/>
  <c r="F32"/>
  <c r="F31"/>
  <c r="F27"/>
  <c r="F24"/>
  <c r="F23"/>
  <c r="F21"/>
  <c r="F20"/>
  <c r="F18"/>
  <c r="F16"/>
  <c r="F13"/>
  <c r="F11"/>
  <c r="F10"/>
  <c r="F9"/>
  <c r="F8"/>
  <c r="E24" i="14"/>
  <c r="E29"/>
  <c r="E16"/>
  <c r="E6"/>
  <c r="E9"/>
  <c r="E13"/>
  <c r="E15"/>
  <c r="F12"/>
  <c r="D11"/>
  <c r="D9"/>
  <c r="D12" i="15"/>
  <c r="F26" i="14"/>
  <c r="D21"/>
  <c r="D16" s="1"/>
  <c r="F29"/>
  <c r="F28"/>
  <c r="F27"/>
  <c r="F22"/>
  <c r="F19"/>
  <c r="F17"/>
  <c r="F11"/>
  <c r="F10"/>
  <c r="F36" i="15"/>
  <c r="F33"/>
  <c r="F32"/>
  <c r="F31"/>
  <c r="F30"/>
  <c r="F29"/>
  <c r="F28"/>
  <c r="F25"/>
  <c r="F23"/>
  <c r="F21"/>
  <c r="F18"/>
  <c r="F16"/>
  <c r="F15"/>
  <c r="F12"/>
  <c r="F11"/>
  <c r="F9"/>
  <c r="F8"/>
  <c r="E22"/>
  <c r="E20" s="1"/>
  <c r="E19" s="1"/>
  <c r="E24"/>
  <c r="E17"/>
  <c r="E10"/>
  <c r="E7"/>
  <c r="D13"/>
  <c r="I10" i="20"/>
  <c r="I11"/>
  <c r="I14"/>
  <c r="I16"/>
  <c r="H16"/>
  <c r="H14"/>
  <c r="H11"/>
  <c r="H10"/>
  <c r="E57" i="12"/>
  <c r="D26"/>
  <c r="D30"/>
  <c r="E30"/>
  <c r="E28"/>
  <c r="E26" s="1"/>
  <c r="E29"/>
  <c r="E14"/>
  <c r="E15"/>
  <c r="F47" i="18" l="1"/>
  <c r="E12" i="13"/>
  <c r="F14"/>
  <c r="F28"/>
  <c r="E19"/>
  <c r="E26"/>
  <c r="E25" s="1"/>
  <c r="F22" i="15"/>
  <c r="D57" i="12"/>
  <c r="F46"/>
  <c r="F44"/>
  <c r="F43"/>
  <c r="F42"/>
  <c r="F41"/>
  <c r="F40"/>
  <c r="F39"/>
  <c r="F38"/>
  <c r="F37"/>
  <c r="F36"/>
  <c r="F35"/>
  <c r="F34"/>
  <c r="F33"/>
  <c r="F32"/>
  <c r="F31"/>
  <c r="F29"/>
  <c r="F28"/>
  <c r="F27"/>
  <c r="F24"/>
  <c r="F23"/>
  <c r="F22"/>
  <c r="F21"/>
  <c r="F20"/>
  <c r="F18"/>
  <c r="F16"/>
  <c r="F15"/>
  <c r="F14"/>
  <c r="F13"/>
  <c r="F11"/>
  <c r="F10"/>
  <c r="F9"/>
  <c r="F8"/>
  <c r="E6" i="13" l="1"/>
  <c r="G80" i="20"/>
  <c r="F80"/>
  <c r="G79"/>
  <c r="F79"/>
  <c r="G78"/>
  <c r="F78"/>
  <c r="G77"/>
  <c r="F77"/>
  <c r="G76"/>
  <c r="F76"/>
  <c r="G45"/>
  <c r="F45"/>
  <c r="G46"/>
  <c r="F46"/>
  <c r="G58"/>
  <c r="G59"/>
  <c r="G64"/>
  <c r="G65"/>
  <c r="G67"/>
  <c r="F67"/>
  <c r="F65"/>
  <c r="F64"/>
  <c r="F59"/>
  <c r="F58"/>
  <c r="E56" i="11"/>
  <c r="G53" i="20"/>
  <c r="F53"/>
  <c r="G48"/>
  <c r="G49"/>
  <c r="G50"/>
  <c r="G52"/>
  <c r="G54"/>
  <c r="G56"/>
  <c r="F56"/>
  <c r="F54"/>
  <c r="F52"/>
  <c r="F50"/>
  <c r="F49"/>
  <c r="F48"/>
  <c r="G42"/>
  <c r="G43"/>
  <c r="G44"/>
  <c r="F44"/>
  <c r="F43"/>
  <c r="F42"/>
  <c r="G27"/>
  <c r="G28"/>
  <c r="G30"/>
  <c r="G31"/>
  <c r="G32"/>
  <c r="G33"/>
  <c r="G34"/>
  <c r="F34"/>
  <c r="F33"/>
  <c r="F32"/>
  <c r="F31"/>
  <c r="F30"/>
  <c r="F28"/>
  <c r="F27"/>
  <c r="F25" s="1"/>
  <c r="G22"/>
  <c r="F22"/>
  <c r="G19"/>
  <c r="G20"/>
  <c r="G21"/>
  <c r="F21"/>
  <c r="F20"/>
  <c r="F19"/>
  <c r="G10"/>
  <c r="G11"/>
  <c r="G14"/>
  <c r="G16"/>
  <c r="F16"/>
  <c r="F14"/>
  <c r="F11"/>
  <c r="F10"/>
  <c r="F54" i="11"/>
  <c r="F53"/>
  <c r="F49"/>
  <c r="F48"/>
  <c r="F47"/>
  <c r="F46"/>
  <c r="F45"/>
  <c r="F43"/>
  <c r="F42"/>
  <c r="F41"/>
  <c r="F40"/>
  <c r="F39"/>
  <c r="F38"/>
  <c r="F37"/>
  <c r="F35"/>
  <c r="F34"/>
  <c r="F33"/>
  <c r="F32"/>
  <c r="F31"/>
  <c r="F30"/>
  <c r="F25"/>
  <c r="F24"/>
  <c r="F23"/>
  <c r="F22"/>
  <c r="F21"/>
  <c r="F20"/>
  <c r="F19"/>
  <c r="F17"/>
  <c r="F16"/>
  <c r="F15"/>
  <c r="F14"/>
  <c r="F13"/>
  <c r="F11"/>
  <c r="F10"/>
  <c r="F9"/>
  <c r="F8"/>
  <c r="D44"/>
  <c r="G25" i="20" l="1"/>
  <c r="E21"/>
  <c r="W80"/>
  <c r="V80"/>
  <c r="O80"/>
  <c r="N80"/>
  <c r="M80"/>
  <c r="L80"/>
  <c r="I80"/>
  <c r="H80"/>
  <c r="W79"/>
  <c r="V79"/>
  <c r="O79"/>
  <c r="N79"/>
  <c r="M79"/>
  <c r="L79"/>
  <c r="I79"/>
  <c r="H79"/>
  <c r="Y78"/>
  <c r="X78"/>
  <c r="U78"/>
  <c r="O78"/>
  <c r="N78"/>
  <c r="M78"/>
  <c r="L78"/>
  <c r="W77"/>
  <c r="V77"/>
  <c r="M77"/>
  <c r="L77"/>
  <c r="I77"/>
  <c r="H77"/>
  <c r="D77" s="1"/>
  <c r="E77"/>
  <c r="H76"/>
  <c r="D73"/>
  <c r="T71"/>
  <c r="D71" s="1"/>
  <c r="E71"/>
  <c r="E70"/>
  <c r="T69"/>
  <c r="I69"/>
  <c r="H69"/>
  <c r="T68"/>
  <c r="I68"/>
  <c r="H68"/>
  <c r="T67"/>
  <c r="H67"/>
  <c r="E66"/>
  <c r="D66"/>
  <c r="L65"/>
  <c r="I65"/>
  <c r="H65"/>
  <c r="D63"/>
  <c r="E63"/>
  <c r="D62"/>
  <c r="E62"/>
  <c r="E61"/>
  <c r="H61"/>
  <c r="D61" s="1"/>
  <c r="H60"/>
  <c r="E60"/>
  <c r="T59"/>
  <c r="R57"/>
  <c r="P57"/>
  <c r="L59"/>
  <c r="K57"/>
  <c r="J57"/>
  <c r="H59"/>
  <c r="E59"/>
  <c r="E58"/>
  <c r="D58"/>
  <c r="Q57"/>
  <c r="M57"/>
  <c r="I57"/>
  <c r="V56"/>
  <c r="I56"/>
  <c r="H56"/>
  <c r="E55"/>
  <c r="N55"/>
  <c r="D55" s="1"/>
  <c r="W54"/>
  <c r="V54"/>
  <c r="I54"/>
  <c r="E54" s="1"/>
  <c r="H54"/>
  <c r="E53"/>
  <c r="W52"/>
  <c r="V52"/>
  <c r="I52"/>
  <c r="E52" s="1"/>
  <c r="H52"/>
  <c r="V51"/>
  <c r="H51"/>
  <c r="E51"/>
  <c r="W50"/>
  <c r="V50"/>
  <c r="I50"/>
  <c r="H50"/>
  <c r="V49"/>
  <c r="H49"/>
  <c r="E49"/>
  <c r="W48"/>
  <c r="W47" s="1"/>
  <c r="V48"/>
  <c r="V47" s="1"/>
  <c r="R47"/>
  <c r="Q47"/>
  <c r="P47"/>
  <c r="M48"/>
  <c r="L48"/>
  <c r="K47"/>
  <c r="J47"/>
  <c r="I48"/>
  <c r="H48"/>
  <c r="M47"/>
  <c r="L47"/>
  <c r="E46"/>
  <c r="D46"/>
  <c r="W45"/>
  <c r="W40" s="1"/>
  <c r="V45"/>
  <c r="M45"/>
  <c r="L45"/>
  <c r="I45"/>
  <c r="E45" s="1"/>
  <c r="H45"/>
  <c r="N44"/>
  <c r="H44"/>
  <c r="E44"/>
  <c r="N43"/>
  <c r="H43"/>
  <c r="E43"/>
  <c r="Y41"/>
  <c r="U41"/>
  <c r="S41"/>
  <c r="R41"/>
  <c r="Q41"/>
  <c r="O41"/>
  <c r="I41"/>
  <c r="H42"/>
  <c r="G41"/>
  <c r="E42"/>
  <c r="P41"/>
  <c r="M41"/>
  <c r="L41"/>
  <c r="K41"/>
  <c r="J41"/>
  <c r="F41"/>
  <c r="E36"/>
  <c r="V35"/>
  <c r="E35"/>
  <c r="W34"/>
  <c r="V34"/>
  <c r="I34"/>
  <c r="H34"/>
  <c r="I33"/>
  <c r="H33"/>
  <c r="E33"/>
  <c r="E32"/>
  <c r="D32"/>
  <c r="E31"/>
  <c r="E30"/>
  <c r="N30"/>
  <c r="W29"/>
  <c r="V29"/>
  <c r="D29" s="1"/>
  <c r="E29"/>
  <c r="W28"/>
  <c r="W25" s="1"/>
  <c r="V28"/>
  <c r="N28"/>
  <c r="I28"/>
  <c r="H28"/>
  <c r="E28"/>
  <c r="I27"/>
  <c r="I25" s="1"/>
  <c r="H27"/>
  <c r="E27"/>
  <c r="D27"/>
  <c r="V26"/>
  <c r="V25" s="1"/>
  <c r="H26"/>
  <c r="H25" s="1"/>
  <c r="E26"/>
  <c r="X23"/>
  <c r="W23"/>
  <c r="V24"/>
  <c r="V23" s="1"/>
  <c r="T23"/>
  <c r="P23"/>
  <c r="E24"/>
  <c r="E23" s="1"/>
  <c r="K23"/>
  <c r="J23"/>
  <c r="H24"/>
  <c r="Y23"/>
  <c r="U23"/>
  <c r="S23"/>
  <c r="R23"/>
  <c r="Q23"/>
  <c r="M23"/>
  <c r="L23"/>
  <c r="I23"/>
  <c r="G23"/>
  <c r="F23"/>
  <c r="E22"/>
  <c r="H22"/>
  <c r="V21"/>
  <c r="N21"/>
  <c r="H21"/>
  <c r="V20"/>
  <c r="N20"/>
  <c r="H20"/>
  <c r="E20"/>
  <c r="Y18"/>
  <c r="V19"/>
  <c r="V18" s="1"/>
  <c r="U18"/>
  <c r="Q18"/>
  <c r="P18"/>
  <c r="M18"/>
  <c r="I18"/>
  <c r="H19"/>
  <c r="E19"/>
  <c r="W18"/>
  <c r="S18"/>
  <c r="K18"/>
  <c r="G18"/>
  <c r="F18"/>
  <c r="E17"/>
  <c r="D17"/>
  <c r="T16"/>
  <c r="D16" s="1"/>
  <c r="E16"/>
  <c r="T15"/>
  <c r="E15"/>
  <c r="N15"/>
  <c r="T14"/>
  <c r="E14"/>
  <c r="E13"/>
  <c r="E12"/>
  <c r="T11"/>
  <c r="R9"/>
  <c r="P9"/>
  <c r="E11"/>
  <c r="I9"/>
  <c r="G9"/>
  <c r="F9"/>
  <c r="W9"/>
  <c r="Q9"/>
  <c r="M9"/>
  <c r="L9"/>
  <c r="K9"/>
  <c r="J9"/>
  <c r="V9" l="1"/>
  <c r="V8" s="1"/>
  <c r="Q40"/>
  <c r="Q39"/>
  <c r="S47"/>
  <c r="E72"/>
  <c r="Y47"/>
  <c r="Y9"/>
  <c r="Y8" s="1"/>
  <c r="E67"/>
  <c r="U57"/>
  <c r="T47"/>
  <c r="U9"/>
  <c r="T57"/>
  <c r="S57"/>
  <c r="S9"/>
  <c r="P40"/>
  <c r="O57"/>
  <c r="E69"/>
  <c r="E48"/>
  <c r="E50"/>
  <c r="E68"/>
  <c r="O47"/>
  <c r="D65"/>
  <c r="K40"/>
  <c r="H47"/>
  <c r="E10"/>
  <c r="E9" s="1"/>
  <c r="I47"/>
  <c r="H9"/>
  <c r="H18"/>
  <c r="D10"/>
  <c r="E34"/>
  <c r="E25" s="1"/>
  <c r="H41"/>
  <c r="D28"/>
  <c r="E56"/>
  <c r="D30"/>
  <c r="L18"/>
  <c r="L8" s="1"/>
  <c r="M39"/>
  <c r="M40"/>
  <c r="M8"/>
  <c r="J18"/>
  <c r="J8" s="1"/>
  <c r="P8"/>
  <c r="P39"/>
  <c r="H57"/>
  <c r="L57"/>
  <c r="L39" s="1"/>
  <c r="F8"/>
  <c r="D31"/>
  <c r="E65"/>
  <c r="H23"/>
  <c r="I8"/>
  <c r="K8"/>
  <c r="R18"/>
  <c r="R8" s="1"/>
  <c r="W8"/>
  <c r="Q8"/>
  <c r="E18"/>
  <c r="G8"/>
  <c r="J40"/>
  <c r="J39"/>
  <c r="R40"/>
  <c r="R39"/>
  <c r="V40"/>
  <c r="V39"/>
  <c r="T9"/>
  <c r="O39"/>
  <c r="W39"/>
  <c r="E41"/>
  <c r="I40"/>
  <c r="I39"/>
  <c r="U40"/>
  <c r="K39"/>
  <c r="D76"/>
  <c r="F47"/>
  <c r="F57"/>
  <c r="D35"/>
  <c r="G47"/>
  <c r="G57"/>
  <c r="U39" l="1"/>
  <c r="H40"/>
  <c r="S39"/>
  <c r="O40"/>
  <c r="S40"/>
  <c r="V74"/>
  <c r="V75" s="1"/>
  <c r="U8"/>
  <c r="U74" s="1"/>
  <c r="U75" s="1"/>
  <c r="S8"/>
  <c r="E47"/>
  <c r="M74"/>
  <c r="M75" s="1"/>
  <c r="H8"/>
  <c r="H39"/>
  <c r="P74"/>
  <c r="P75" s="1"/>
  <c r="L40"/>
  <c r="L74"/>
  <c r="L75" s="1"/>
  <c r="J74"/>
  <c r="J75" s="1"/>
  <c r="R74"/>
  <c r="R75" s="1"/>
  <c r="G40"/>
  <c r="K74"/>
  <c r="K75" s="1"/>
  <c r="W74"/>
  <c r="I74"/>
  <c r="Q74"/>
  <c r="Q75" s="1"/>
  <c r="E8"/>
  <c r="G39"/>
  <c r="G74" s="1"/>
  <c r="F40"/>
  <c r="F39"/>
  <c r="F74" s="1"/>
  <c r="W75" l="1"/>
  <c r="S74"/>
  <c r="S75" s="1"/>
  <c r="H74"/>
  <c r="H75" s="1"/>
  <c r="G75"/>
  <c r="F75"/>
  <c r="E42" i="17" l="1"/>
  <c r="D42"/>
  <c r="E34"/>
  <c r="D34"/>
  <c r="D30"/>
  <c r="E20"/>
  <c r="F20" s="1"/>
  <c r="D18"/>
  <c r="F15"/>
  <c r="D13"/>
  <c r="E8"/>
  <c r="D8"/>
  <c r="D29" l="1"/>
  <c r="E18"/>
  <c r="F18" s="1"/>
  <c r="F19"/>
  <c r="E30"/>
  <c r="F30" s="1"/>
  <c r="F32"/>
  <c r="F8"/>
  <c r="F34"/>
  <c r="F42"/>
  <c r="D7"/>
  <c r="E13"/>
  <c r="D51" l="1"/>
  <c r="E7"/>
  <c r="F7" s="1"/>
  <c r="E29"/>
  <c r="F29" s="1"/>
  <c r="F13"/>
  <c r="X79" i="20"/>
  <c r="D79" s="1"/>
  <c r="Y79"/>
  <c r="D72"/>
  <c r="D64"/>
  <c r="D70"/>
  <c r="D33"/>
  <c r="D17" i="16"/>
  <c r="D15" i="20"/>
  <c r="E35" i="15"/>
  <c r="F35" s="1"/>
  <c r="D24"/>
  <c r="F24" s="1"/>
  <c r="D17"/>
  <c r="F17" s="1"/>
  <c r="E13"/>
  <c r="D10"/>
  <c r="F10" s="1"/>
  <c r="D7"/>
  <c r="F25" i="14"/>
  <c r="D15"/>
  <c r="E21"/>
  <c r="F18"/>
  <c r="D13"/>
  <c r="X18" i="20" l="1"/>
  <c r="X41"/>
  <c r="X47"/>
  <c r="Y57"/>
  <c r="E64"/>
  <c r="E57" s="1"/>
  <c r="D13"/>
  <c r="X9"/>
  <c r="X57"/>
  <c r="D59"/>
  <c r="E51" i="17"/>
  <c r="E52" s="1"/>
  <c r="D53"/>
  <c r="F53" s="1"/>
  <c r="F51"/>
  <c r="D6" i="15"/>
  <c r="F7"/>
  <c r="E6"/>
  <c r="F6" s="1"/>
  <c r="F13"/>
  <c r="E26"/>
  <c r="F21" i="14"/>
  <c r="F9"/>
  <c r="D20" i="15"/>
  <c r="E34"/>
  <c r="E79" i="20"/>
  <c r="F16" i="14"/>
  <c r="D19" i="16"/>
  <c r="D6" i="14"/>
  <c r="D23" s="1"/>
  <c r="D24" s="1"/>
  <c r="D7" i="16"/>
  <c r="D12"/>
  <c r="X8" i="20" l="1"/>
  <c r="X40"/>
  <c r="X39"/>
  <c r="Y40"/>
  <c r="Y39"/>
  <c r="Y74" s="1"/>
  <c r="Y75" s="1"/>
  <c r="E40"/>
  <c r="E39"/>
  <c r="E78"/>
  <c r="F34" i="15"/>
  <c r="D19"/>
  <c r="F19" s="1"/>
  <c r="F20"/>
  <c r="F6" i="14"/>
  <c r="D26" i="15"/>
  <c r="D27" s="1"/>
  <c r="F15" i="14"/>
  <c r="E51" i="16"/>
  <c r="D6"/>
  <c r="D51" s="1"/>
  <c r="F51" l="1"/>
  <c r="X74" i="20"/>
  <c r="X75" s="1"/>
  <c r="D52" i="16"/>
  <c r="F26" i="15"/>
  <c r="E52" i="16"/>
  <c r="E23" i="14"/>
  <c r="E27" i="15"/>
  <c r="F27" s="1"/>
  <c r="D68" i="20"/>
  <c r="N36"/>
  <c r="D36" s="1"/>
  <c r="N34"/>
  <c r="D34" s="1"/>
  <c r="O23"/>
  <c r="O8" s="1"/>
  <c r="O74" s="1"/>
  <c r="N14" l="1"/>
  <c r="D14" s="1"/>
  <c r="N12"/>
  <c r="N19"/>
  <c r="N18" s="1"/>
  <c r="O75"/>
  <c r="E74"/>
  <c r="N56"/>
  <c r="D56" s="1"/>
  <c r="N50"/>
  <c r="D50" s="1"/>
  <c r="N54"/>
  <c r="D54" s="1"/>
  <c r="N52"/>
  <c r="D52" s="1"/>
  <c r="D45"/>
  <c r="N11"/>
  <c r="N22"/>
  <c r="D22" s="1"/>
  <c r="N24"/>
  <c r="D24" s="1"/>
  <c r="D23" s="1"/>
  <c r="N26"/>
  <c r="N25" s="1"/>
  <c r="N42"/>
  <c r="N48"/>
  <c r="N49"/>
  <c r="D49" s="1"/>
  <c r="N53"/>
  <c r="D53" s="1"/>
  <c r="N51"/>
  <c r="D51" s="1"/>
  <c r="D69"/>
  <c r="D60"/>
  <c r="D67"/>
  <c r="F23" i="14"/>
  <c r="D17" i="13"/>
  <c r="F17" s="1"/>
  <c r="D26"/>
  <c r="F26" s="1"/>
  <c r="D12"/>
  <c r="F12" s="1"/>
  <c r="D19"/>
  <c r="F19" s="1"/>
  <c r="D30"/>
  <c r="F30" s="1"/>
  <c r="D40"/>
  <c r="F40" s="1"/>
  <c r="D7"/>
  <c r="F7" s="1"/>
  <c r="D51" i="12"/>
  <c r="F51" s="1"/>
  <c r="D50"/>
  <c r="F50" s="1"/>
  <c r="E49"/>
  <c r="F49" s="1"/>
  <c r="D49"/>
  <c r="E19"/>
  <c r="D19"/>
  <c r="E17"/>
  <c r="F17" s="1"/>
  <c r="D17"/>
  <c r="E12"/>
  <c r="D12"/>
  <c r="E7"/>
  <c r="F7" s="1"/>
  <c r="D7"/>
  <c r="D6"/>
  <c r="D11" i="20" l="1"/>
  <c r="N9"/>
  <c r="F12" i="12"/>
  <c r="N57" i="20"/>
  <c r="N23"/>
  <c r="N47"/>
  <c r="D48"/>
  <c r="D47" s="1"/>
  <c r="N41"/>
  <c r="D26"/>
  <c r="D25" s="1"/>
  <c r="D12"/>
  <c r="D57"/>
  <c r="F19" i="12"/>
  <c r="F30"/>
  <c r="E25"/>
  <c r="F26"/>
  <c r="E6"/>
  <c r="E50" i="13"/>
  <c r="E51" s="1"/>
  <c r="D25"/>
  <c r="F25" s="1"/>
  <c r="D6"/>
  <c r="F6" s="1"/>
  <c r="N8" i="20" l="1"/>
  <c r="D9"/>
  <c r="N39"/>
  <c r="N40"/>
  <c r="D25" i="12"/>
  <c r="D47" s="1"/>
  <c r="I76" i="20"/>
  <c r="E47" i="12"/>
  <c r="E48" s="1"/>
  <c r="F6"/>
  <c r="D50" i="13"/>
  <c r="D51" l="1"/>
  <c r="F51" s="1"/>
  <c r="F50"/>
  <c r="N74" i="20"/>
  <c r="F25" i="12"/>
  <c r="E52"/>
  <c r="E76" i="20"/>
  <c r="I75"/>
  <c r="E75" s="1"/>
  <c r="D52" i="12"/>
  <c r="D48"/>
  <c r="F48" s="1"/>
  <c r="D7" i="11"/>
  <c r="N75" i="20" l="1"/>
  <c r="E55" i="11"/>
  <c r="F52"/>
  <c r="E44"/>
  <c r="F44" s="1"/>
  <c r="E36"/>
  <c r="E29"/>
  <c r="E18"/>
  <c r="E12"/>
  <c r="E7"/>
  <c r="F7" l="1"/>
  <c r="E6"/>
  <c r="E27"/>
  <c r="E26" s="1"/>
  <c r="D55"/>
  <c r="F55" s="1"/>
  <c r="F56"/>
  <c r="E50" l="1"/>
  <c r="D29"/>
  <c r="D12"/>
  <c r="F12" s="1"/>
  <c r="D36"/>
  <c r="F36" s="1"/>
  <c r="F29" l="1"/>
  <c r="D27"/>
  <c r="E51"/>
  <c r="D18"/>
  <c r="D26" l="1"/>
  <c r="F26" s="1"/>
  <c r="F27"/>
  <c r="D6"/>
  <c r="F6" s="1"/>
  <c r="F18"/>
  <c r="D50" l="1"/>
  <c r="D51" s="1"/>
  <c r="E59" i="10"/>
  <c r="E28"/>
  <c r="D20"/>
  <c r="D20" i="20"/>
  <c r="D7" i="10"/>
  <c r="D43" i="20" l="1"/>
  <c r="D21"/>
  <c r="D44"/>
  <c r="F50" i="11"/>
  <c r="D13" i="10"/>
  <c r="D6" s="1"/>
  <c r="E31"/>
  <c r="D32"/>
  <c r="D31" s="1"/>
  <c r="T41" i="20" l="1"/>
  <c r="D42"/>
  <c r="D41" s="1"/>
  <c r="T18"/>
  <c r="T8" s="1"/>
  <c r="D19"/>
  <c r="D18" s="1"/>
  <c r="D8" s="1"/>
  <c r="E6" i="10"/>
  <c r="E57" s="1"/>
  <c r="E58" s="1"/>
  <c r="D57"/>
  <c r="D58" s="1"/>
  <c r="T40" i="20" l="1"/>
  <c r="T39"/>
  <c r="T74" s="1"/>
  <c r="D40"/>
  <c r="D39"/>
  <c r="E25" i="7"/>
  <c r="E24" s="1"/>
  <c r="E17"/>
  <c r="E6" s="1"/>
  <c r="D17"/>
  <c r="D6" s="1"/>
  <c r="T75" i="20" l="1"/>
  <c r="D75" s="1"/>
  <c r="D74"/>
  <c r="F6" i="7"/>
  <c r="D47"/>
  <c r="D48" s="1"/>
  <c r="E47" l="1"/>
</calcChain>
</file>

<file path=xl/sharedStrings.xml><?xml version="1.0" encoding="utf-8"?>
<sst xmlns="http://schemas.openxmlformats.org/spreadsheetml/2006/main" count="1811" uniqueCount="474">
  <si>
    <t>№ п/п</t>
  </si>
  <si>
    <t>I</t>
  </si>
  <si>
    <t>тыс.тенге</t>
  </si>
  <si>
    <t>1.1</t>
  </si>
  <si>
    <t>1.2</t>
  </si>
  <si>
    <t>ГСМ</t>
  </si>
  <si>
    <t>1.3</t>
  </si>
  <si>
    <t>1.4</t>
  </si>
  <si>
    <t>1.5</t>
  </si>
  <si>
    <t>2.1</t>
  </si>
  <si>
    <t>2.2</t>
  </si>
  <si>
    <t>2.3</t>
  </si>
  <si>
    <t>4.1</t>
  </si>
  <si>
    <t>5.1</t>
  </si>
  <si>
    <t>5.2</t>
  </si>
  <si>
    <t>5.4</t>
  </si>
  <si>
    <t>Плата за пользование водными ресурсами</t>
  </si>
  <si>
    <t>5.6</t>
  </si>
  <si>
    <t>5.7</t>
  </si>
  <si>
    <t>5.8</t>
  </si>
  <si>
    <t>5.11</t>
  </si>
  <si>
    <t>6.1</t>
  </si>
  <si>
    <t>6.2</t>
  </si>
  <si>
    <t>6.3</t>
  </si>
  <si>
    <t>6.4</t>
  </si>
  <si>
    <t>Коммунальные услуги</t>
  </si>
  <si>
    <t>III</t>
  </si>
  <si>
    <t>Всего затрат</t>
  </si>
  <si>
    <t>IV</t>
  </si>
  <si>
    <t>V</t>
  </si>
  <si>
    <t>Всего доходов</t>
  </si>
  <si>
    <t>VI</t>
  </si>
  <si>
    <t>Объем оказываемых услуг</t>
  </si>
  <si>
    <t>VII</t>
  </si>
  <si>
    <t>2.4</t>
  </si>
  <si>
    <t>налог на имущество</t>
  </si>
  <si>
    <t>I.</t>
  </si>
  <si>
    <t>Затраты на производство товаров и предоставление регулируемых услуг, всего</t>
  </si>
  <si>
    <t>тыс. тенге</t>
  </si>
  <si>
    <t>1.</t>
  </si>
  <si>
    <t>Материальные затраты, всего</t>
  </si>
  <si>
    <t>сырье и материалы</t>
  </si>
  <si>
    <t>запасные части</t>
  </si>
  <si>
    <t>электроэнергия</t>
  </si>
  <si>
    <t>Затраты на оплату труда, всего</t>
  </si>
  <si>
    <t>в том числе: заработная плата</t>
  </si>
  <si>
    <t>социальный налог</t>
  </si>
  <si>
    <t>соц. отчисления</t>
  </si>
  <si>
    <t>Амортизация основных средств и нематериальных активов</t>
  </si>
  <si>
    <t>Ремонт, всего, в том числе</t>
  </si>
  <si>
    <t>Прочие затраты, всего</t>
  </si>
  <si>
    <t>услуги связи</t>
  </si>
  <si>
    <t>аттестация гидропостов</t>
  </si>
  <si>
    <t>5.3</t>
  </si>
  <si>
    <t>Плата за загрязнение окружающей среды</t>
  </si>
  <si>
    <t>5.5</t>
  </si>
  <si>
    <t>Услуги стороних организаций и привлеченных лиц</t>
  </si>
  <si>
    <t xml:space="preserve">тыс. тенге </t>
  </si>
  <si>
    <t>II.</t>
  </si>
  <si>
    <t>Расход периода, всего</t>
  </si>
  <si>
    <t>6</t>
  </si>
  <si>
    <t>Общие административные расходы, всего, в т.ч.:</t>
  </si>
  <si>
    <t>6.1.1</t>
  </si>
  <si>
    <t>6.1.2</t>
  </si>
  <si>
    <t>6.1.3</t>
  </si>
  <si>
    <t>Периодическая печать, публикации в СМИ</t>
  </si>
  <si>
    <t>Налоговые платежи и сборы всего, в том числе</t>
  </si>
  <si>
    <t>6.4.1</t>
  </si>
  <si>
    <t>6.4.2</t>
  </si>
  <si>
    <t>6.4.3</t>
  </si>
  <si>
    <t>6.4.4</t>
  </si>
  <si>
    <t>6.4.5</t>
  </si>
  <si>
    <t>6.4.6</t>
  </si>
  <si>
    <t>Другие всего, в том числе</t>
  </si>
  <si>
    <t>услуги банка</t>
  </si>
  <si>
    <t>услуги сторонних организаций</t>
  </si>
  <si>
    <t>канцелярские товары</t>
  </si>
  <si>
    <t>Прибыль+  (убыток - )</t>
  </si>
  <si>
    <t>нормативные потери</t>
  </si>
  <si>
    <t>%</t>
  </si>
  <si>
    <t>Тариф (без НДС)</t>
  </si>
  <si>
    <t>Наименование показателей</t>
  </si>
  <si>
    <t>в том числе по производственным участкам</t>
  </si>
  <si>
    <t>Панфиловский</t>
  </si>
  <si>
    <t>Каратальский</t>
  </si>
  <si>
    <t>Алмалы, Ащыбулак</t>
  </si>
  <si>
    <t>Акешки</t>
  </si>
  <si>
    <t>Аксуский</t>
  </si>
  <si>
    <t>Алакольский</t>
  </si>
  <si>
    <t>Коксуский</t>
  </si>
  <si>
    <t>Ескельдинский</t>
  </si>
  <si>
    <t>Талдыкорганский</t>
  </si>
  <si>
    <t>Уйгурский</t>
  </si>
  <si>
    <t>ВСЕГО подача воды по каналам:</t>
  </si>
  <si>
    <t>6.4.7</t>
  </si>
  <si>
    <t>6.4.8</t>
  </si>
  <si>
    <t>6.4.9</t>
  </si>
  <si>
    <t>Возмещение налога на имущество</t>
  </si>
  <si>
    <t xml:space="preserve">Возмещение земельного налога </t>
  </si>
  <si>
    <t>Возмещение транспортного налога</t>
  </si>
  <si>
    <t>1.7</t>
  </si>
  <si>
    <t>1.8</t>
  </si>
  <si>
    <t>поставка тепловой энергии</t>
  </si>
  <si>
    <t>Затраты на производство товаров и предоставление услуг, всего, в т. ч.:</t>
  </si>
  <si>
    <t>Материальные затраты, 
всего, в т.ч.:</t>
  </si>
  <si>
    <t xml:space="preserve">ГСМ </t>
  </si>
  <si>
    <t xml:space="preserve">Топливо </t>
  </si>
  <si>
    <t xml:space="preserve">Покупная энергия </t>
  </si>
  <si>
    <t>Запчасти</t>
  </si>
  <si>
    <t>Расходы на оплату труда, всего, в т. ч.:</t>
  </si>
  <si>
    <t xml:space="preserve">Заработная плата производственного персонала </t>
  </si>
  <si>
    <t>Амортизация</t>
  </si>
  <si>
    <t>Ремонт, всего, в т. ч.:</t>
  </si>
  <si>
    <t xml:space="preserve">Текущий  ремонт, не приводящий к увеличению стоимости основных фондов </t>
  </si>
  <si>
    <t>5</t>
  </si>
  <si>
    <t>Прочие затраты</t>
  </si>
  <si>
    <t xml:space="preserve">тыс. тенге 
</t>
  </si>
  <si>
    <t>Тарировка измерительных приборов</t>
  </si>
  <si>
    <t>ТБ и ОТ</t>
  </si>
  <si>
    <t>Аттестация гидропостов</t>
  </si>
  <si>
    <t>Услуги сторонних организаций</t>
  </si>
  <si>
    <t>Ремонт и обслуживание транспорта</t>
  </si>
  <si>
    <t>Услуги по предоставлению гидрометеорологической информации</t>
  </si>
  <si>
    <t>II</t>
  </si>
  <si>
    <t xml:space="preserve">Расходы периода, всего, в т.ч. </t>
  </si>
  <si>
    <t>Заработная плата АУП</t>
  </si>
  <si>
    <t>Прочие затраты, всего в том числе:</t>
  </si>
  <si>
    <t>7.1</t>
  </si>
  <si>
    <t>Командировочные расходы</t>
  </si>
  <si>
    <t>7.2</t>
  </si>
  <si>
    <t>7.3</t>
  </si>
  <si>
    <t>Канцелярские товары</t>
  </si>
  <si>
    <t>7.4</t>
  </si>
  <si>
    <t>Расходы на содержания и обслуживания компьютерный техники</t>
  </si>
  <si>
    <t>7.5</t>
  </si>
  <si>
    <t>Плата за эмиссии в окружающую среду</t>
  </si>
  <si>
    <t>7.6</t>
  </si>
  <si>
    <t>Налог на имущество</t>
  </si>
  <si>
    <t>7.7</t>
  </si>
  <si>
    <t>Возмещение затрат по имущественному налогу</t>
  </si>
  <si>
    <t>7.8</t>
  </si>
  <si>
    <t>Возмещение затрат по земельному налогу</t>
  </si>
  <si>
    <t>7.9</t>
  </si>
  <si>
    <t>Возмещение затрат по транспортному налогу</t>
  </si>
  <si>
    <t>7.10</t>
  </si>
  <si>
    <t>Возмещения по услугам связи</t>
  </si>
  <si>
    <t>7.11</t>
  </si>
  <si>
    <t>7.12</t>
  </si>
  <si>
    <t>Публикация в СМИ и подписка на газету</t>
  </si>
  <si>
    <t>7.13</t>
  </si>
  <si>
    <t>7.14</t>
  </si>
  <si>
    <t>Услуги связи</t>
  </si>
  <si>
    <t>7.15</t>
  </si>
  <si>
    <t>Услуги банка</t>
  </si>
  <si>
    <t>7.17</t>
  </si>
  <si>
    <t>7.18</t>
  </si>
  <si>
    <t>Подготовка и формление исх.докум.</t>
  </si>
  <si>
    <t>Госпошлина</t>
  </si>
  <si>
    <t>Услуги нотариуса</t>
  </si>
  <si>
    <t>Разработка методики</t>
  </si>
  <si>
    <t xml:space="preserve">III </t>
  </si>
  <si>
    <t xml:space="preserve">Всего затрат на предоставление услуг </t>
  </si>
  <si>
    <t>Прибыль/Убыток</t>
  </si>
  <si>
    <t>Доход (без НДС)</t>
  </si>
  <si>
    <t xml:space="preserve">Объем оказываемых услуг
(товаров, работ) </t>
  </si>
  <si>
    <t>тыс.м3</t>
  </si>
  <si>
    <t>Нормативные технические потери</t>
  </si>
  <si>
    <t>VIII</t>
  </si>
  <si>
    <t>8.1</t>
  </si>
  <si>
    <t>8.2</t>
  </si>
  <si>
    <t>Отопление (уголь)</t>
  </si>
  <si>
    <t xml:space="preserve">Возмещение затрат по электроэнергии </t>
  </si>
  <si>
    <t>Электроэнергия</t>
  </si>
  <si>
    <t>Социальный налог и отчисления</t>
  </si>
  <si>
    <t>Обязательное медицинское страхование</t>
  </si>
  <si>
    <t xml:space="preserve">Возмещение затрат по услугам связи </t>
  </si>
  <si>
    <t>Аренда автотранспорта</t>
  </si>
  <si>
    <t>Поверка средств измерений (тахеометра, гидрометрических вертушек)</t>
  </si>
  <si>
    <t>Общие и административные расходы, всего : в том числе:</t>
  </si>
  <si>
    <t>Социальный налог и отчисление</t>
  </si>
  <si>
    <t>7</t>
  </si>
  <si>
    <t>Налоговые платежи и сборы , всего , в том числе:</t>
  </si>
  <si>
    <t xml:space="preserve">Возмещение затрат по транспортному налогу </t>
  </si>
  <si>
    <t>8.3</t>
  </si>
  <si>
    <t>Хозтовры</t>
  </si>
  <si>
    <t>8.4</t>
  </si>
  <si>
    <t>8.5</t>
  </si>
  <si>
    <t>Публикация в СМИ</t>
  </si>
  <si>
    <t>8.6</t>
  </si>
  <si>
    <t>Расходы содержание и обслуживание компьтерной техники</t>
  </si>
  <si>
    <t>Изготовление печати и штампа</t>
  </si>
  <si>
    <t>7.16</t>
  </si>
  <si>
    <t>8.7</t>
  </si>
  <si>
    <t>Технический осмотр автотранспорта</t>
  </si>
  <si>
    <t>8.8</t>
  </si>
  <si>
    <t>Страхования автотранспорта</t>
  </si>
  <si>
    <t>8.10</t>
  </si>
  <si>
    <t>8.11</t>
  </si>
  <si>
    <t xml:space="preserve">Всего доходов </t>
  </si>
  <si>
    <t>0,41/0,438/0,439</t>
  </si>
  <si>
    <t>Сырье и строительные материалы</t>
  </si>
  <si>
    <t>Запасные части</t>
  </si>
  <si>
    <t>Возмещение затрат на электроэнергию</t>
  </si>
  <si>
    <t>Обязательства по отчислениям на соц.медицинское страхование</t>
  </si>
  <si>
    <t>Возмещение затрат на услуги связи</t>
  </si>
  <si>
    <t>4.2</t>
  </si>
  <si>
    <t>4.3</t>
  </si>
  <si>
    <t>Командировочные</t>
  </si>
  <si>
    <t>4.4</t>
  </si>
  <si>
    <t>Страхование автомашин</t>
  </si>
  <si>
    <t>4.5</t>
  </si>
  <si>
    <t>Технический осмотр</t>
  </si>
  <si>
    <t>4.6</t>
  </si>
  <si>
    <t>4.7</t>
  </si>
  <si>
    <t>Услуги стороних организаций и привлеченных лиц по производству</t>
  </si>
  <si>
    <t>Охрана труда и тех. безопасности, противопожарные расходы</t>
  </si>
  <si>
    <t>Общие административные расходы, всего</t>
  </si>
  <si>
    <t>в том числе:</t>
  </si>
  <si>
    <t>5.1.1</t>
  </si>
  <si>
    <t>5.1.2</t>
  </si>
  <si>
    <t>Социальный налог</t>
  </si>
  <si>
    <t>5.1.3</t>
  </si>
  <si>
    <t>Социальные отчисления</t>
  </si>
  <si>
    <t>5.1.4</t>
  </si>
  <si>
    <t>Возмещение затрат на коммунальные услуги</t>
  </si>
  <si>
    <t>5.4.1</t>
  </si>
  <si>
    <t>5.4.2</t>
  </si>
  <si>
    <t>5.4.3</t>
  </si>
  <si>
    <t>Транспортный налог</t>
  </si>
  <si>
    <t>5.4.4</t>
  </si>
  <si>
    <t>Имущественный налог</t>
  </si>
  <si>
    <t>5.4.5</t>
  </si>
  <si>
    <t>5.4.6</t>
  </si>
  <si>
    <t>5.4.7</t>
  </si>
  <si>
    <t>5.5.1</t>
  </si>
  <si>
    <t>Подготовка кадров</t>
  </si>
  <si>
    <t>5.5.2</t>
  </si>
  <si>
    <t>5.5.3</t>
  </si>
  <si>
    <t xml:space="preserve">Услуги стороних организаций 
и привлеченных лиц </t>
  </si>
  <si>
    <t>5.5.4</t>
  </si>
  <si>
    <t>Обслуживание и содержание оргтехники</t>
  </si>
  <si>
    <t>5.5.5</t>
  </si>
  <si>
    <t>Прибыль+  ( убыток - )</t>
  </si>
  <si>
    <t>Тариф (без НДС в затратах)</t>
  </si>
  <si>
    <t>Единица измерения</t>
  </si>
  <si>
    <t>Затраты на производство товаров и предоставление услуг, всего в том числе</t>
  </si>
  <si>
    <t>Материальные затраты, всего в том числе</t>
  </si>
  <si>
    <t>Расходы  на оплату труда, всего в том числе</t>
  </si>
  <si>
    <t>заработная плата производственного персонала</t>
  </si>
  <si>
    <t>4</t>
  </si>
  <si>
    <t>Прочие затраты, всего.в т.ч.</t>
  </si>
  <si>
    <t>Расходы периода, всего, в том числе</t>
  </si>
  <si>
    <t>Общие и административные расходы, всего в том числе</t>
  </si>
  <si>
    <t>плата за пользование водными ресурсами</t>
  </si>
  <si>
    <t>возмещение налога на имущество</t>
  </si>
  <si>
    <t>возмещение налога на транспорт</t>
  </si>
  <si>
    <t>технический осмотр автотранспорта</t>
  </si>
  <si>
    <t>Холодное водоснабжение</t>
  </si>
  <si>
    <t>Расходы на проезд</t>
  </si>
  <si>
    <t>Всего затрат на предоставление услуг</t>
  </si>
  <si>
    <t>Сумма не возмещенного СЕМ дохода</t>
  </si>
  <si>
    <t>Доход за минусом уже возмещенного СЕМ дохода</t>
  </si>
  <si>
    <t xml:space="preserve">тыс.м3 </t>
  </si>
  <si>
    <t>Нормативные потери</t>
  </si>
  <si>
    <t>тенге/м3</t>
  </si>
  <si>
    <t>Затраты на производство товаров и предоставление услуг, всего, в т.ч.:</t>
  </si>
  <si>
    <t>Материальные затраты, всего, в т.ч.:</t>
  </si>
  <si>
    <t xml:space="preserve">Текущий ремонт, не приводящий к увеличению стоимости основных фондов </t>
  </si>
  <si>
    <t>охрана труда и техника безопасности</t>
  </si>
  <si>
    <t xml:space="preserve">Расходы периода 
всего, в т.ч. </t>
  </si>
  <si>
    <t>Общие и административные, всего</t>
  </si>
  <si>
    <t>Заработная плата административного персонала</t>
  </si>
  <si>
    <t>Налоговые платежи и сборы, всего, в том числе:</t>
  </si>
  <si>
    <t>Возмещение имущественного налога</t>
  </si>
  <si>
    <t>земельный налог</t>
  </si>
  <si>
    <t>Возмещение земельного налога</t>
  </si>
  <si>
    <t>Возмещение налогов</t>
  </si>
  <si>
    <t>8</t>
  </si>
  <si>
    <t>Возмещение затрат банковских услуг</t>
  </si>
  <si>
    <t>8.9</t>
  </si>
  <si>
    <t>Гос регистрация</t>
  </si>
  <si>
    <t xml:space="preserve">Всего затрат на 
предоставление услуг </t>
  </si>
  <si>
    <t>Прибыль (убыток)</t>
  </si>
  <si>
    <t>Объем оказываемых услуг (товаров, работ):</t>
  </si>
  <si>
    <t xml:space="preserve">VIII </t>
  </si>
  <si>
    <t xml:space="preserve">Нормативные технические потери </t>
  </si>
  <si>
    <t xml:space="preserve">% </t>
  </si>
  <si>
    <t>IX</t>
  </si>
  <si>
    <t xml:space="preserve">Тариф </t>
  </si>
  <si>
    <t>Затраты на производство товаров и предоставление услуг, всего, в том числе</t>
  </si>
  <si>
    <t>Материальные затраты, всего, в том числе</t>
  </si>
  <si>
    <t>Затраты на оплату труда, всего 
в том числе</t>
  </si>
  <si>
    <t>Прочие затраты, всего, в том числе</t>
  </si>
  <si>
    <t>Расходы периода, всего</t>
  </si>
  <si>
    <t>Налоговые платежи и сборы</t>
  </si>
  <si>
    <t>Затраты на оплату труда, всего, в том числе</t>
  </si>
  <si>
    <t>3.1</t>
  </si>
  <si>
    <t>3.2</t>
  </si>
  <si>
    <t>Ремонт, всего в том числе</t>
  </si>
  <si>
    <t>Общие и административные расходы, всего,
в том числе</t>
  </si>
  <si>
    <t>Налоговые платежи</t>
  </si>
  <si>
    <t>Директор</t>
  </si>
  <si>
    <t>Затраты на производство товаров и предоставление услуг, всего:</t>
  </si>
  <si>
    <t>Материальные затраты, всего, в том числе:</t>
  </si>
  <si>
    <t>Затраты на оплату труда, всего, в том числе:</t>
  </si>
  <si>
    <t>Отчисления ОСМС</t>
  </si>
  <si>
    <t>Прочие затраты, всего, в том числе:</t>
  </si>
  <si>
    <t>Расходы  на таррировку вертушек</t>
  </si>
  <si>
    <t>ты.тенге</t>
  </si>
  <si>
    <t>тыс тенге</t>
  </si>
  <si>
    <t>Возмещение затрат по услугам связи</t>
  </si>
  <si>
    <t>Расходы периода</t>
  </si>
  <si>
    <t>Общие и административные, всего в том числе:</t>
  </si>
  <si>
    <t xml:space="preserve">Налоговые платежи и сборы, всего </t>
  </si>
  <si>
    <t>6.5.1</t>
  </si>
  <si>
    <t>6.5.2</t>
  </si>
  <si>
    <t>6.5.3</t>
  </si>
  <si>
    <t>6.5.4</t>
  </si>
  <si>
    <t>6.5.5</t>
  </si>
  <si>
    <t>6.5.6</t>
  </si>
  <si>
    <t>Гос.регистрация</t>
  </si>
  <si>
    <r>
      <t>тыс.м</t>
    </r>
    <r>
      <rPr>
        <b/>
        <vertAlign val="superscript"/>
        <sz val="10"/>
        <color theme="1"/>
        <rFont val="Times New Roman"/>
        <family val="1"/>
        <charset val="204"/>
      </rPr>
      <t>3</t>
    </r>
  </si>
  <si>
    <t>Нормативно-технические потери</t>
  </si>
  <si>
    <t>Тариф (с НДС)</t>
  </si>
  <si>
    <r>
      <t>тенге\м</t>
    </r>
    <r>
      <rPr>
        <b/>
        <vertAlign val="superscript"/>
        <sz val="10"/>
        <color theme="1"/>
        <rFont val="Times New Roman"/>
        <family val="1"/>
        <charset val="204"/>
      </rPr>
      <t>3</t>
    </r>
  </si>
  <si>
    <t xml:space="preserve">Затраты на производство товаров и предоставление услуг, всего, в т. ч. </t>
  </si>
  <si>
    <t>Материальные затраты, всего, в т.ч.</t>
  </si>
  <si>
    <t xml:space="preserve">Расходы на оплату труда, всего, в т. ч. </t>
  </si>
  <si>
    <t>Ремонт, всего, в т. ч.</t>
  </si>
  <si>
    <t>Прочие затраты, всего, в т. ч.</t>
  </si>
  <si>
    <t>плата за эмиссии в окружающую среду</t>
  </si>
  <si>
    <t xml:space="preserve">Расходы периода всего, в т.ч. </t>
  </si>
  <si>
    <t xml:space="preserve">Общие и административные расходы, всего: в том числе: </t>
  </si>
  <si>
    <t xml:space="preserve">заработная плата административного персонала </t>
  </si>
  <si>
    <t>Услуги сторонних организации</t>
  </si>
  <si>
    <t>Центральное отопление</t>
  </si>
  <si>
    <t xml:space="preserve">V </t>
  </si>
  <si>
    <t xml:space="preserve">Объем оказываемых услуг (товаров, работ) </t>
  </si>
  <si>
    <t xml:space="preserve">               Сравнительная таблица по утвержденной тарифной смете
на услуги водохозяйственной системы: подача поливной воды по каналам</t>
  </si>
  <si>
    <t>Талдыкорганского производственного участка Алматинского филиала РГП "Казводхоз"</t>
  </si>
  <si>
    <t xml:space="preserve">Затраты на производство товаров и предоставление услуг, всего, в т.ч. </t>
  </si>
  <si>
    <t>Расходы на оплату труда, всего, в т.ч.:</t>
  </si>
  <si>
    <t>социальный налог и отчисления</t>
  </si>
  <si>
    <t>отчисления ОСМС</t>
  </si>
  <si>
    <t>Ремонт, всего, в т.ч.:</t>
  </si>
  <si>
    <t xml:space="preserve">текущий ремонт, не приводящий к увеличению стоимости основных фондов </t>
  </si>
  <si>
    <t>Прочие затраты, всего, в т.ч.:</t>
  </si>
  <si>
    <t>Таррировка водоизмерительных приборов</t>
  </si>
  <si>
    <t>ремонт автотранспорта</t>
  </si>
  <si>
    <t>Общие и административные расходы, всего: в т.ч.:</t>
  </si>
  <si>
    <t>Налоговые платежи и сборы, всего, в т.ч.:</t>
  </si>
  <si>
    <t>возмещение земельного налога</t>
  </si>
  <si>
    <t xml:space="preserve">cтрахования автотранспорта </t>
  </si>
  <si>
    <t>хозтовары</t>
  </si>
  <si>
    <t>подписка периодической печати и публикация в СМИ</t>
  </si>
  <si>
    <t xml:space="preserve">расходы на содержание и обслуживание оргтехники </t>
  </si>
  <si>
    <t>Прибыль</t>
  </si>
  <si>
    <t>1.6</t>
  </si>
  <si>
    <t>5.9</t>
  </si>
  <si>
    <t>5.10</t>
  </si>
  <si>
    <t>6.5.</t>
  </si>
  <si>
    <t>6.5.7</t>
  </si>
  <si>
    <t>6.5.8</t>
  </si>
  <si>
    <t>6.5.9</t>
  </si>
  <si>
    <t>6.5.10</t>
  </si>
  <si>
    <t>6.5.11</t>
  </si>
  <si>
    <t>6.5.12</t>
  </si>
  <si>
    <t>6.5.13</t>
  </si>
  <si>
    <t>6.5.14</t>
  </si>
  <si>
    <t>6.5.15</t>
  </si>
  <si>
    <t>6.5.16</t>
  </si>
  <si>
    <t>Возмещение по услугам связи</t>
  </si>
  <si>
    <r>
      <t>тыс.м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</si>
  <si>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t xml:space="preserve">Отчет о ходе исполнения тарифной сметы </t>
  </si>
  <si>
    <t xml:space="preserve">Панфиловского производственного участка Алматинского филиала РГП "Казводхоз" КВР МСХ РК </t>
  </si>
  <si>
    <t>Предусмотрено в утвержденной тарифной смете</t>
  </si>
  <si>
    <t>Фактически сложившиеся  показатели тарифной сметы</t>
  </si>
  <si>
    <t>Отклонение, %</t>
  </si>
  <si>
    <t>Причины отклонения</t>
  </si>
  <si>
    <t>Наименование организации</t>
  </si>
  <si>
    <t xml:space="preserve">Алматинский филиал РГП "Казводхоз" КВР МСХ РК </t>
  </si>
  <si>
    <t>Адрес</t>
  </si>
  <si>
    <t>Аксуский район, с.Жансгурово, ул.Кабанбай батыра, 8</t>
  </si>
  <si>
    <t>Телефон</t>
  </si>
  <si>
    <t>8 728 230 92 34</t>
  </si>
  <si>
    <t>Адрес электронной почты</t>
  </si>
  <si>
    <t>rgp_sarkan@mail.ru</t>
  </si>
  <si>
    <t>Фамилия и телефон исполнителя</t>
  </si>
  <si>
    <t>Тореханова А. 8 728 230 92 34</t>
  </si>
  <si>
    <t>М.П.</t>
  </si>
  <si>
    <r>
      <t>Дата "04"</t>
    </r>
    <r>
      <rPr>
        <b/>
        <u/>
        <sz val="12"/>
        <rFont val="Times New Roman"/>
        <family val="1"/>
        <charset val="204"/>
      </rPr>
      <t xml:space="preserve"> 12  </t>
    </r>
    <r>
      <rPr>
        <b/>
        <sz val="12"/>
        <rFont val="Times New Roman"/>
        <family val="1"/>
        <charset val="204"/>
      </rPr>
      <t>2017г.</t>
    </r>
  </si>
  <si>
    <r>
      <t>тыс.м</t>
    </r>
    <r>
      <rPr>
        <b/>
        <vertAlign val="superscript"/>
        <sz val="12"/>
        <rFont val="Times New Roman"/>
        <family val="1"/>
        <charset val="204"/>
      </rPr>
      <t>3</t>
    </r>
  </si>
  <si>
    <r>
      <t>тенге.м</t>
    </r>
    <r>
      <rPr>
        <b/>
        <vertAlign val="superscript"/>
        <sz val="12"/>
        <rFont val="Times New Roman"/>
        <family val="1"/>
        <charset val="204"/>
      </rPr>
      <t>3</t>
    </r>
  </si>
  <si>
    <t>Мухамадиев С.М.    ___________________________</t>
  </si>
  <si>
    <t xml:space="preserve">Возмещение имущественного налога </t>
  </si>
  <si>
    <t xml:space="preserve">Возмещение транспортного налога </t>
  </si>
  <si>
    <t>Налоговые платежи и сборы всего, в том числе:</t>
  </si>
  <si>
    <t xml:space="preserve">Доход </t>
  </si>
  <si>
    <t>Доход</t>
  </si>
  <si>
    <t>по состоянию на 01.12.2017г.</t>
  </si>
  <si>
    <t>Планируется освоение до конца 2017г.</t>
  </si>
  <si>
    <t xml:space="preserve">Каратальского производственного участка Алматинского филиала РГП "Казводхоз" КВР МСХ РК </t>
  </si>
  <si>
    <t>Заработная плата производственного персонала</t>
  </si>
  <si>
    <t>Социальный налог,социальные отчисления</t>
  </si>
  <si>
    <t>Расходы на содержание  и обслуживание компьютерной техники</t>
  </si>
  <si>
    <t>Подписка периодической печати</t>
  </si>
  <si>
    <t>Страхование автотранспорта</t>
  </si>
  <si>
    <t>Земельный налог</t>
  </si>
  <si>
    <t>Возмещение земельный налог</t>
  </si>
  <si>
    <t>Возмещение налога на транспорт</t>
  </si>
  <si>
    <t>Охрана труда и техники безопасности</t>
  </si>
  <si>
    <t>Текущий ремонт, не приводящий к увеличению стоимости основных фондов</t>
  </si>
  <si>
    <t>Ремонт, всего, в т.ч.</t>
  </si>
  <si>
    <t>Сырье и материалы</t>
  </si>
  <si>
    <t xml:space="preserve">МК Алмалы, МК Ащыбулак  Алматинского филиала РГП "Казводхоз" КВР МСХ РК </t>
  </si>
  <si>
    <t>Заработная плата</t>
  </si>
  <si>
    <t>Текущий ремонт</t>
  </si>
  <si>
    <t>Подписка/периодическая печать</t>
  </si>
  <si>
    <t>Плата за пользование водными ресурсами поверхностных источников</t>
  </si>
  <si>
    <t>Социальный налог и социальные отчисления</t>
  </si>
  <si>
    <t>Затрат на отопление</t>
  </si>
  <si>
    <t>Социальный налог и соц.отчисления</t>
  </si>
  <si>
    <t>Обязательное мед.страхование (1%)</t>
  </si>
  <si>
    <t>Обязательное мед.страхование</t>
  </si>
  <si>
    <t>Охрана труда и техника безопасности</t>
  </si>
  <si>
    <t>Выплаты, в случаях, когда постоянная работа протекает в пути или имеет разъездной характер</t>
  </si>
  <si>
    <t>Плата за эмиссии окружающей среды</t>
  </si>
  <si>
    <t>Налог на транспорт</t>
  </si>
  <si>
    <t>Канцтовары</t>
  </si>
  <si>
    <t xml:space="preserve">Расходы на содержание и обслуживание компьютерной техники </t>
  </si>
  <si>
    <t xml:space="preserve">МК Акешки  Алматинского филиала РГП "Казводхоз" КВР МСХ РК </t>
  </si>
  <si>
    <t xml:space="preserve">Аксуского производственного участка Алматинского филиала РГП "Казводхоз" КВР МСХ РК </t>
  </si>
  <si>
    <t xml:space="preserve">Алакольского производственного участка Алматинского филиала РГП "Казводхоз" КВР МСХ РК </t>
  </si>
  <si>
    <t xml:space="preserve">Страхование автотранспорта </t>
  </si>
  <si>
    <t>Покупная вода</t>
  </si>
  <si>
    <t>Социальный налог и соц очисление</t>
  </si>
  <si>
    <t>Медицинское строхование</t>
  </si>
  <si>
    <t>Расходы разъездного характера</t>
  </si>
  <si>
    <t xml:space="preserve">Заработная плата административного персонала </t>
  </si>
  <si>
    <t>Подписка периодической печати,публикации СМИ</t>
  </si>
  <si>
    <t xml:space="preserve">Коксуского производственного участка Алматинского филиала РГП "Казводхоз" КВР МСХ РК </t>
  </si>
  <si>
    <t>Обязательная мед страхования</t>
  </si>
  <si>
    <t>Обязательное страхование автотранспорта</t>
  </si>
  <si>
    <t>Обязательное мед.страхования</t>
  </si>
  <si>
    <t>Технический осмотр автомашин</t>
  </si>
  <si>
    <t>Обязательное стархование автотранспорта</t>
  </si>
  <si>
    <t>8.12</t>
  </si>
  <si>
    <t xml:space="preserve">Ескельдинского производственного участка Алматинского филиала РГП "Казводхоз" КВР МСХ РК </t>
  </si>
  <si>
    <t>5.8.1</t>
  </si>
  <si>
    <t>5.8.2</t>
  </si>
  <si>
    <t xml:space="preserve">Уйгурского производственного участка Алматинского филиала РГП "Казводхоз" КВР МСХ РК </t>
  </si>
  <si>
    <t>Объемы оказываемых услуг</t>
  </si>
  <si>
    <t>Топливо</t>
  </si>
  <si>
    <t>Обязательные отчисления ОСМС</t>
  </si>
  <si>
    <t xml:space="preserve">Аттестация гидропостов </t>
  </si>
  <si>
    <t>Возмещение затрат по налогу на имущество</t>
  </si>
  <si>
    <t>Периодическая печать, публикация в СМИ</t>
  </si>
  <si>
    <t>Содержание орг. техники</t>
  </si>
  <si>
    <t>Планирется освоить до конца года</t>
  </si>
  <si>
    <t>Заявка по корректировке тарифной сметы находится на рассмотрении в ДКРЕМЗКиПП</t>
  </si>
  <si>
    <r>
      <t>Дата "04"</t>
    </r>
    <r>
      <rPr>
        <b/>
        <u/>
        <sz val="10"/>
        <rFont val="Times New Roman"/>
        <family val="1"/>
        <charset val="204"/>
      </rPr>
      <t xml:space="preserve"> 12  </t>
    </r>
    <r>
      <rPr>
        <b/>
        <sz val="10"/>
        <rFont val="Times New Roman"/>
        <family val="1"/>
        <charset val="204"/>
      </rPr>
      <t>2017г.</t>
    </r>
  </si>
  <si>
    <t xml:space="preserve">Земельный налог </t>
  </si>
  <si>
    <t>Сводная отчета о ходе исполнения тарифных смет</t>
  </si>
  <si>
    <t>Затраты на отопление</t>
  </si>
  <si>
    <t>Тарировка гидрометрических вертушек</t>
  </si>
  <si>
    <t>Техосмотр</t>
  </si>
  <si>
    <t>Ремонт автотранспорта</t>
  </si>
  <si>
    <t xml:space="preserve">Обязательное медицинское страхование </t>
  </si>
  <si>
    <t>Поставка тепловой энергии</t>
  </si>
  <si>
    <t>Обслуживание и содержание офисной техники</t>
  </si>
  <si>
    <t>Хоз.товары</t>
  </si>
  <si>
    <t>Госрегистрация</t>
  </si>
  <si>
    <t xml:space="preserve">Алматинского филиала РГП "Казводхоз" КВР МСХ РК </t>
  </si>
  <si>
    <t>по состоянию на 01 декабря 2017г.</t>
  </si>
</sst>
</file>

<file path=xl/styles.xml><?xml version="1.0" encoding="utf-8"?>
<styleSheet xmlns="http://schemas.openxmlformats.org/spreadsheetml/2006/main">
  <numFmts count="1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-;\-* #,##0.00_-;_-* &quot;-&quot;??_-;_-@_-"/>
    <numFmt numFmtId="167" formatCode="00"/>
    <numFmt numFmtId="168" formatCode="000"/>
    <numFmt numFmtId="169" formatCode="_(* #,##0.00_);_(* \(#,##0.00\);_(* &quot;-&quot;??_);_(@_)"/>
    <numFmt numFmtId="170" formatCode="\€#,##0;&quot;-€&quot;#,##0"/>
    <numFmt numFmtId="171" formatCode="0.0"/>
    <numFmt numFmtId="172" formatCode="0.000"/>
    <numFmt numFmtId="173" formatCode="#,##0.000"/>
    <numFmt numFmtId="174" formatCode="#,##0.00&quot; &quot;[$руб.-419];[Red]&quot;-&quot;#,##0.00&quot; &quot;[$руб.-419]"/>
    <numFmt numFmtId="175" formatCode="#,##0.0"/>
    <numFmt numFmtId="176" formatCode="d/m;@"/>
    <numFmt numFmtId="177" formatCode="_-* #,##0_р_._-;\-* #,##0_р_._-;_-* &quot;-&quot;??_р_._-;_-@_-"/>
  </numFmts>
  <fonts count="9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1"/>
      <color indexed="9"/>
      <name val="Calibri"/>
      <family val="2"/>
      <charset val="204"/>
    </font>
    <font>
      <sz val="12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Tahoma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1"/>
      <name val="Calibri"/>
      <family val="2"/>
      <charset val="204"/>
    </font>
    <font>
      <sz val="12"/>
      <name val="宋体"/>
      <charset val="13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</font>
    <font>
      <sz val="12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vertAlign val="superscript"/>
      <sz val="10"/>
      <color theme="1"/>
      <name val="Times New Roman"/>
      <family val="1"/>
      <charset val="204"/>
    </font>
    <font>
      <sz val="12"/>
      <color indexed="8"/>
      <name val="Arial"/>
      <family val="2"/>
      <charset val="204"/>
    </font>
    <font>
      <i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vertAlign val="superscript"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u/>
      <sz val="12.65"/>
      <color theme="10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b/>
      <u/>
      <sz val="12"/>
      <color theme="1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u/>
      <sz val="10"/>
      <color theme="10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lightDown">
        <fgColor theme="5" tint="0.39994506668294322"/>
        <bgColor indexed="45"/>
      </patternFill>
    </fill>
    <fill>
      <patternFill patternType="lightDown">
        <fgColor indexed="29"/>
        <bgColor indexed="4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71">
    <xf numFmtId="0" fontId="0" fillId="0" borderId="0"/>
    <xf numFmtId="0" fontId="4" fillId="0" borderId="0"/>
    <xf numFmtId="165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4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10" fillId="16" borderId="0" applyNumberFormat="0" applyBorder="0" applyAlignment="0" applyProtection="0"/>
    <xf numFmtId="1" fontId="11" fillId="0" borderId="0">
      <alignment horizontal="center" vertical="top" wrapText="1"/>
    </xf>
    <xf numFmtId="167" fontId="11" fillId="0" borderId="3">
      <alignment horizontal="center" vertical="top" wrapText="1"/>
    </xf>
    <xf numFmtId="168" fontId="11" fillId="0" borderId="3">
      <alignment horizontal="center" vertical="top" wrapText="1"/>
    </xf>
    <xf numFmtId="168" fontId="11" fillId="0" borderId="3">
      <alignment horizontal="center" vertical="top" wrapText="1"/>
    </xf>
    <xf numFmtId="168" fontId="11" fillId="0" borderId="3">
      <alignment horizontal="center" vertical="top" wrapText="1"/>
    </xf>
    <xf numFmtId="1" fontId="11" fillId="0" borderId="0">
      <alignment horizontal="center" vertical="top" wrapText="1"/>
    </xf>
    <xf numFmtId="167" fontId="11" fillId="0" borderId="0">
      <alignment horizontal="center" vertical="top" wrapText="1"/>
    </xf>
    <xf numFmtId="168" fontId="11" fillId="0" borderId="0">
      <alignment horizontal="center" vertical="top" wrapText="1"/>
    </xf>
    <xf numFmtId="168" fontId="11" fillId="0" borderId="0">
      <alignment horizontal="center" vertical="top" wrapText="1"/>
    </xf>
    <xf numFmtId="168" fontId="11" fillId="0" borderId="0">
      <alignment horizontal="center" vertical="top" wrapText="1"/>
    </xf>
    <xf numFmtId="0" fontId="11" fillId="0" borderId="0">
      <alignment horizontal="left" vertical="top" wrapText="1"/>
    </xf>
    <xf numFmtId="0" fontId="11" fillId="0" borderId="0">
      <alignment horizontal="left" vertical="top" wrapText="1"/>
    </xf>
    <xf numFmtId="0" fontId="11" fillId="0" borderId="3">
      <alignment horizontal="left" vertical="top"/>
    </xf>
    <xf numFmtId="0" fontId="11" fillId="0" borderId="4">
      <alignment horizontal="center" vertical="top" wrapText="1"/>
    </xf>
    <xf numFmtId="0" fontId="11" fillId="0" borderId="0">
      <alignment horizontal="left" vertical="top"/>
    </xf>
    <xf numFmtId="0" fontId="11" fillId="0" borderId="5">
      <alignment horizontal="left" vertical="top"/>
    </xf>
    <xf numFmtId="0" fontId="12" fillId="17" borderId="3">
      <alignment horizontal="left" vertical="top" wrapText="1"/>
    </xf>
    <xf numFmtId="0" fontId="12" fillId="17" borderId="3">
      <alignment horizontal="left" vertical="top" wrapText="1"/>
    </xf>
    <xf numFmtId="0" fontId="13" fillId="0" borderId="3">
      <alignment horizontal="left" vertical="top" wrapText="1"/>
    </xf>
    <xf numFmtId="0" fontId="11" fillId="0" borderId="3">
      <alignment horizontal="left" vertical="top" wrapText="1"/>
    </xf>
    <xf numFmtId="0" fontId="14" fillId="0" borderId="3">
      <alignment horizontal="left" vertical="top" wrapText="1"/>
    </xf>
    <xf numFmtId="0" fontId="15" fillId="0" borderId="0"/>
    <xf numFmtId="0" fontId="16" fillId="0" borderId="0"/>
    <xf numFmtId="0" fontId="17" fillId="0" borderId="0"/>
    <xf numFmtId="0" fontId="18" fillId="0" borderId="0">
      <alignment horizontal="left" vertical="top"/>
    </xf>
    <xf numFmtId="0" fontId="19" fillId="0" borderId="0">
      <alignment horizontal="left" vertical="top"/>
    </xf>
    <xf numFmtId="0" fontId="18" fillId="0" borderId="0">
      <alignment horizontal="right" vertical="top"/>
    </xf>
    <xf numFmtId="0" fontId="19" fillId="0" borderId="0">
      <alignment horizontal="right" vertical="top"/>
    </xf>
    <xf numFmtId="0" fontId="20" fillId="0" borderId="0">
      <alignment horizontal="right" vertical="top"/>
    </xf>
    <xf numFmtId="0" fontId="20" fillId="0" borderId="0">
      <alignment horizontal="right" vertical="top"/>
    </xf>
    <xf numFmtId="0" fontId="21" fillId="0" borderId="0">
      <alignment horizontal="center" vertical="center"/>
    </xf>
    <xf numFmtId="0" fontId="19" fillId="0" borderId="0">
      <alignment horizontal="center" vertical="top"/>
    </xf>
    <xf numFmtId="0" fontId="21" fillId="0" borderId="0">
      <alignment horizontal="center" vertical="center" textRotation="90"/>
    </xf>
    <xf numFmtId="0" fontId="18" fillId="0" borderId="0">
      <alignment horizontal="left" vertical="top"/>
    </xf>
    <xf numFmtId="0" fontId="22" fillId="0" borderId="0">
      <alignment horizontal="left" vertical="top"/>
    </xf>
    <xf numFmtId="0" fontId="18" fillId="0" borderId="0">
      <alignment horizontal="right" vertical="top"/>
    </xf>
    <xf numFmtId="0" fontId="21" fillId="0" borderId="0">
      <alignment horizontal="center" vertical="center"/>
    </xf>
    <xf numFmtId="0" fontId="22" fillId="0" borderId="0">
      <alignment horizontal="left" vertical="top"/>
    </xf>
    <xf numFmtId="0" fontId="21" fillId="0" borderId="0">
      <alignment horizontal="center" vertical="center"/>
    </xf>
    <xf numFmtId="0" fontId="20" fillId="0" borderId="0">
      <alignment horizontal="left" vertical="top"/>
    </xf>
    <xf numFmtId="0" fontId="20" fillId="0" borderId="0">
      <alignment horizontal="left" vertical="top"/>
    </xf>
    <xf numFmtId="0" fontId="21" fillId="0" borderId="0">
      <alignment horizontal="center" vertical="center" textRotation="90"/>
    </xf>
    <xf numFmtId="0" fontId="21" fillId="0" borderId="0">
      <alignment horizontal="right" vertical="top"/>
    </xf>
    <xf numFmtId="0" fontId="21" fillId="0" borderId="0">
      <alignment horizontal="left" vertical="top"/>
    </xf>
    <xf numFmtId="0" fontId="23" fillId="0" borderId="0">
      <alignment horizontal="left" vertical="top"/>
    </xf>
    <xf numFmtId="0" fontId="20" fillId="0" borderId="0">
      <alignment horizontal="left" vertical="top"/>
    </xf>
    <xf numFmtId="0" fontId="23" fillId="0" borderId="0">
      <alignment horizontal="right" vertical="top"/>
    </xf>
    <xf numFmtId="0" fontId="21" fillId="0" borderId="0">
      <alignment horizontal="right" vertical="top"/>
    </xf>
    <xf numFmtId="0" fontId="22" fillId="0" borderId="0">
      <alignment horizontal="right" vertical="top"/>
    </xf>
    <xf numFmtId="0" fontId="24" fillId="0" borderId="0">
      <alignment horizontal="center" vertical="top"/>
    </xf>
    <xf numFmtId="0" fontId="11" fillId="0" borderId="2">
      <alignment horizontal="center" textRotation="90" wrapText="1"/>
    </xf>
    <xf numFmtId="0" fontId="11" fillId="0" borderId="2">
      <alignment horizontal="center" vertical="center" wrapText="1"/>
    </xf>
    <xf numFmtId="1" fontId="25" fillId="0" borderId="0">
      <alignment horizontal="center" vertical="top" wrapText="1"/>
    </xf>
    <xf numFmtId="167" fontId="25" fillId="0" borderId="3">
      <alignment horizontal="center" vertical="top" wrapText="1"/>
    </xf>
    <xf numFmtId="168" fontId="25" fillId="0" borderId="3">
      <alignment horizontal="center" vertical="top" wrapText="1"/>
    </xf>
    <xf numFmtId="168" fontId="25" fillId="0" borderId="3">
      <alignment horizontal="center" vertical="top" wrapText="1"/>
    </xf>
    <xf numFmtId="168" fontId="25" fillId="0" borderId="3">
      <alignment horizontal="center" vertical="top" wrapText="1"/>
    </xf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0" fillId="21" borderId="0" applyNumberFormat="0" applyBorder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10" fillId="8" borderId="6" applyNumberFormat="0" applyAlignment="0" applyProtection="0"/>
    <xf numFmtId="0" fontId="26" fillId="8" borderId="6" applyNumberFormat="0" applyAlignment="0" applyProtection="0"/>
    <xf numFmtId="0" fontId="10" fillId="8" borderId="6" applyNumberFormat="0" applyAlignment="0" applyProtection="0"/>
    <xf numFmtId="0" fontId="10" fillId="8" borderId="6" applyNumberFormat="0" applyAlignment="0" applyProtection="0"/>
    <xf numFmtId="0" fontId="10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27" fillId="22" borderId="7" applyNumberFormat="0" applyAlignment="0" applyProtection="0"/>
    <xf numFmtId="0" fontId="27" fillId="22" borderId="7" applyNumberFormat="0" applyAlignment="0" applyProtection="0"/>
    <xf numFmtId="0" fontId="26" fillId="22" borderId="7" applyNumberFormat="0" applyAlignment="0" applyProtection="0"/>
    <xf numFmtId="0" fontId="27" fillId="22" borderId="7" applyNumberFormat="0" applyAlignment="0" applyProtection="0"/>
    <xf numFmtId="0" fontId="26" fillId="22" borderId="7" applyNumberFormat="0" applyAlignment="0" applyProtection="0"/>
    <xf numFmtId="0" fontId="26" fillId="22" borderId="7" applyNumberFormat="0" applyAlignment="0" applyProtection="0"/>
    <xf numFmtId="0" fontId="26" fillId="22" borderId="7" applyNumberFormat="0" applyAlignment="0" applyProtection="0"/>
    <xf numFmtId="0" fontId="27" fillId="22" borderId="7" applyNumberFormat="0" applyAlignment="0" applyProtection="0"/>
    <xf numFmtId="0" fontId="27" fillId="22" borderId="7" applyNumberFormat="0" applyAlignment="0" applyProtection="0"/>
    <xf numFmtId="0" fontId="27" fillId="22" borderId="7" applyNumberFormat="0" applyAlignment="0" applyProtection="0"/>
    <xf numFmtId="0" fontId="28" fillId="22" borderId="6" applyNumberFormat="0" applyAlignment="0" applyProtection="0"/>
    <xf numFmtId="0" fontId="28" fillId="22" borderId="6" applyNumberFormat="0" applyAlignment="0" applyProtection="0"/>
    <xf numFmtId="0" fontId="27" fillId="22" borderId="6" applyNumberFormat="0" applyAlignment="0" applyProtection="0"/>
    <xf numFmtId="0" fontId="28" fillId="22" borderId="6" applyNumberFormat="0" applyAlignment="0" applyProtection="0"/>
    <xf numFmtId="0" fontId="27" fillId="22" borderId="6" applyNumberFormat="0" applyAlignment="0" applyProtection="0"/>
    <xf numFmtId="0" fontId="27" fillId="22" borderId="6" applyNumberFormat="0" applyAlignment="0" applyProtection="0"/>
    <xf numFmtId="0" fontId="27" fillId="22" borderId="6" applyNumberFormat="0" applyAlignment="0" applyProtection="0"/>
    <xf numFmtId="0" fontId="28" fillId="22" borderId="6" applyNumberFormat="0" applyAlignment="0" applyProtection="0"/>
    <xf numFmtId="0" fontId="28" fillId="22" borderId="6" applyNumberFormat="0" applyAlignment="0" applyProtection="0"/>
    <xf numFmtId="0" fontId="28" fillId="22" borderId="6" applyNumberFormat="0" applyAlignment="0" applyProtection="0"/>
    <xf numFmtId="164" fontId="29" fillId="0" borderId="0" applyFont="0" applyFill="0" applyBorder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4" fillId="0" borderId="0"/>
    <xf numFmtId="0" fontId="34" fillId="23" borderId="12" applyNumberFormat="0" applyAlignment="0" applyProtection="0"/>
    <xf numFmtId="0" fontId="34" fillId="23" borderId="12" applyNumberFormat="0" applyAlignment="0" applyProtection="0"/>
    <xf numFmtId="0" fontId="33" fillId="23" borderId="12" applyNumberFormat="0" applyAlignment="0" applyProtection="0"/>
    <xf numFmtId="0" fontId="33" fillId="23" borderId="12" applyNumberFormat="0" applyAlignment="0" applyProtection="0"/>
    <xf numFmtId="0" fontId="33" fillId="23" borderId="12" applyNumberFormat="0" applyAlignment="0" applyProtection="0"/>
    <xf numFmtId="0" fontId="33" fillId="23" borderId="12" applyNumberFormat="0" applyAlignment="0" applyProtection="0"/>
    <xf numFmtId="0" fontId="34" fillId="23" borderId="12" applyNumberFormat="0" applyAlignment="0" applyProtection="0"/>
    <xf numFmtId="0" fontId="34" fillId="23" borderId="12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1" fillId="0" borderId="0"/>
    <xf numFmtId="0" fontId="1" fillId="0" borderId="0"/>
    <xf numFmtId="0" fontId="6" fillId="0" borderId="0"/>
    <xf numFmtId="0" fontId="37" fillId="0" borderId="0">
      <alignment horizontal="center"/>
    </xf>
    <xf numFmtId="0" fontId="29" fillId="0" borderId="0">
      <alignment horizontal="center"/>
    </xf>
    <xf numFmtId="0" fontId="37" fillId="0" borderId="0">
      <alignment horizontal="center"/>
    </xf>
    <xf numFmtId="0" fontId="29" fillId="0" borderId="0">
      <alignment horizontal="center"/>
    </xf>
    <xf numFmtId="0" fontId="37" fillId="0" borderId="0">
      <alignment horizontal="center"/>
    </xf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37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0" fontId="37" fillId="0" borderId="0">
      <alignment horizontal="center"/>
    </xf>
    <xf numFmtId="0" fontId="29" fillId="0" borderId="0">
      <alignment horizontal="center"/>
    </xf>
    <xf numFmtId="0" fontId="29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37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0" fontId="37" fillId="0" borderId="0">
      <alignment horizontal="center"/>
    </xf>
    <xf numFmtId="0" fontId="29" fillId="0" borderId="0">
      <alignment horizontal="center"/>
    </xf>
    <xf numFmtId="0" fontId="29" fillId="0" borderId="0"/>
    <xf numFmtId="0" fontId="6" fillId="0" borderId="0"/>
    <xf numFmtId="0" fontId="6" fillId="0" borderId="0"/>
    <xf numFmtId="0" fontId="29" fillId="0" borderId="0">
      <alignment horizontal="center"/>
    </xf>
    <xf numFmtId="0" fontId="29" fillId="0" borderId="0"/>
    <xf numFmtId="0" fontId="29" fillId="0" borderId="0"/>
    <xf numFmtId="0" fontId="29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0" fontId="17" fillId="0" borderId="0"/>
    <xf numFmtId="0" fontId="29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0" fontId="29" fillId="0" borderId="0"/>
    <xf numFmtId="0" fontId="29" fillId="0" borderId="0"/>
    <xf numFmtId="0" fontId="29" fillId="0" borderId="0">
      <alignment horizontal="center"/>
    </xf>
    <xf numFmtId="0" fontId="29" fillId="0" borderId="0">
      <alignment horizontal="center"/>
    </xf>
    <xf numFmtId="0" fontId="29" fillId="0" borderId="0"/>
    <xf numFmtId="0" fontId="29" fillId="0" borderId="0">
      <alignment horizontal="center"/>
    </xf>
    <xf numFmtId="0" fontId="1" fillId="0" borderId="0"/>
    <xf numFmtId="0" fontId="6" fillId="0" borderId="0"/>
    <xf numFmtId="0" fontId="29" fillId="0" borderId="0"/>
    <xf numFmtId="0" fontId="29" fillId="0" borderId="0">
      <alignment horizontal="center"/>
    </xf>
    <xf numFmtId="0" fontId="29" fillId="0" borderId="0">
      <alignment horizontal="center"/>
    </xf>
    <xf numFmtId="0" fontId="29" fillId="0" borderId="0"/>
    <xf numFmtId="0" fontId="1" fillId="0" borderId="0"/>
    <xf numFmtId="0" fontId="29" fillId="0" borderId="0"/>
    <xf numFmtId="0" fontId="29" fillId="0" borderId="0"/>
    <xf numFmtId="0" fontId="37" fillId="0" borderId="0"/>
    <xf numFmtId="0" fontId="1" fillId="0" borderId="0"/>
    <xf numFmtId="0" fontId="6" fillId="0" borderId="0"/>
    <xf numFmtId="0" fontId="37" fillId="0" borderId="0"/>
    <xf numFmtId="0" fontId="1" fillId="0" borderId="0"/>
    <xf numFmtId="0" fontId="6" fillId="0" borderId="0"/>
    <xf numFmtId="0" fontId="6" fillId="0" borderId="0"/>
    <xf numFmtId="0" fontId="29" fillId="0" borderId="0">
      <alignment horizontal="center"/>
    </xf>
    <xf numFmtId="0" fontId="29" fillId="0" borderId="0"/>
    <xf numFmtId="0" fontId="29" fillId="0" borderId="0"/>
    <xf numFmtId="0" fontId="37" fillId="0" borderId="0"/>
    <xf numFmtId="0" fontId="29" fillId="0" borderId="0">
      <alignment horizontal="center"/>
    </xf>
    <xf numFmtId="0" fontId="37" fillId="0" borderId="0"/>
    <xf numFmtId="0" fontId="29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0" fontId="29" fillId="0" borderId="0"/>
    <xf numFmtId="0" fontId="29" fillId="0" borderId="0"/>
    <xf numFmtId="0" fontId="37" fillId="0" borderId="0"/>
    <xf numFmtId="0" fontId="29" fillId="0" borderId="0">
      <alignment horizontal="center"/>
    </xf>
    <xf numFmtId="0" fontId="37" fillId="0" borderId="0"/>
    <xf numFmtId="0" fontId="29" fillId="0" borderId="0">
      <alignment horizontal="center"/>
    </xf>
    <xf numFmtId="0" fontId="29" fillId="0" borderId="0">
      <alignment horizontal="center"/>
    </xf>
    <xf numFmtId="0" fontId="1" fillId="0" borderId="0"/>
    <xf numFmtId="0" fontId="1" fillId="0" borderId="0"/>
    <xf numFmtId="0" fontId="6" fillId="0" borderId="0"/>
    <xf numFmtId="0" fontId="1" fillId="0" borderId="0"/>
    <xf numFmtId="0" fontId="29" fillId="0" borderId="0">
      <alignment horizontal="center"/>
    </xf>
    <xf numFmtId="0" fontId="1" fillId="0" borderId="0"/>
    <xf numFmtId="0" fontId="37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0" fontId="37" fillId="0" borderId="0">
      <alignment horizontal="center"/>
    </xf>
    <xf numFmtId="0" fontId="6" fillId="0" borderId="0"/>
    <xf numFmtId="0" fontId="29" fillId="0" borderId="0"/>
    <xf numFmtId="0" fontId="6" fillId="0" borderId="0"/>
    <xf numFmtId="0" fontId="29" fillId="0" borderId="0"/>
    <xf numFmtId="0" fontId="29" fillId="0" borderId="0">
      <alignment horizontal="center"/>
    </xf>
    <xf numFmtId="0" fontId="29" fillId="0" borderId="0">
      <alignment horizontal="center"/>
    </xf>
    <xf numFmtId="0" fontId="29" fillId="0" borderId="0"/>
    <xf numFmtId="0" fontId="37" fillId="0" borderId="0"/>
    <xf numFmtId="0" fontId="29" fillId="0" borderId="0"/>
    <xf numFmtId="0" fontId="29" fillId="0" borderId="0"/>
    <xf numFmtId="0" fontId="37" fillId="0" borderId="0"/>
    <xf numFmtId="0" fontId="6" fillId="0" borderId="0"/>
    <xf numFmtId="0" fontId="29" fillId="0" borderId="0">
      <alignment horizontal="center"/>
    </xf>
    <xf numFmtId="0" fontId="29" fillId="0" borderId="0"/>
    <xf numFmtId="0" fontId="29" fillId="0" borderId="0">
      <alignment horizontal="center"/>
    </xf>
    <xf numFmtId="0" fontId="1" fillId="0" borderId="0"/>
    <xf numFmtId="0" fontId="38" fillId="0" borderId="0"/>
    <xf numFmtId="0" fontId="6" fillId="0" borderId="0"/>
    <xf numFmtId="0" fontId="1" fillId="0" borderId="0"/>
    <xf numFmtId="0" fontId="39" fillId="0" borderId="0">
      <alignment horizontal="left"/>
    </xf>
    <xf numFmtId="0" fontId="6" fillId="0" borderId="0"/>
    <xf numFmtId="0" fontId="1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37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0" fontId="37" fillId="0" borderId="0">
      <alignment horizontal="center"/>
    </xf>
    <xf numFmtId="0" fontId="29" fillId="0" borderId="0">
      <alignment horizontal="center"/>
    </xf>
    <xf numFmtId="0" fontId="39" fillId="0" borderId="0">
      <alignment horizontal="left"/>
    </xf>
    <xf numFmtId="0" fontId="6" fillId="0" borderId="0"/>
    <xf numFmtId="0" fontId="37" fillId="0" borderId="0">
      <alignment horizontal="center"/>
    </xf>
    <xf numFmtId="0" fontId="29" fillId="0" borderId="0"/>
    <xf numFmtId="0" fontId="1" fillId="0" borderId="0"/>
    <xf numFmtId="0" fontId="6" fillId="0" borderId="0"/>
    <xf numFmtId="0" fontId="29" fillId="0" borderId="0"/>
    <xf numFmtId="0" fontId="37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0" fontId="29" fillId="0" borderId="0"/>
    <xf numFmtId="0" fontId="37" fillId="0" borderId="0">
      <alignment horizontal="center"/>
    </xf>
    <xf numFmtId="0" fontId="6" fillId="0" borderId="0"/>
    <xf numFmtId="0" fontId="37" fillId="0" borderId="0"/>
    <xf numFmtId="0" fontId="6" fillId="0" borderId="0"/>
    <xf numFmtId="0" fontId="37" fillId="0" borderId="0"/>
    <xf numFmtId="0" fontId="37" fillId="0" borderId="0"/>
    <xf numFmtId="0" fontId="39" fillId="0" borderId="0">
      <alignment horizontal="left"/>
    </xf>
    <xf numFmtId="0" fontId="1" fillId="0" borderId="0"/>
    <xf numFmtId="0" fontId="6" fillId="0" borderId="0"/>
    <xf numFmtId="0" fontId="40" fillId="0" borderId="0"/>
    <xf numFmtId="0" fontId="29" fillId="0" borderId="0">
      <alignment horizontal="center"/>
    </xf>
    <xf numFmtId="0" fontId="29" fillId="0" borderId="0"/>
    <xf numFmtId="0" fontId="37" fillId="0" borderId="0"/>
    <xf numFmtId="0" fontId="29" fillId="0" borderId="0">
      <alignment horizontal="center"/>
    </xf>
    <xf numFmtId="0" fontId="37" fillId="0" borderId="0"/>
    <xf numFmtId="0" fontId="29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0" fontId="29" fillId="0" borderId="0"/>
    <xf numFmtId="0" fontId="29" fillId="0" borderId="0"/>
    <xf numFmtId="0" fontId="37" fillId="0" borderId="0"/>
    <xf numFmtId="0" fontId="29" fillId="0" borderId="0">
      <alignment horizontal="center"/>
    </xf>
    <xf numFmtId="0" fontId="37" fillId="0" borderId="0"/>
    <xf numFmtId="0" fontId="29" fillId="0" borderId="0">
      <alignment horizontal="center"/>
    </xf>
    <xf numFmtId="0" fontId="1" fillId="0" borderId="0"/>
    <xf numFmtId="0" fontId="38" fillId="0" borderId="0"/>
    <xf numFmtId="0" fontId="1" fillId="0" borderId="0"/>
    <xf numFmtId="0" fontId="6" fillId="0" borderId="0"/>
    <xf numFmtId="0" fontId="1" fillId="0" borderId="0"/>
    <xf numFmtId="0" fontId="29" fillId="0" borderId="0">
      <alignment horizontal="center"/>
    </xf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38" fillId="0" borderId="0"/>
    <xf numFmtId="0" fontId="38" fillId="0" borderId="0"/>
    <xf numFmtId="0" fontId="1" fillId="0" borderId="0"/>
    <xf numFmtId="0" fontId="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29" fillId="0" borderId="0"/>
    <xf numFmtId="0" fontId="29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37" fillId="0" borderId="0"/>
    <xf numFmtId="0" fontId="6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29" fillId="0" borderId="0"/>
    <xf numFmtId="0" fontId="37" fillId="0" borderId="0"/>
    <xf numFmtId="0" fontId="29" fillId="0" borderId="0"/>
    <xf numFmtId="0" fontId="29" fillId="0" borderId="0"/>
    <xf numFmtId="0" fontId="37" fillId="0" borderId="0"/>
    <xf numFmtId="0" fontId="29" fillId="0" borderId="0"/>
    <xf numFmtId="0" fontId="38" fillId="0" borderId="0"/>
    <xf numFmtId="0" fontId="29" fillId="0" borderId="0"/>
    <xf numFmtId="0" fontId="29" fillId="0" borderId="0"/>
    <xf numFmtId="0" fontId="38" fillId="0" borderId="0"/>
    <xf numFmtId="0" fontId="38" fillId="0" borderId="0"/>
    <xf numFmtId="0" fontId="29" fillId="0" borderId="0">
      <alignment horizontal="center"/>
    </xf>
    <xf numFmtId="0" fontId="39" fillId="0" borderId="0">
      <alignment horizontal="left"/>
    </xf>
    <xf numFmtId="0" fontId="29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0" fontId="29" fillId="0" borderId="0"/>
    <xf numFmtId="0" fontId="37" fillId="0" borderId="0"/>
    <xf numFmtId="0" fontId="29" fillId="0" borderId="0"/>
    <xf numFmtId="0" fontId="29" fillId="0" borderId="0"/>
    <xf numFmtId="0" fontId="37" fillId="0" borderId="0"/>
    <xf numFmtId="0" fontId="1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37" fillId="0" borderId="0">
      <alignment horizontal="center"/>
    </xf>
    <xf numFmtId="0" fontId="29" fillId="0" borderId="0">
      <alignment horizontal="center"/>
    </xf>
    <xf numFmtId="0" fontId="37" fillId="0" borderId="0">
      <alignment horizontal="center"/>
    </xf>
    <xf numFmtId="0" fontId="39" fillId="0" borderId="0">
      <alignment horizontal="left"/>
    </xf>
    <xf numFmtId="0" fontId="39" fillId="0" borderId="0">
      <alignment horizontal="left"/>
    </xf>
    <xf numFmtId="0" fontId="29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0" fontId="39" fillId="0" borderId="0">
      <alignment horizontal="left"/>
    </xf>
    <xf numFmtId="0" fontId="39" fillId="0" borderId="0">
      <alignment horizontal="left"/>
    </xf>
    <xf numFmtId="0" fontId="29" fillId="0" borderId="0">
      <alignment horizontal="center"/>
    </xf>
    <xf numFmtId="0" fontId="39" fillId="0" borderId="0">
      <alignment horizontal="left"/>
    </xf>
    <xf numFmtId="0" fontId="39" fillId="0" borderId="0">
      <alignment horizontal="left"/>
    </xf>
    <xf numFmtId="0" fontId="29" fillId="0" borderId="0"/>
    <xf numFmtId="0" fontId="29" fillId="0" borderId="0"/>
    <xf numFmtId="0" fontId="41" fillId="0" borderId="0">
      <alignment vertical="center"/>
    </xf>
    <xf numFmtId="0" fontId="41" fillId="0" borderId="0">
      <alignment vertical="center"/>
    </xf>
    <xf numFmtId="0" fontId="29" fillId="0" borderId="0"/>
    <xf numFmtId="0" fontId="29" fillId="0" borderId="0"/>
    <xf numFmtId="0" fontId="42" fillId="0" borderId="0"/>
    <xf numFmtId="0" fontId="29" fillId="0" borderId="0"/>
    <xf numFmtId="0" fontId="29" fillId="0" borderId="0"/>
    <xf numFmtId="0" fontId="42" fillId="0" borderId="0"/>
    <xf numFmtId="0" fontId="6" fillId="0" borderId="0"/>
    <xf numFmtId="0" fontId="29" fillId="0" borderId="0"/>
    <xf numFmtId="0" fontId="29" fillId="0" borderId="0"/>
    <xf numFmtId="0" fontId="4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horizontal="center"/>
    </xf>
    <xf numFmtId="0" fontId="4" fillId="0" borderId="0"/>
    <xf numFmtId="0" fontId="37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0" fontId="37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0" fontId="38" fillId="0" borderId="0"/>
    <xf numFmtId="0" fontId="38" fillId="0" borderId="0"/>
    <xf numFmtId="0" fontId="29" fillId="0" borderId="0">
      <alignment horizontal="center"/>
    </xf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horizont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horizontal="center"/>
    </xf>
    <xf numFmtId="0" fontId="38" fillId="0" borderId="0"/>
    <xf numFmtId="0" fontId="29" fillId="0" borderId="0"/>
    <xf numFmtId="0" fontId="29" fillId="0" borderId="0">
      <alignment horizontal="center"/>
    </xf>
    <xf numFmtId="0" fontId="29" fillId="0" borderId="0"/>
    <xf numFmtId="0" fontId="29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0" fontId="37" fillId="0" borderId="0">
      <alignment horizontal="center"/>
    </xf>
    <xf numFmtId="0" fontId="29" fillId="0" borderId="0">
      <alignment horizontal="center"/>
    </xf>
    <xf numFmtId="0" fontId="29" fillId="0" borderId="0"/>
    <xf numFmtId="0" fontId="6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horizontal="center"/>
    </xf>
    <xf numFmtId="0" fontId="37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0" fontId="37" fillId="0" borderId="0">
      <alignment horizontal="center"/>
    </xf>
    <xf numFmtId="0" fontId="29" fillId="0" borderId="0">
      <alignment horizontal="center"/>
    </xf>
    <xf numFmtId="0" fontId="29" fillId="0" borderId="0"/>
    <xf numFmtId="0" fontId="1" fillId="0" borderId="0"/>
    <xf numFmtId="0" fontId="29" fillId="0" borderId="0"/>
    <xf numFmtId="0" fontId="29" fillId="0" borderId="0">
      <alignment horizontal="center"/>
    </xf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>
      <alignment horizontal="center"/>
    </xf>
    <xf numFmtId="0" fontId="37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0" fontId="37" fillId="0" borderId="0">
      <alignment horizontal="center"/>
    </xf>
    <xf numFmtId="0" fontId="29" fillId="0" borderId="0">
      <alignment horizontal="center"/>
    </xf>
    <xf numFmtId="0" fontId="29" fillId="0" borderId="0"/>
    <xf numFmtId="0" fontId="29" fillId="0" borderId="0">
      <alignment horizontal="center"/>
    </xf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horizontal="center"/>
    </xf>
    <xf numFmtId="0" fontId="37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0" fontId="37" fillId="0" borderId="0">
      <alignment horizontal="center"/>
    </xf>
    <xf numFmtId="0" fontId="29" fillId="0" borderId="0">
      <alignment horizontal="center"/>
    </xf>
    <xf numFmtId="0" fontId="29" fillId="0" borderId="0"/>
    <xf numFmtId="0" fontId="29" fillId="0" borderId="0">
      <alignment horizontal="center"/>
    </xf>
    <xf numFmtId="0" fontId="29" fillId="0" borderId="0"/>
    <xf numFmtId="0" fontId="29" fillId="0" borderId="0">
      <alignment horizontal="center"/>
    </xf>
    <xf numFmtId="0" fontId="37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0" fontId="37" fillId="0" borderId="0">
      <alignment horizontal="center"/>
    </xf>
    <xf numFmtId="0" fontId="29" fillId="0" borderId="0">
      <alignment horizontal="center"/>
    </xf>
    <xf numFmtId="0" fontId="4" fillId="0" borderId="0"/>
    <xf numFmtId="0" fontId="29" fillId="0" borderId="0"/>
    <xf numFmtId="0" fontId="29" fillId="0" borderId="0"/>
    <xf numFmtId="0" fontId="29" fillId="0" borderId="0">
      <alignment horizontal="center"/>
    </xf>
    <xf numFmtId="3" fontId="43" fillId="25" borderId="13"/>
    <xf numFmtId="3" fontId="43" fillId="25" borderId="13"/>
    <xf numFmtId="3" fontId="43" fillId="26" borderId="13"/>
    <xf numFmtId="3" fontId="43" fillId="26" borderId="13"/>
    <xf numFmtId="3" fontId="43" fillId="26" borderId="13"/>
    <xf numFmtId="3" fontId="43" fillId="25" borderId="13"/>
    <xf numFmtId="3" fontId="43" fillId="25" borderId="13"/>
    <xf numFmtId="3" fontId="43" fillId="26" borderId="13"/>
    <xf numFmtId="3" fontId="43" fillId="26" borderId="13"/>
    <xf numFmtId="3" fontId="43" fillId="26" borderId="13"/>
    <xf numFmtId="3" fontId="43" fillId="25" borderId="13"/>
    <xf numFmtId="3" fontId="43" fillId="25" borderId="13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27" borderId="14" applyNumberFormat="0" applyFont="0" applyAlignment="0" applyProtection="0"/>
    <xf numFmtId="0" fontId="29" fillId="27" borderId="14" applyNumberFormat="0" applyFont="0" applyAlignment="0" applyProtection="0"/>
    <xf numFmtId="0" fontId="8" fillId="27" borderId="14" applyNumberFormat="0" applyFont="0" applyAlignment="0" applyProtection="0"/>
    <xf numFmtId="0" fontId="29" fillId="27" borderId="14" applyNumberFormat="0" applyFont="0" applyAlignment="0" applyProtection="0"/>
    <xf numFmtId="0" fontId="8" fillId="27" borderId="14" applyNumberFormat="0" applyFont="0" applyAlignment="0" applyProtection="0"/>
    <xf numFmtId="0" fontId="8" fillId="27" borderId="14" applyNumberFormat="0" applyFont="0" applyAlignment="0" applyProtection="0"/>
    <xf numFmtId="0" fontId="8" fillId="27" borderId="14" applyNumberFormat="0" applyFont="0" applyAlignment="0" applyProtection="0"/>
    <xf numFmtId="0" fontId="29" fillId="27" borderId="14" applyNumberFormat="0" applyFont="0" applyAlignment="0" applyProtection="0"/>
    <xf numFmtId="0" fontId="37" fillId="27" borderId="14" applyNumberFormat="0" applyFont="0" applyAlignment="0" applyProtection="0"/>
    <xf numFmtId="0" fontId="29" fillId="27" borderId="14" applyNumberFormat="0" applyFont="0" applyAlignment="0" applyProtection="0"/>
    <xf numFmtId="0" fontId="29" fillId="27" borderId="14" applyNumberFormat="0" applyFont="0" applyAlignment="0" applyProtection="0"/>
    <xf numFmtId="0" fontId="29" fillId="27" borderId="14" applyNumberFormat="0" applyFont="0" applyAlignment="0" applyProtection="0"/>
    <xf numFmtId="0" fontId="29" fillId="27" borderId="14" applyNumberFormat="0" applyFont="0" applyAlignment="0" applyProtection="0"/>
    <xf numFmtId="0" fontId="37" fillId="27" borderId="14" applyNumberFormat="0" applyFont="0" applyAlignment="0" applyProtection="0"/>
    <xf numFmtId="0" fontId="37" fillId="27" borderId="14" applyNumberFormat="0" applyFont="0" applyAlignment="0" applyProtection="0"/>
    <xf numFmtId="0" fontId="37" fillId="27" borderId="14" applyNumberFormat="0" applyFont="0" applyAlignment="0" applyProtection="0"/>
    <xf numFmtId="0" fontId="29" fillId="27" borderId="14" applyNumberFormat="0" applyFont="0" applyAlignment="0" applyProtection="0"/>
    <xf numFmtId="0" fontId="6" fillId="27" borderId="14" applyNumberFormat="0" applyFont="0" applyAlignment="0" applyProtection="0"/>
    <xf numFmtId="0" fontId="29" fillId="27" borderId="14" applyNumberFormat="0" applyFont="0" applyAlignment="0" applyProtection="0"/>
    <xf numFmtId="0" fontId="6" fillId="27" borderId="14" applyNumberFormat="0" applyFont="0" applyAlignment="0" applyProtection="0"/>
    <xf numFmtId="0" fontId="6" fillId="27" borderId="14" applyNumberFormat="0" applyFont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8" fillId="0" borderId="0"/>
    <xf numFmtId="0" fontId="29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0" fontId="37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0" fontId="37" fillId="0" borderId="0">
      <alignment horizontal="center"/>
    </xf>
    <xf numFmtId="0" fontId="29" fillId="0" borderId="0">
      <alignment horizontal="center"/>
    </xf>
    <xf numFmtId="0" fontId="8" fillId="0" borderId="0"/>
    <xf numFmtId="0" fontId="8" fillId="0" borderId="0"/>
    <xf numFmtId="0" fontId="29" fillId="0" borderId="0"/>
    <xf numFmtId="0" fontId="43" fillId="4" borderId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29" fillId="0" borderId="0" applyFont="0" applyFill="0" applyBorder="0" applyAlignment="0" applyProtection="0"/>
    <xf numFmtId="170" fontId="47" fillId="0" borderId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20" fillId="5" borderId="0" applyNumberFormat="0" applyBorder="0" applyAlignment="0" applyProtection="0"/>
    <xf numFmtId="0" fontId="2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0" borderId="0"/>
    <xf numFmtId="0" fontId="29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>
      <alignment horizontal="center"/>
    </xf>
    <xf numFmtId="0" fontId="29" fillId="0" borderId="0">
      <alignment horizontal="center"/>
    </xf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horizontal="center"/>
    </xf>
    <xf numFmtId="0" fontId="2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1" fontId="29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53" fillId="0" borderId="0"/>
    <xf numFmtId="0" fontId="54" fillId="0" borderId="0">
      <alignment horizontal="center"/>
    </xf>
    <xf numFmtId="0" fontId="55" fillId="0" borderId="0"/>
    <xf numFmtId="174" fontId="55" fillId="0" borderId="0"/>
    <xf numFmtId="0" fontId="6" fillId="0" borderId="0"/>
    <xf numFmtId="0" fontId="56" fillId="0" borderId="0"/>
    <xf numFmtId="3" fontId="43" fillId="26" borderId="13"/>
    <xf numFmtId="3" fontId="43" fillId="26" borderId="13"/>
    <xf numFmtId="3" fontId="43" fillId="26" borderId="13"/>
    <xf numFmtId="3" fontId="43" fillId="25" borderId="13"/>
    <xf numFmtId="3" fontId="43" fillId="25" borderId="13"/>
    <xf numFmtId="3" fontId="43" fillId="25" borderId="13"/>
    <xf numFmtId="3" fontId="43" fillId="26" borderId="13"/>
    <xf numFmtId="3" fontId="43" fillId="26" borderId="13"/>
    <xf numFmtId="3" fontId="43" fillId="26" borderId="13"/>
    <xf numFmtId="3" fontId="43" fillId="25" borderId="13"/>
    <xf numFmtId="3" fontId="43" fillId="25" borderId="13"/>
    <xf numFmtId="3" fontId="43" fillId="25" borderId="13"/>
    <xf numFmtId="167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5">
      <alignment horizontal="left" vertical="top"/>
    </xf>
    <xf numFmtId="0" fontId="11" fillId="0" borderId="5">
      <alignment horizontal="left" vertical="top"/>
    </xf>
    <xf numFmtId="0" fontId="11" fillId="0" borderId="5">
      <alignment horizontal="left" vertical="top"/>
    </xf>
    <xf numFmtId="0" fontId="11" fillId="0" borderId="5">
      <alignment horizontal="left" vertical="top"/>
    </xf>
    <xf numFmtId="0" fontId="11" fillId="0" borderId="5">
      <alignment horizontal="left" vertical="top"/>
    </xf>
    <xf numFmtId="0" fontId="11" fillId="0" borderId="5">
      <alignment horizontal="left" vertical="top"/>
    </xf>
    <xf numFmtId="0" fontId="11" fillId="0" borderId="5">
      <alignment horizontal="left" vertical="top"/>
    </xf>
    <xf numFmtId="0" fontId="11" fillId="0" borderId="5">
      <alignment horizontal="left" vertical="top"/>
    </xf>
    <xf numFmtId="0" fontId="11" fillId="0" borderId="5">
      <alignment horizontal="left" vertical="top"/>
    </xf>
    <xf numFmtId="0" fontId="11" fillId="0" borderId="5">
      <alignment horizontal="left" vertical="top"/>
    </xf>
    <xf numFmtId="0" fontId="29" fillId="0" borderId="0"/>
    <xf numFmtId="0" fontId="64" fillId="0" borderId="0"/>
    <xf numFmtId="0" fontId="29" fillId="0" borderId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1" fillId="0" borderId="21">
      <alignment horizontal="center" textRotation="90" wrapText="1"/>
    </xf>
    <xf numFmtId="0" fontId="11" fillId="0" borderId="21">
      <alignment horizontal="center" vertical="center" wrapText="1"/>
    </xf>
    <xf numFmtId="0" fontId="10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10" fillId="8" borderId="6" applyNumberFormat="0" applyAlignment="0" applyProtection="0"/>
    <xf numFmtId="0" fontId="10" fillId="8" borderId="6" applyNumberFormat="0" applyAlignment="0" applyProtection="0"/>
    <xf numFmtId="0" fontId="10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26" fillId="22" borderId="7" applyNumberFormat="0" applyAlignment="0" applyProtection="0"/>
    <xf numFmtId="0" fontId="27" fillId="22" borderId="7" applyNumberFormat="0" applyAlignment="0" applyProtection="0"/>
    <xf numFmtId="0" fontId="27" fillId="22" borderId="7" applyNumberFormat="0" applyAlignment="0" applyProtection="0"/>
    <xf numFmtId="0" fontId="26" fillId="22" borderId="7" applyNumberFormat="0" applyAlignment="0" applyProtection="0"/>
    <xf numFmtId="0" fontId="26" fillId="22" borderId="7" applyNumberFormat="0" applyAlignment="0" applyProtection="0"/>
    <xf numFmtId="0" fontId="26" fillId="22" borderId="7" applyNumberFormat="0" applyAlignment="0" applyProtection="0"/>
    <xf numFmtId="0" fontId="27" fillId="22" borderId="7" applyNumberFormat="0" applyAlignment="0" applyProtection="0"/>
    <xf numFmtId="0" fontId="27" fillId="22" borderId="7" applyNumberFormat="0" applyAlignment="0" applyProtection="0"/>
    <xf numFmtId="0" fontId="27" fillId="22" borderId="7" applyNumberFormat="0" applyAlignment="0" applyProtection="0"/>
    <xf numFmtId="0" fontId="27" fillId="22" borderId="7" applyNumberFormat="0" applyAlignment="0" applyProtection="0"/>
    <xf numFmtId="0" fontId="27" fillId="22" borderId="6" applyNumberFormat="0" applyAlignment="0" applyProtection="0"/>
    <xf numFmtId="0" fontId="28" fillId="22" borderId="6" applyNumberFormat="0" applyAlignment="0" applyProtection="0"/>
    <xf numFmtId="0" fontId="28" fillId="22" borderId="6" applyNumberFormat="0" applyAlignment="0" applyProtection="0"/>
    <xf numFmtId="0" fontId="27" fillId="22" borderId="6" applyNumberFormat="0" applyAlignment="0" applyProtection="0"/>
    <xf numFmtId="0" fontId="27" fillId="22" borderId="6" applyNumberFormat="0" applyAlignment="0" applyProtection="0"/>
    <xf numFmtId="0" fontId="27" fillId="22" borderId="6" applyNumberFormat="0" applyAlignment="0" applyProtection="0"/>
    <xf numFmtId="0" fontId="28" fillId="22" borderId="6" applyNumberFormat="0" applyAlignment="0" applyProtection="0"/>
    <xf numFmtId="0" fontId="28" fillId="22" borderId="6" applyNumberFormat="0" applyAlignment="0" applyProtection="0"/>
    <xf numFmtId="0" fontId="28" fillId="22" borderId="6" applyNumberFormat="0" applyAlignment="0" applyProtection="0"/>
    <xf numFmtId="0" fontId="28" fillId="22" borderId="6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43" fillId="26" borderId="13"/>
    <xf numFmtId="3" fontId="43" fillId="26" borderId="13"/>
    <xf numFmtId="3" fontId="43" fillId="25" borderId="13"/>
    <xf numFmtId="3" fontId="43" fillId="25" borderId="13"/>
    <xf numFmtId="3" fontId="43" fillId="26" borderId="13"/>
    <xf numFmtId="3" fontId="43" fillId="26" borderId="13"/>
    <xf numFmtId="3" fontId="43" fillId="25" borderId="13"/>
    <xf numFmtId="3" fontId="43" fillId="25" borderId="13"/>
    <xf numFmtId="0" fontId="8" fillId="27" borderId="14" applyNumberFormat="0" applyFont="0" applyAlignment="0" applyProtection="0"/>
    <xf numFmtId="0" fontId="29" fillId="27" borderId="14" applyNumberFormat="0" applyFont="0" applyAlignment="0" applyProtection="0"/>
    <xf numFmtId="0" fontId="29" fillId="27" borderId="14" applyNumberFormat="0" applyFont="0" applyAlignment="0" applyProtection="0"/>
    <xf numFmtId="0" fontId="8" fillId="27" borderId="14" applyNumberFormat="0" applyFont="0" applyAlignment="0" applyProtection="0"/>
    <xf numFmtId="0" fontId="8" fillId="27" borderId="14" applyNumberFormat="0" applyFont="0" applyAlignment="0" applyProtection="0"/>
    <xf numFmtId="0" fontId="8" fillId="27" borderId="14" applyNumberFormat="0" applyFont="0" applyAlignment="0" applyProtection="0"/>
    <xf numFmtId="0" fontId="29" fillId="27" borderId="14" applyNumberFormat="0" applyFont="0" applyAlignment="0" applyProtection="0"/>
    <xf numFmtId="0" fontId="29" fillId="27" borderId="14" applyNumberFormat="0" applyFont="0" applyAlignment="0" applyProtection="0"/>
    <xf numFmtId="0" fontId="29" fillId="27" borderId="14" applyNumberFormat="0" applyFont="0" applyAlignment="0" applyProtection="0"/>
    <xf numFmtId="0" fontId="29" fillId="27" borderId="14" applyNumberFormat="0" applyFont="0" applyAlignment="0" applyProtection="0"/>
    <xf numFmtId="0" fontId="29" fillId="27" borderId="14" applyNumberFormat="0" applyFont="0" applyAlignment="0" applyProtection="0"/>
    <xf numFmtId="0" fontId="29" fillId="27" borderId="14" applyNumberFormat="0" applyFont="0" applyAlignment="0" applyProtection="0"/>
    <xf numFmtId="0" fontId="37" fillId="27" borderId="14" applyNumberFormat="0" applyFont="0" applyAlignment="0" applyProtection="0"/>
    <xf numFmtId="0" fontId="37" fillId="27" borderId="14" applyNumberFormat="0" applyFont="0" applyAlignment="0" applyProtection="0"/>
    <xf numFmtId="0" fontId="37" fillId="27" borderId="14" applyNumberFormat="0" applyFont="0" applyAlignment="0" applyProtection="0"/>
    <xf numFmtId="0" fontId="29" fillId="27" borderId="14" applyNumberFormat="0" applyFont="0" applyAlignment="0" applyProtection="0"/>
    <xf numFmtId="0" fontId="6" fillId="27" borderId="14" applyNumberFormat="0" applyFont="0" applyAlignment="0" applyProtection="0"/>
    <xf numFmtId="0" fontId="29" fillId="27" borderId="14" applyNumberFormat="0" applyFont="0" applyAlignment="0" applyProtection="0"/>
    <xf numFmtId="0" fontId="29" fillId="27" borderId="14" applyNumberFormat="0" applyFont="0" applyAlignment="0" applyProtection="0"/>
    <xf numFmtId="0" fontId="29" fillId="27" borderId="14" applyNumberFormat="0" applyFont="0" applyAlignment="0" applyProtection="0"/>
    <xf numFmtId="0" fontId="6" fillId="27" borderId="14" applyNumberFormat="0" applyFont="0" applyAlignment="0" applyProtection="0"/>
    <xf numFmtId="0" fontId="29" fillId="27" borderId="14" applyNumberFormat="0" applyFont="0" applyAlignment="0" applyProtection="0"/>
    <xf numFmtId="9" fontId="1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 applyFont="0" applyFill="0" applyBorder="0" applyAlignment="0" applyProtection="0"/>
    <xf numFmtId="165" fontId="6" fillId="0" borderId="0" applyFont="0" applyFill="0" applyBorder="0" applyAlignment="0" applyProtection="0"/>
    <xf numFmtId="172" fontId="1" fillId="0" borderId="0" applyFont="0" applyFill="0" applyBorder="0" applyAlignment="0" applyProtection="0"/>
    <xf numFmtId="177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</cellStyleXfs>
  <cellXfs count="598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0" fillId="0" borderId="0" xfId="0" applyFill="1"/>
    <xf numFmtId="4" fontId="50" fillId="0" borderId="13" xfId="0" applyNumberFormat="1" applyFont="1" applyFill="1" applyBorder="1" applyAlignment="1">
      <alignment vertical="center" wrapText="1"/>
    </xf>
    <xf numFmtId="0" fontId="51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/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/>
    <xf numFmtId="2" fontId="57" fillId="0" borderId="0" xfId="939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4" fontId="57" fillId="0" borderId="13" xfId="456" applyNumberFormat="1" applyFont="1" applyFill="1" applyBorder="1" applyAlignment="1">
      <alignment horizontal="right" vertical="center"/>
    </xf>
    <xf numFmtId="0" fontId="59" fillId="0" borderId="13" xfId="0" applyFont="1" applyFill="1" applyBorder="1" applyAlignment="1">
      <alignment horizontal="center" vertical="center"/>
    </xf>
    <xf numFmtId="0" fontId="57" fillId="0" borderId="13" xfId="456" applyFont="1" applyFill="1" applyBorder="1" applyAlignment="1">
      <alignment vertical="center" wrapText="1"/>
    </xf>
    <xf numFmtId="0" fontId="57" fillId="0" borderId="13" xfId="456" applyFont="1" applyFill="1" applyBorder="1" applyAlignment="1">
      <alignment horizontal="center" vertical="center" wrapText="1"/>
    </xf>
    <xf numFmtId="173" fontId="57" fillId="28" borderId="13" xfId="456" applyNumberFormat="1" applyFont="1" applyFill="1" applyBorder="1" applyAlignment="1">
      <alignment horizontal="right" vertical="center"/>
    </xf>
    <xf numFmtId="173" fontId="57" fillId="0" borderId="13" xfId="456" applyNumberFormat="1" applyFont="1" applyFill="1" applyBorder="1" applyAlignment="1">
      <alignment horizontal="right" vertical="center"/>
    </xf>
    <xf numFmtId="0" fontId="1" fillId="0" borderId="0" xfId="0" applyFont="1"/>
    <xf numFmtId="0" fontId="57" fillId="0" borderId="13" xfId="456" applyFont="1" applyFill="1" applyBorder="1" applyAlignment="1">
      <alignment wrapText="1"/>
    </xf>
    <xf numFmtId="49" fontId="60" fillId="0" borderId="13" xfId="456" applyNumberFormat="1" applyFont="1" applyFill="1" applyBorder="1" applyAlignment="1">
      <alignment horizontal="center" vertical="center"/>
    </xf>
    <xf numFmtId="0" fontId="60" fillId="0" borderId="13" xfId="456" applyFont="1" applyFill="1" applyBorder="1" applyAlignment="1">
      <alignment wrapText="1"/>
    </xf>
    <xf numFmtId="0" fontId="60" fillId="0" borderId="13" xfId="456" applyFont="1" applyFill="1" applyBorder="1" applyAlignment="1">
      <alignment horizontal="center" vertical="center" wrapText="1"/>
    </xf>
    <xf numFmtId="4" fontId="60" fillId="0" borderId="13" xfId="456" applyNumberFormat="1" applyFont="1" applyFill="1" applyBorder="1" applyAlignment="1">
      <alignment horizontal="right" vertical="center"/>
    </xf>
    <xf numFmtId="0" fontId="60" fillId="0" borderId="13" xfId="456" applyFont="1" applyFill="1" applyBorder="1"/>
    <xf numFmtId="0" fontId="60" fillId="0" borderId="13" xfId="456" applyFont="1" applyFill="1" applyBorder="1" applyAlignment="1">
      <alignment vertical="center" wrapText="1"/>
    </xf>
    <xf numFmtId="0" fontId="61" fillId="0" borderId="13" xfId="456" applyFont="1" applyFill="1" applyBorder="1" applyAlignment="1">
      <alignment vertical="center" wrapText="1"/>
    </xf>
    <xf numFmtId="4" fontId="57" fillId="28" borderId="13" xfId="456" applyNumberFormat="1" applyFont="1" applyFill="1" applyBorder="1" applyAlignment="1">
      <alignment horizontal="right" vertical="center"/>
    </xf>
    <xf numFmtId="49" fontId="57" fillId="0" borderId="13" xfId="456" applyNumberFormat="1" applyFont="1" applyFill="1" applyBorder="1" applyAlignment="1">
      <alignment horizontal="center" vertical="center"/>
    </xf>
    <xf numFmtId="2" fontId="60" fillId="0" borderId="13" xfId="1" applyNumberFormat="1" applyFont="1" applyFill="1" applyBorder="1" applyAlignment="1">
      <alignment horizontal="left" vertical="center" wrapText="1"/>
    </xf>
    <xf numFmtId="49" fontId="57" fillId="0" borderId="13" xfId="456" applyNumberFormat="1" applyFont="1" applyFill="1" applyBorder="1" applyAlignment="1">
      <alignment vertical="center" wrapText="1"/>
    </xf>
    <xf numFmtId="49" fontId="60" fillId="0" borderId="13" xfId="456" applyNumberFormat="1" applyFont="1" applyFill="1" applyBorder="1" applyAlignment="1">
      <alignment vertical="center" wrapText="1"/>
    </xf>
    <xf numFmtId="0" fontId="60" fillId="0" borderId="13" xfId="456" applyFont="1" applyFill="1" applyBorder="1" applyAlignment="1">
      <alignment horizontal="left" vertical="top" wrapText="1"/>
    </xf>
    <xf numFmtId="173" fontId="57" fillId="28" borderId="13" xfId="456" applyNumberFormat="1" applyFont="1" applyFill="1" applyBorder="1" applyAlignment="1">
      <alignment horizontal="right" vertical="center" wrapText="1"/>
    </xf>
    <xf numFmtId="0" fontId="60" fillId="0" borderId="13" xfId="456" applyFont="1" applyFill="1" applyBorder="1" applyAlignment="1"/>
    <xf numFmtId="49" fontId="60" fillId="0" borderId="13" xfId="456" applyNumberFormat="1" applyFont="1" applyFill="1" applyBorder="1" applyAlignment="1">
      <alignment horizontal="center"/>
    </xf>
    <xf numFmtId="49" fontId="57" fillId="0" borderId="13" xfId="456" applyNumberFormat="1" applyFont="1" applyFill="1" applyBorder="1" applyAlignment="1">
      <alignment horizontal="center"/>
    </xf>
    <xf numFmtId="49" fontId="60" fillId="0" borderId="0" xfId="456" applyNumberFormat="1" applyFont="1" applyFill="1" applyBorder="1" applyAlignment="1">
      <alignment horizontal="center"/>
    </xf>
    <xf numFmtId="0" fontId="61" fillId="0" borderId="0" xfId="0" applyFont="1"/>
    <xf numFmtId="0" fontId="58" fillId="0" borderId="0" xfId="0" applyFont="1" applyFill="1" applyAlignment="1">
      <alignment horizontal="left" vertical="center" indent="7"/>
    </xf>
    <xf numFmtId="0" fontId="6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8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1" fillId="0" borderId="0" xfId="0" applyFont="1" applyFill="1"/>
    <xf numFmtId="0" fontId="57" fillId="0" borderId="13" xfId="456" applyFont="1" applyFill="1" applyBorder="1" applyAlignment="1">
      <alignment vertical="top" wrapText="1"/>
    </xf>
    <xf numFmtId="0" fontId="57" fillId="0" borderId="13" xfId="456" applyFont="1" applyFill="1" applyBorder="1" applyAlignment="1">
      <alignment horizontal="center" vertical="top" wrapText="1"/>
    </xf>
    <xf numFmtId="0" fontId="60" fillId="0" borderId="13" xfId="456" applyFont="1" applyFill="1" applyBorder="1" applyAlignment="1">
      <alignment vertical="top" wrapText="1"/>
    </xf>
    <xf numFmtId="0" fontId="60" fillId="0" borderId="13" xfId="456" applyFont="1" applyFill="1" applyBorder="1" applyAlignment="1">
      <alignment horizontal="center" vertical="top" wrapText="1"/>
    </xf>
    <xf numFmtId="0" fontId="60" fillId="0" borderId="13" xfId="456" applyFont="1" applyFill="1" applyBorder="1" applyAlignment="1">
      <alignment vertical="top"/>
    </xf>
    <xf numFmtId="0" fontId="61" fillId="0" borderId="13" xfId="456" applyFont="1" applyFill="1" applyBorder="1" applyAlignment="1">
      <alignment vertical="top" wrapText="1"/>
    </xf>
    <xf numFmtId="0" fontId="59" fillId="0" borderId="13" xfId="456" applyFont="1" applyFill="1" applyBorder="1" applyAlignment="1">
      <alignment vertical="top" wrapText="1"/>
    </xf>
    <xf numFmtId="2" fontId="61" fillId="0" borderId="13" xfId="0" applyNumberFormat="1" applyFont="1" applyFill="1" applyBorder="1"/>
    <xf numFmtId="2" fontId="60" fillId="0" borderId="13" xfId="1" applyNumberFormat="1" applyFont="1" applyFill="1" applyBorder="1" applyAlignment="1">
      <alignment horizontal="left" vertical="top" wrapText="1"/>
    </xf>
    <xf numFmtId="4" fontId="61" fillId="28" borderId="13" xfId="0" applyNumberFormat="1" applyFont="1" applyFill="1" applyBorder="1"/>
    <xf numFmtId="2" fontId="61" fillId="28" borderId="13" xfId="0" applyNumberFormat="1" applyFont="1" applyFill="1" applyBorder="1"/>
    <xf numFmtId="0" fontId="61" fillId="28" borderId="13" xfId="0" applyFont="1" applyFill="1" applyBorder="1"/>
    <xf numFmtId="49" fontId="57" fillId="0" borderId="13" xfId="456" applyNumberFormat="1" applyFont="1" applyFill="1" applyBorder="1" applyAlignment="1">
      <alignment vertical="top" wrapText="1"/>
    </xf>
    <xf numFmtId="49" fontId="60" fillId="0" borderId="13" xfId="456" applyNumberFormat="1" applyFont="1" applyFill="1" applyBorder="1" applyAlignment="1">
      <alignment vertical="top" wrapText="1"/>
    </xf>
    <xf numFmtId="4" fontId="61" fillId="0" borderId="13" xfId="0" applyNumberFormat="1" applyFont="1" applyBorder="1"/>
    <xf numFmtId="0" fontId="57" fillId="28" borderId="13" xfId="456" applyFont="1" applyFill="1" applyBorder="1" applyAlignment="1">
      <alignment horizontal="center" vertical="center"/>
    </xf>
    <xf numFmtId="0" fontId="57" fillId="28" borderId="13" xfId="456" applyFont="1" applyFill="1" applyBorder="1" applyAlignment="1">
      <alignment horizontal="left" vertical="top" wrapText="1"/>
    </xf>
    <xf numFmtId="0" fontId="57" fillId="28" borderId="13" xfId="456" applyFont="1" applyFill="1" applyBorder="1" applyAlignment="1">
      <alignment vertical="center" wrapText="1"/>
    </xf>
    <xf numFmtId="4" fontId="59" fillId="28" borderId="13" xfId="0" applyNumberFormat="1" applyFont="1" applyFill="1" applyBorder="1"/>
    <xf numFmtId="173" fontId="59" fillId="28" borderId="13" xfId="0" applyNumberFormat="1" applyFont="1" applyFill="1" applyBorder="1" applyAlignment="1">
      <alignment vertical="center"/>
    </xf>
    <xf numFmtId="4" fontId="59" fillId="28" borderId="13" xfId="0" applyNumberFormat="1" applyFont="1" applyFill="1" applyBorder="1" applyAlignment="1">
      <alignment vertical="center"/>
    </xf>
    <xf numFmtId="2" fontId="61" fillId="28" borderId="13" xfId="0" applyNumberFormat="1" applyFont="1" applyFill="1" applyBorder="1" applyAlignment="1">
      <alignment vertical="center"/>
    </xf>
    <xf numFmtId="2" fontId="61" fillId="28" borderId="13" xfId="0" applyNumberFormat="1" applyFont="1" applyFill="1" applyBorder="1" applyAlignment="1">
      <alignment horizontal="right" vertical="center"/>
    </xf>
    <xf numFmtId="2" fontId="51" fillId="0" borderId="0" xfId="0" applyNumberFormat="1" applyFont="1" applyFill="1" applyAlignment="1">
      <alignment horizontal="center" vertical="center"/>
    </xf>
    <xf numFmtId="0" fontId="62" fillId="0" borderId="13" xfId="456" applyFont="1" applyFill="1" applyBorder="1" applyAlignment="1">
      <alignment horizontal="center" vertical="center"/>
    </xf>
    <xf numFmtId="0" fontId="57" fillId="0" borderId="13" xfId="456" applyFont="1" applyFill="1" applyBorder="1" applyAlignment="1">
      <alignment horizontal="center" vertical="center"/>
    </xf>
    <xf numFmtId="2" fontId="59" fillId="28" borderId="13" xfId="0" applyNumberFormat="1" applyFont="1" applyFill="1" applyBorder="1"/>
    <xf numFmtId="0" fontId="57" fillId="28" borderId="13" xfId="456" applyFont="1" applyFill="1" applyBorder="1" applyAlignment="1">
      <alignment horizontal="center" vertical="center" wrapText="1"/>
    </xf>
    <xf numFmtId="4" fontId="51" fillId="0" borderId="0" xfId="0" applyNumberFormat="1" applyFont="1" applyFill="1" applyAlignment="1">
      <alignment horizontal="center" vertical="center"/>
    </xf>
    <xf numFmtId="0" fontId="62" fillId="0" borderId="13" xfId="456" applyFont="1" applyFill="1" applyBorder="1" applyAlignment="1">
      <alignment horizontal="center" vertical="center"/>
    </xf>
    <xf numFmtId="0" fontId="57" fillId="0" borderId="13" xfId="456" applyFont="1" applyFill="1" applyBorder="1" applyAlignment="1">
      <alignment horizontal="center" vertical="center"/>
    </xf>
    <xf numFmtId="0" fontId="57" fillId="0" borderId="13" xfId="456" applyFont="1" applyFill="1" applyBorder="1" applyAlignment="1">
      <alignment horizontal="left" vertical="center" wrapText="1"/>
    </xf>
    <xf numFmtId="4" fontId="52" fillId="0" borderId="13" xfId="0" applyNumberFormat="1" applyFont="1" applyFill="1" applyBorder="1" applyAlignment="1">
      <alignment horizontal="right" vertical="center" wrapText="1"/>
    </xf>
    <xf numFmtId="173" fontId="61" fillId="0" borderId="13" xfId="0" applyNumberFormat="1" applyFont="1" applyBorder="1"/>
    <xf numFmtId="0" fontId="61" fillId="0" borderId="13" xfId="0" applyFont="1" applyBorder="1"/>
    <xf numFmtId="0" fontId="61" fillId="0" borderId="0" xfId="0" applyFont="1" applyFill="1" applyBorder="1" applyAlignment="1">
      <alignment wrapText="1"/>
    </xf>
    <xf numFmtId="0" fontId="61" fillId="0" borderId="0" xfId="0" applyFont="1" applyFill="1" applyBorder="1"/>
    <xf numFmtId="0" fontId="61" fillId="0" borderId="0" xfId="0" applyFont="1" applyBorder="1" applyAlignment="1">
      <alignment horizontal="center" wrapText="1"/>
    </xf>
    <xf numFmtId="0" fontId="61" fillId="0" borderId="0" xfId="0" applyFont="1" applyBorder="1"/>
    <xf numFmtId="2" fontId="61" fillId="0" borderId="0" xfId="1225" applyNumberFormat="1" applyFont="1" applyFill="1" applyBorder="1"/>
    <xf numFmtId="4" fontId="0" fillId="0" borderId="0" xfId="0" applyNumberFormat="1"/>
    <xf numFmtId="0" fontId="59" fillId="0" borderId="0" xfId="0" applyFont="1"/>
    <xf numFmtId="173" fontId="0" fillId="0" borderId="0" xfId="0" applyNumberFormat="1"/>
    <xf numFmtId="173" fontId="5" fillId="0" borderId="13" xfId="1240" applyNumberFormat="1" applyFont="1" applyFill="1" applyBorder="1" applyAlignment="1">
      <alignment horizontal="right" vertical="center"/>
    </xf>
    <xf numFmtId="1" fontId="7" fillId="0" borderId="13" xfId="1" applyNumberFormat="1" applyFont="1" applyFill="1" applyBorder="1" applyAlignment="1">
      <alignment horizontal="center" vertical="center" wrapText="1"/>
    </xf>
    <xf numFmtId="2" fontId="7" fillId="0" borderId="13" xfId="1" applyNumberFormat="1" applyFont="1" applyFill="1" applyBorder="1" applyAlignment="1">
      <alignment horizontal="left" vertical="center" wrapText="1"/>
    </xf>
    <xf numFmtId="2" fontId="7" fillId="0" borderId="13" xfId="1" applyNumberFormat="1" applyFont="1" applyFill="1" applyBorder="1" applyAlignment="1">
      <alignment horizontal="center" vertical="center" wrapText="1"/>
    </xf>
    <xf numFmtId="1" fontId="66" fillId="0" borderId="13" xfId="1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9" fontId="7" fillId="0" borderId="13" xfId="1" applyNumberFormat="1" applyFont="1" applyFill="1" applyBorder="1" applyAlignment="1">
      <alignment horizontal="center" vertical="center" wrapText="1"/>
    </xf>
    <xf numFmtId="4" fontId="5" fillId="0" borderId="13" xfId="1240" applyNumberFormat="1" applyFont="1" applyFill="1" applyBorder="1" applyAlignment="1">
      <alignment horizontal="right" vertical="center"/>
    </xf>
    <xf numFmtId="173" fontId="5" fillId="0" borderId="13" xfId="1245" applyNumberFormat="1" applyFont="1" applyFill="1" applyBorder="1" applyAlignment="1">
      <alignment horizontal="right" vertical="center"/>
    </xf>
    <xf numFmtId="49" fontId="66" fillId="0" borderId="13" xfId="1" applyNumberFormat="1" applyFont="1" applyFill="1" applyBorder="1" applyAlignment="1">
      <alignment horizontal="center" vertical="center" wrapText="1"/>
    </xf>
    <xf numFmtId="4" fontId="67" fillId="0" borderId="13" xfId="687" applyNumberFormat="1" applyFont="1" applyFill="1" applyBorder="1" applyAlignment="1">
      <alignment horizontal="right" vertical="center" wrapText="1"/>
    </xf>
    <xf numFmtId="4" fontId="68" fillId="0" borderId="13" xfId="687" applyNumberFormat="1" applyFont="1" applyFill="1" applyBorder="1" applyAlignment="1">
      <alignment horizontal="right" vertical="center" wrapText="1"/>
    </xf>
    <xf numFmtId="4" fontId="7" fillId="0" borderId="13" xfId="687" applyNumberFormat="1" applyFont="1" applyFill="1" applyBorder="1" applyAlignment="1">
      <alignment horizontal="right" vertical="center" wrapText="1"/>
    </xf>
    <xf numFmtId="0" fontId="7" fillId="0" borderId="13" xfId="939" applyFont="1" applyFill="1" applyBorder="1" applyAlignment="1">
      <alignment horizontal="left" vertical="center" wrapText="1"/>
    </xf>
    <xf numFmtId="173" fontId="67" fillId="0" borderId="13" xfId="687" applyNumberFormat="1" applyFont="1" applyFill="1" applyBorder="1" applyAlignment="1">
      <alignment horizontal="right" vertical="center" wrapText="1"/>
    </xf>
    <xf numFmtId="3" fontId="67" fillId="0" borderId="13" xfId="687" applyNumberFormat="1" applyFont="1" applyFill="1" applyBorder="1" applyAlignment="1">
      <alignment horizontal="right" vertical="center" wrapText="1"/>
    </xf>
    <xf numFmtId="0" fontId="67" fillId="0" borderId="13" xfId="687" applyFont="1" applyFill="1" applyBorder="1" applyAlignment="1">
      <alignment horizontal="center" vertical="center" wrapText="1"/>
    </xf>
    <xf numFmtId="3" fontId="68" fillId="0" borderId="13" xfId="687" applyNumberFormat="1" applyFont="1" applyFill="1" applyBorder="1" applyAlignment="1">
      <alignment horizontal="right" vertical="center" wrapText="1"/>
    </xf>
    <xf numFmtId="0" fontId="68" fillId="0" borderId="13" xfId="687" applyFont="1" applyFill="1" applyBorder="1" applyAlignment="1">
      <alignment horizontal="center" vertical="center" wrapText="1"/>
    </xf>
    <xf numFmtId="0" fontId="7" fillId="0" borderId="0" xfId="0" applyFont="1"/>
    <xf numFmtId="0" fontId="60" fillId="0" borderId="0" xfId="0" applyFont="1" applyFill="1"/>
    <xf numFmtId="0" fontId="7" fillId="0" borderId="0" xfId="0" applyFont="1" applyFill="1"/>
    <xf numFmtId="0" fontId="57" fillId="0" borderId="13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wrapText="1"/>
    </xf>
    <xf numFmtId="0" fontId="57" fillId="0" borderId="13" xfId="0" applyFont="1" applyFill="1" applyBorder="1" applyAlignment="1">
      <alignment horizontal="center" vertical="center" wrapText="1"/>
    </xf>
    <xf numFmtId="4" fontId="57" fillId="0" borderId="13" xfId="0" applyNumberFormat="1" applyFont="1" applyFill="1" applyBorder="1" applyAlignment="1">
      <alignment horizontal="center" vertical="center" wrapText="1"/>
    </xf>
    <xf numFmtId="0" fontId="66" fillId="0" borderId="0" xfId="0" applyFont="1" applyFill="1"/>
    <xf numFmtId="0" fontId="57" fillId="0" borderId="13" xfId="0" applyFont="1" applyFill="1" applyBorder="1" applyAlignment="1">
      <alignment horizontal="left" vertical="center" wrapText="1"/>
    </xf>
    <xf numFmtId="49" fontId="60" fillId="0" borderId="13" xfId="0" applyNumberFormat="1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wrapText="1"/>
    </xf>
    <xf numFmtId="0" fontId="60" fillId="0" borderId="13" xfId="0" applyFont="1" applyFill="1" applyBorder="1" applyAlignment="1">
      <alignment horizontal="center" vertical="center" wrapText="1"/>
    </xf>
    <xf numFmtId="49" fontId="60" fillId="0" borderId="13" xfId="0" applyNumberFormat="1" applyFont="1" applyFill="1" applyBorder="1" applyAlignment="1">
      <alignment vertical="center" wrapText="1"/>
    </xf>
    <xf numFmtId="0" fontId="60" fillId="0" borderId="13" xfId="0" applyFont="1" applyFill="1" applyBorder="1" applyAlignment="1">
      <alignment vertical="center" wrapText="1"/>
    </xf>
    <xf numFmtId="0" fontId="60" fillId="0" borderId="13" xfId="0" applyFont="1" applyFill="1" applyBorder="1" applyAlignment="1">
      <alignment horizontal="left" wrapText="1"/>
    </xf>
    <xf numFmtId="0" fontId="61" fillId="0" borderId="13" xfId="0" applyFont="1" applyFill="1" applyBorder="1" applyAlignment="1">
      <alignment vertical="center" wrapText="1"/>
    </xf>
    <xf numFmtId="0" fontId="57" fillId="0" borderId="13" xfId="0" applyFont="1" applyFill="1" applyBorder="1" applyAlignment="1">
      <alignment vertical="center" wrapText="1"/>
    </xf>
    <xf numFmtId="171" fontId="60" fillId="0" borderId="13" xfId="0" applyNumberFormat="1" applyFont="1" applyFill="1" applyBorder="1" applyAlignment="1">
      <alignment horizontal="left" vertical="center" wrapText="1"/>
    </xf>
    <xf numFmtId="0" fontId="62" fillId="0" borderId="13" xfId="0" applyFont="1" applyFill="1" applyBorder="1" applyAlignment="1">
      <alignment horizontal="center" vertical="center"/>
    </xf>
    <xf numFmtId="4" fontId="57" fillId="0" borderId="13" xfId="0" applyNumberFormat="1" applyFont="1" applyFill="1" applyBorder="1" applyAlignment="1">
      <alignment horizontal="right" vertical="center" wrapText="1"/>
    </xf>
    <xf numFmtId="49" fontId="57" fillId="0" borderId="13" xfId="0" applyNumberFormat="1" applyFont="1" applyFill="1" applyBorder="1" applyAlignment="1">
      <alignment vertical="center" wrapText="1"/>
    </xf>
    <xf numFmtId="0" fontId="60" fillId="0" borderId="13" xfId="0" applyFont="1" applyFill="1" applyBorder="1" applyAlignment="1">
      <alignment horizontal="left" vertical="top" wrapText="1"/>
    </xf>
    <xf numFmtId="49" fontId="57" fillId="0" borderId="13" xfId="0" applyNumberFormat="1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left" vertical="top" wrapText="1"/>
    </xf>
    <xf numFmtId="0" fontId="59" fillId="0" borderId="13" xfId="0" applyFont="1" applyFill="1" applyBorder="1" applyAlignment="1">
      <alignment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68" fillId="0" borderId="0" xfId="0" applyFont="1" applyFill="1"/>
    <xf numFmtId="3" fontId="7" fillId="0" borderId="0" xfId="0" applyNumberFormat="1" applyFont="1" applyFill="1"/>
    <xf numFmtId="4" fontId="60" fillId="0" borderId="0" xfId="0" applyNumberFormat="1" applyFont="1" applyFill="1"/>
    <xf numFmtId="0" fontId="60" fillId="0" borderId="0" xfId="0" applyFont="1"/>
    <xf numFmtId="0" fontId="7" fillId="0" borderId="0" xfId="456" applyFont="1"/>
    <xf numFmtId="0" fontId="57" fillId="0" borderId="22" xfId="456" applyFont="1" applyFill="1" applyBorder="1" applyAlignment="1">
      <alignment horizontal="center" vertical="center"/>
    </xf>
    <xf numFmtId="0" fontId="57" fillId="0" borderId="22" xfId="456" applyFont="1" applyFill="1" applyBorder="1" applyAlignment="1">
      <alignment wrapText="1"/>
    </xf>
    <xf numFmtId="0" fontId="57" fillId="0" borderId="22" xfId="456" applyFont="1" applyFill="1" applyBorder="1" applyAlignment="1">
      <alignment horizontal="center" vertical="center" wrapText="1"/>
    </xf>
    <xf numFmtId="4" fontId="57" fillId="0" borderId="22" xfId="456" applyNumberFormat="1" applyFont="1" applyFill="1" applyBorder="1" applyAlignment="1">
      <alignment vertical="center"/>
    </xf>
    <xf numFmtId="0" fontId="66" fillId="0" borderId="0" xfId="456" applyFont="1"/>
    <xf numFmtId="0" fontId="57" fillId="0" borderId="22" xfId="456" applyFont="1" applyFill="1" applyBorder="1" applyAlignment="1">
      <alignment horizontal="left" vertical="center" wrapText="1"/>
    </xf>
    <xf numFmtId="49" fontId="60" fillId="0" borderId="22" xfId="456" applyNumberFormat="1" applyFont="1" applyFill="1" applyBorder="1" applyAlignment="1">
      <alignment horizontal="center" vertical="center"/>
    </xf>
    <xf numFmtId="0" fontId="60" fillId="0" borderId="22" xfId="456" applyFont="1" applyFill="1" applyBorder="1" applyAlignment="1">
      <alignment wrapText="1"/>
    </xf>
    <xf numFmtId="0" fontId="60" fillId="0" borderId="22" xfId="456" applyFont="1" applyFill="1" applyBorder="1" applyAlignment="1">
      <alignment horizontal="center" vertical="center" wrapText="1"/>
    </xf>
    <xf numFmtId="4" fontId="60" fillId="0" borderId="22" xfId="456" applyNumberFormat="1" applyFont="1" applyFill="1" applyBorder="1" applyAlignment="1">
      <alignment vertical="center"/>
    </xf>
    <xf numFmtId="0" fontId="60" fillId="0" borderId="22" xfId="456" applyFont="1" applyFill="1" applyBorder="1" applyAlignment="1">
      <alignment vertical="center" wrapText="1"/>
    </xf>
    <xf numFmtId="0" fontId="7" fillId="0" borderId="0" xfId="456" applyFont="1" applyFill="1"/>
    <xf numFmtId="49" fontId="60" fillId="0" borderId="22" xfId="456" applyNumberFormat="1" applyFont="1" applyFill="1" applyBorder="1" applyAlignment="1">
      <alignment vertical="center" wrapText="1"/>
    </xf>
    <xf numFmtId="0" fontId="66" fillId="0" borderId="0" xfId="456" applyFont="1" applyFill="1"/>
    <xf numFmtId="0" fontId="61" fillId="0" borderId="22" xfId="456" applyFont="1" applyFill="1" applyBorder="1" applyAlignment="1">
      <alignment vertical="center" wrapText="1"/>
    </xf>
    <xf numFmtId="0" fontId="57" fillId="0" borderId="22" xfId="456" applyFont="1" applyFill="1" applyBorder="1" applyAlignment="1">
      <alignment vertical="center" wrapText="1"/>
    </xf>
    <xf numFmtId="171" fontId="60" fillId="0" borderId="22" xfId="456" applyNumberFormat="1" applyFont="1" applyFill="1" applyBorder="1" applyAlignment="1">
      <alignment horizontal="left" vertical="center" wrapText="1"/>
    </xf>
    <xf numFmtId="4" fontId="61" fillId="0" borderId="22" xfId="456" applyNumberFormat="1" applyFont="1" applyFill="1" applyBorder="1" applyAlignment="1">
      <alignment vertical="center"/>
    </xf>
    <xf numFmtId="0" fontId="75" fillId="0" borderId="0" xfId="456" applyFont="1"/>
    <xf numFmtId="0" fontId="62" fillId="0" borderId="22" xfId="456" applyFont="1" applyFill="1" applyBorder="1" applyAlignment="1">
      <alignment horizontal="center" vertical="center"/>
    </xf>
    <xf numFmtId="0" fontId="60" fillId="0" borderId="22" xfId="456" applyFont="1" applyFill="1" applyBorder="1" applyAlignment="1">
      <alignment horizontal="left" vertical="top" wrapText="1"/>
    </xf>
    <xf numFmtId="49" fontId="57" fillId="0" borderId="22" xfId="456" applyNumberFormat="1" applyFont="1" applyFill="1" applyBorder="1" applyAlignment="1">
      <alignment vertical="center" wrapText="1"/>
    </xf>
    <xf numFmtId="4" fontId="59" fillId="0" borderId="22" xfId="456" applyNumberFormat="1" applyFont="1" applyFill="1" applyBorder="1" applyAlignment="1">
      <alignment vertical="center"/>
    </xf>
    <xf numFmtId="49" fontId="57" fillId="0" borderId="22" xfId="456" applyNumberFormat="1" applyFont="1" applyFill="1" applyBorder="1" applyAlignment="1">
      <alignment horizontal="center" vertical="center"/>
    </xf>
    <xf numFmtId="9" fontId="57" fillId="0" borderId="22" xfId="456" applyNumberFormat="1" applyFont="1" applyFill="1" applyBorder="1" applyAlignment="1">
      <alignment vertical="center"/>
    </xf>
    <xf numFmtId="173" fontId="57" fillId="0" borderId="22" xfId="456" applyNumberFormat="1" applyFont="1" applyFill="1" applyBorder="1" applyAlignment="1">
      <alignment horizontal="right" vertical="center"/>
    </xf>
    <xf numFmtId="0" fontId="60" fillId="0" borderId="0" xfId="456" applyFont="1" applyFill="1" applyBorder="1" applyAlignment="1">
      <alignment horizontal="left"/>
    </xf>
    <xf numFmtId="0" fontId="60" fillId="0" borderId="0" xfId="456" applyFont="1" applyFill="1"/>
    <xf numFmtId="0" fontId="7" fillId="28" borderId="0" xfId="456" applyFont="1" applyFill="1"/>
    <xf numFmtId="4" fontId="57" fillId="0" borderId="13" xfId="456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52" fillId="0" borderId="13" xfId="939" applyFont="1" applyFill="1" applyBorder="1" applyAlignment="1">
      <alignment horizontal="left" vertical="center" wrapText="1"/>
    </xf>
    <xf numFmtId="0" fontId="68" fillId="0" borderId="0" xfId="0" applyFont="1" applyFill="1" applyAlignment="1">
      <alignment vertical="center"/>
    </xf>
    <xf numFmtId="0" fontId="50" fillId="0" borderId="13" xfId="939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2" fillId="0" borderId="13" xfId="939" applyFont="1" applyFill="1" applyBorder="1" applyAlignment="1">
      <alignment horizontal="center" vertical="center" wrapText="1"/>
    </xf>
    <xf numFmtId="4" fontId="52" fillId="0" borderId="13" xfId="939" applyNumberFormat="1" applyFont="1" applyFill="1" applyBorder="1" applyAlignment="1">
      <alignment vertical="center" wrapText="1"/>
    </xf>
    <xf numFmtId="0" fontId="52" fillId="0" borderId="13" xfId="0" applyFont="1" applyFill="1" applyBorder="1" applyAlignment="1">
      <alignment horizontal="left" vertical="center" wrapText="1"/>
    </xf>
    <xf numFmtId="4" fontId="50" fillId="0" borderId="13" xfId="939" applyNumberFormat="1" applyFont="1" applyFill="1" applyBorder="1" applyAlignment="1">
      <alignment vertical="center" wrapText="1"/>
    </xf>
    <xf numFmtId="49" fontId="52" fillId="0" borderId="13" xfId="939" applyNumberFormat="1" applyFont="1" applyFill="1" applyBorder="1" applyAlignment="1">
      <alignment horizontal="center" vertical="center" wrapText="1"/>
    </xf>
    <xf numFmtId="0" fontId="52" fillId="0" borderId="22" xfId="939" applyFont="1" applyFill="1" applyBorder="1" applyAlignment="1">
      <alignment horizontal="left" vertical="center" wrapText="1"/>
    </xf>
    <xf numFmtId="171" fontId="68" fillId="0" borderId="13" xfId="456" applyNumberFormat="1" applyFont="1" applyFill="1" applyBorder="1" applyAlignment="1">
      <alignment horizontal="left" vertical="center" wrapText="1"/>
    </xf>
    <xf numFmtId="0" fontId="68" fillId="0" borderId="13" xfId="456" applyFont="1" applyFill="1" applyBorder="1" applyAlignment="1">
      <alignment horizontal="center" vertical="center" wrapText="1"/>
    </xf>
    <xf numFmtId="2" fontId="52" fillId="0" borderId="13" xfId="1" applyNumberFormat="1" applyFont="1" applyFill="1" applyBorder="1" applyAlignment="1">
      <alignment horizontal="left" vertical="center" wrapText="1"/>
    </xf>
    <xf numFmtId="2" fontId="52" fillId="0" borderId="13" xfId="1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 vertical="center"/>
    </xf>
    <xf numFmtId="0" fontId="79" fillId="0" borderId="0" xfId="0" applyFont="1" applyFill="1" applyAlignment="1">
      <alignment vertical="center"/>
    </xf>
    <xf numFmtId="0" fontId="52" fillId="0" borderId="0" xfId="0" applyFont="1" applyFill="1" applyAlignment="1">
      <alignment horizontal="left" vertical="center" wrapText="1"/>
    </xf>
    <xf numFmtId="0" fontId="57" fillId="0" borderId="22" xfId="456" applyFont="1" applyFill="1" applyBorder="1" applyAlignment="1">
      <alignment horizontal="center" vertical="center"/>
    </xf>
    <xf numFmtId="0" fontId="57" fillId="0" borderId="22" xfId="456" applyFont="1" applyFill="1" applyBorder="1" applyAlignment="1">
      <alignment horizontal="center" vertical="center" wrapText="1"/>
    </xf>
    <xf numFmtId="49" fontId="50" fillId="0" borderId="13" xfId="939" applyNumberFormat="1" applyFont="1" applyFill="1" applyBorder="1" applyAlignment="1">
      <alignment horizontal="center" vertical="center" wrapText="1"/>
    </xf>
    <xf numFmtId="0" fontId="50" fillId="0" borderId="13" xfId="939" applyFont="1" applyFill="1" applyBorder="1" applyAlignment="1">
      <alignment horizontal="left" vertical="center" wrapText="1"/>
    </xf>
    <xf numFmtId="2" fontId="66" fillId="0" borderId="13" xfId="1" applyNumberFormat="1" applyFont="1" applyFill="1" applyBorder="1" applyAlignment="1">
      <alignment horizontal="center" vertical="center" wrapText="1"/>
    </xf>
    <xf numFmtId="2" fontId="66" fillId="0" borderId="13" xfId="1" applyNumberFormat="1" applyFont="1" applyFill="1" applyBorder="1" applyAlignment="1">
      <alignment horizontal="left" vertical="center" wrapText="1"/>
    </xf>
    <xf numFmtId="0" fontId="57" fillId="0" borderId="0" xfId="0" applyFont="1" applyFill="1" applyAlignment="1">
      <alignment horizontal="center" vertical="center" wrapText="1"/>
    </xf>
    <xf numFmtId="0" fontId="62" fillId="0" borderId="13" xfId="456" applyFont="1" applyFill="1" applyBorder="1" applyAlignment="1">
      <alignment horizontal="center" vertical="center"/>
    </xf>
    <xf numFmtId="0" fontId="57" fillId="0" borderId="13" xfId="456" applyFont="1" applyFill="1" applyBorder="1" applyAlignment="1">
      <alignment horizontal="left" wrapText="1"/>
    </xf>
    <xf numFmtId="0" fontId="57" fillId="0" borderId="0" xfId="456" applyFont="1" applyFill="1" applyAlignment="1">
      <alignment horizontal="center" vertical="center" wrapText="1"/>
    </xf>
    <xf numFmtId="0" fontId="62" fillId="28" borderId="13" xfId="456" applyFont="1" applyFill="1" applyBorder="1" applyAlignment="1">
      <alignment horizontal="center" vertical="center"/>
    </xf>
    <xf numFmtId="0" fontId="57" fillId="28" borderId="13" xfId="456" applyFont="1" applyFill="1" applyBorder="1" applyAlignment="1">
      <alignment horizontal="left" vertical="top" wrapText="1"/>
    </xf>
    <xf numFmtId="0" fontId="57" fillId="0" borderId="5" xfId="456" applyFont="1" applyFill="1" applyBorder="1" applyAlignment="1">
      <alignment horizontal="center" vertical="center" wrapText="1"/>
    </xf>
    <xf numFmtId="4" fontId="57" fillId="0" borderId="0" xfId="0" applyNumberFormat="1" applyFont="1" applyFill="1" applyAlignment="1">
      <alignment horizontal="center" vertical="center" wrapText="1"/>
    </xf>
    <xf numFmtId="4" fontId="57" fillId="0" borderId="0" xfId="0" applyNumberFormat="1" applyFont="1" applyFill="1" applyAlignment="1">
      <alignment horizontal="left" vertical="center" wrapText="1"/>
    </xf>
    <xf numFmtId="4" fontId="65" fillId="0" borderId="0" xfId="0" applyNumberFormat="1" applyFont="1" applyFill="1" applyAlignment="1">
      <alignment horizontal="center" vertical="center" wrapText="1"/>
    </xf>
    <xf numFmtId="4" fontId="60" fillId="0" borderId="0" xfId="0" applyNumberFormat="1" applyFont="1" applyFill="1" applyAlignment="1">
      <alignment horizontal="center" vertical="center" wrapText="1"/>
    </xf>
    <xf numFmtId="4" fontId="61" fillId="0" borderId="0" xfId="0" applyNumberFormat="1" applyFont="1" applyFill="1" applyAlignment="1">
      <alignment wrapText="1"/>
    </xf>
    <xf numFmtId="4" fontId="57" fillId="0" borderId="23" xfId="939" applyNumberFormat="1" applyFont="1" applyFill="1" applyBorder="1" applyAlignment="1">
      <alignment horizontal="center" vertical="top" wrapText="1"/>
    </xf>
    <xf numFmtId="4" fontId="57" fillId="0" borderId="23" xfId="0" applyNumberFormat="1" applyFont="1" applyFill="1" applyBorder="1" applyAlignment="1">
      <alignment horizontal="center" vertical="top" wrapText="1"/>
    </xf>
    <xf numFmtId="4" fontId="59" fillId="0" borderId="20" xfId="0" applyNumberFormat="1" applyFont="1" applyFill="1" applyBorder="1" applyAlignment="1">
      <alignment horizontal="center" vertical="top" wrapText="1"/>
    </xf>
    <xf numFmtId="0" fontId="61" fillId="0" borderId="0" xfId="0" applyFont="1" applyFill="1" applyAlignment="1">
      <alignment horizontal="center" vertical="top"/>
    </xf>
    <xf numFmtId="4" fontId="57" fillId="0" borderId="13" xfId="939" applyNumberFormat="1" applyFont="1" applyFill="1" applyBorder="1" applyAlignment="1">
      <alignment horizontal="center" vertical="center" wrapText="1"/>
    </xf>
    <xf numFmtId="4" fontId="57" fillId="0" borderId="13" xfId="939" applyNumberFormat="1" applyFont="1" applyFill="1" applyBorder="1" applyAlignment="1">
      <alignment horizontal="left" vertical="center" wrapText="1"/>
    </xf>
    <xf numFmtId="9" fontId="57" fillId="0" borderId="13" xfId="1225" applyNumberFormat="1" applyFont="1" applyFill="1" applyBorder="1" applyAlignment="1">
      <alignment horizontal="center" vertical="center" wrapText="1"/>
    </xf>
    <xf numFmtId="4" fontId="60" fillId="0" borderId="13" xfId="939" applyNumberFormat="1" applyFont="1" applyFill="1" applyBorder="1" applyAlignment="1">
      <alignment horizontal="center" vertical="center" wrapText="1"/>
    </xf>
    <xf numFmtId="4" fontId="60" fillId="0" borderId="13" xfId="939" applyNumberFormat="1" applyFont="1" applyFill="1" applyBorder="1" applyAlignment="1">
      <alignment horizontal="left" vertical="center" wrapText="1"/>
    </xf>
    <xf numFmtId="4" fontId="60" fillId="0" borderId="13" xfId="1225" applyNumberFormat="1" applyFont="1" applyFill="1" applyBorder="1" applyAlignment="1">
      <alignment horizontal="center" vertical="center" wrapText="1"/>
    </xf>
    <xf numFmtId="4" fontId="60" fillId="0" borderId="13" xfId="0" applyNumberFormat="1" applyFont="1" applyFill="1" applyBorder="1" applyAlignment="1">
      <alignment horizontal="left" vertical="center" wrapText="1"/>
    </xf>
    <xf numFmtId="3" fontId="57" fillId="0" borderId="13" xfId="939" applyNumberFormat="1" applyFont="1" applyFill="1" applyBorder="1" applyAlignment="1">
      <alignment horizontal="center" vertical="center" wrapText="1"/>
    </xf>
    <xf numFmtId="4" fontId="57" fillId="0" borderId="13" xfId="939" applyNumberFormat="1" applyFont="1" applyFill="1" applyBorder="1" applyAlignment="1">
      <alignment horizontal="center" vertical="center"/>
    </xf>
    <xf numFmtId="4" fontId="57" fillId="0" borderId="13" xfId="1225" applyNumberFormat="1" applyFont="1" applyFill="1" applyBorder="1" applyAlignment="1">
      <alignment horizontal="center" vertical="center" wrapText="1"/>
    </xf>
    <xf numFmtId="49" fontId="57" fillId="0" borderId="13" xfId="939" applyNumberFormat="1" applyFont="1" applyFill="1" applyBorder="1" applyAlignment="1">
      <alignment horizontal="center" vertical="center" wrapText="1"/>
    </xf>
    <xf numFmtId="49" fontId="60" fillId="0" borderId="13" xfId="939" applyNumberFormat="1" applyFont="1" applyFill="1" applyBorder="1" applyAlignment="1">
      <alignment horizontal="center" vertical="center" wrapText="1"/>
    </xf>
    <xf numFmtId="9" fontId="57" fillId="0" borderId="13" xfId="1225" applyNumberFormat="1" applyFont="1" applyFill="1" applyBorder="1" applyAlignment="1">
      <alignment horizontal="center" vertical="center"/>
    </xf>
    <xf numFmtId="172" fontId="57" fillId="0" borderId="13" xfId="939" applyNumberFormat="1" applyFont="1" applyFill="1" applyBorder="1" applyAlignment="1">
      <alignment horizontal="center" vertical="center" wrapText="1"/>
    </xf>
    <xf numFmtId="172" fontId="57" fillId="0" borderId="13" xfId="939" applyNumberFormat="1" applyFont="1" applyFill="1" applyBorder="1" applyAlignment="1">
      <alignment horizontal="left" vertical="center" wrapText="1"/>
    </xf>
    <xf numFmtId="173" fontId="57" fillId="0" borderId="13" xfId="1225" applyNumberFormat="1" applyFont="1" applyFill="1" applyBorder="1" applyAlignment="1">
      <alignment horizontal="center" vertical="center" wrapText="1"/>
    </xf>
    <xf numFmtId="9" fontId="81" fillId="0" borderId="13" xfId="1225" applyNumberFormat="1" applyFont="1" applyFill="1" applyBorder="1" applyAlignment="1">
      <alignment horizontal="center" vertical="center" wrapText="1"/>
    </xf>
    <xf numFmtId="4" fontId="61" fillId="0" borderId="0" xfId="0" applyNumberFormat="1" applyFont="1" applyFill="1" applyAlignment="1">
      <alignment horizontal="center" vertical="center" wrapText="1"/>
    </xf>
    <xf numFmtId="4" fontId="60" fillId="0" borderId="0" xfId="0" applyNumberFormat="1" applyFont="1" applyFill="1" applyAlignment="1">
      <alignment horizontal="left" vertical="center" wrapText="1"/>
    </xf>
    <xf numFmtId="4" fontId="61" fillId="0" borderId="0" xfId="0" applyNumberFormat="1" applyFont="1" applyFill="1"/>
    <xf numFmtId="4" fontId="82" fillId="0" borderId="0" xfId="1470" applyNumberFormat="1" applyFont="1" applyFill="1" applyAlignment="1" applyProtection="1"/>
    <xf numFmtId="4" fontId="57" fillId="0" borderId="0" xfId="0" applyNumberFormat="1" applyFont="1" applyFill="1" applyAlignment="1"/>
    <xf numFmtId="4" fontId="57" fillId="0" borderId="0" xfId="0" applyNumberFormat="1" applyFont="1" applyFill="1" applyAlignment="1">
      <alignment wrapText="1"/>
    </xf>
    <xf numFmtId="4" fontId="57" fillId="0" borderId="0" xfId="0" applyNumberFormat="1" applyFont="1" applyFill="1" applyAlignment="1">
      <alignment horizontal="left" wrapText="1" indent="10"/>
    </xf>
    <xf numFmtId="4" fontId="81" fillId="0" borderId="0" xfId="0" applyNumberFormat="1" applyFont="1" applyFill="1" applyAlignment="1">
      <alignment horizontal="left" wrapText="1" indent="10"/>
    </xf>
    <xf numFmtId="4" fontId="57" fillId="0" borderId="0" xfId="0" applyNumberFormat="1" applyFont="1" applyFill="1" applyBorder="1" applyAlignment="1">
      <alignment horizontal="left" wrapText="1" indent="10"/>
    </xf>
    <xf numFmtId="4" fontId="59" fillId="0" borderId="0" xfId="0" applyNumberFormat="1" applyFont="1" applyFill="1" applyAlignment="1"/>
    <xf numFmtId="3" fontId="61" fillId="0" borderId="0" xfId="0" applyNumberFormat="1" applyFont="1" applyFill="1" applyAlignment="1">
      <alignment wrapText="1"/>
    </xf>
    <xf numFmtId="3" fontId="59" fillId="0" borderId="20" xfId="0" applyNumberFormat="1" applyFont="1" applyFill="1" applyBorder="1" applyAlignment="1">
      <alignment horizontal="center" vertical="top" wrapText="1"/>
    </xf>
    <xf numFmtId="3" fontId="57" fillId="0" borderId="13" xfId="1225" applyNumberFormat="1" applyFont="1" applyFill="1" applyBorder="1" applyAlignment="1">
      <alignment horizontal="center" vertical="center" wrapText="1"/>
    </xf>
    <xf numFmtId="3" fontId="60" fillId="0" borderId="13" xfId="1225" applyNumberFormat="1" applyFont="1" applyFill="1" applyBorder="1" applyAlignment="1">
      <alignment horizontal="center" vertical="center" wrapText="1"/>
    </xf>
    <xf numFmtId="3" fontId="57" fillId="0" borderId="13" xfId="1225" applyNumberFormat="1" applyFont="1" applyFill="1" applyBorder="1" applyAlignment="1">
      <alignment horizontal="center" vertical="center"/>
    </xf>
    <xf numFmtId="3" fontId="61" fillId="0" borderId="0" xfId="0" applyNumberFormat="1" applyFont="1" applyFill="1"/>
    <xf numFmtId="3" fontId="60" fillId="0" borderId="0" xfId="0" applyNumberFormat="1" applyFont="1" applyFill="1"/>
    <xf numFmtId="0" fontId="49" fillId="0" borderId="0" xfId="0" applyFont="1" applyFill="1" applyAlignment="1">
      <alignment horizontal="center" vertical="center" wrapText="1"/>
    </xf>
    <xf numFmtId="173" fontId="50" fillId="0" borderId="13" xfId="0" applyNumberFormat="1" applyFont="1" applyFill="1" applyBorder="1" applyAlignment="1">
      <alignment horizontal="right" vertical="center" wrapText="1"/>
    </xf>
    <xf numFmtId="1" fontId="52" fillId="0" borderId="13" xfId="0" applyNumberFormat="1" applyFont="1" applyFill="1" applyBorder="1" applyAlignment="1">
      <alignment horizontal="right" vertical="center" wrapText="1"/>
    </xf>
    <xf numFmtId="173" fontId="52" fillId="0" borderId="13" xfId="0" applyNumberFormat="1" applyFont="1" applyFill="1" applyBorder="1" applyAlignment="1">
      <alignment horizontal="right" vertical="center" wrapText="1"/>
    </xf>
    <xf numFmtId="2" fontId="52" fillId="0" borderId="13" xfId="0" applyNumberFormat="1" applyFont="1" applyFill="1" applyBorder="1" applyAlignment="1">
      <alignment horizontal="right" vertical="center" wrapText="1"/>
    </xf>
    <xf numFmtId="2" fontId="52" fillId="0" borderId="1" xfId="0" applyNumberFormat="1" applyFont="1" applyFill="1" applyBorder="1" applyAlignment="1">
      <alignment horizontal="right" vertical="center" wrapText="1"/>
    </xf>
    <xf numFmtId="4" fontId="50" fillId="0" borderId="13" xfId="0" applyNumberFormat="1" applyFont="1" applyFill="1" applyBorder="1" applyAlignment="1">
      <alignment horizontal="right" vertical="center" wrapText="1"/>
    </xf>
    <xf numFmtId="0" fontId="52" fillId="0" borderId="22" xfId="0" applyFont="1" applyFill="1" applyBorder="1" applyAlignment="1">
      <alignment horizontal="right" vertical="center" wrapText="1"/>
    </xf>
    <xf numFmtId="173" fontId="52" fillId="0" borderId="22" xfId="0" applyNumberFormat="1" applyFont="1" applyFill="1" applyBorder="1" applyAlignment="1">
      <alignment horizontal="right" vertical="center" wrapText="1"/>
    </xf>
    <xf numFmtId="0" fontId="50" fillId="0" borderId="13" xfId="0" applyFont="1" applyFill="1" applyBorder="1" applyAlignment="1">
      <alignment horizontal="right" vertical="center" wrapText="1"/>
    </xf>
    <xf numFmtId="0" fontId="52" fillId="0" borderId="13" xfId="0" applyFont="1" applyFill="1" applyBorder="1" applyAlignment="1">
      <alignment horizontal="right" vertical="center" wrapText="1"/>
    </xf>
    <xf numFmtId="172" fontId="50" fillId="0" borderId="13" xfId="0" applyNumberFormat="1" applyFont="1" applyFill="1" applyBorder="1" applyAlignment="1">
      <alignment horizontal="right" vertical="center" wrapText="1"/>
    </xf>
    <xf numFmtId="4" fontId="50" fillId="0" borderId="13" xfId="939" applyNumberFormat="1" applyFont="1" applyFill="1" applyBorder="1" applyAlignment="1">
      <alignment horizontal="right" vertical="center" wrapText="1"/>
    </xf>
    <xf numFmtId="4" fontId="50" fillId="0" borderId="13" xfId="939" applyNumberFormat="1" applyFont="1" applyFill="1" applyBorder="1" applyAlignment="1">
      <alignment horizontal="center" vertical="center" wrapText="1"/>
    </xf>
    <xf numFmtId="1" fontId="52" fillId="0" borderId="0" xfId="0" applyNumberFormat="1" applyFont="1" applyFill="1" applyAlignment="1">
      <alignment horizontal="center" vertical="center" wrapText="1"/>
    </xf>
    <xf numFmtId="3" fontId="57" fillId="0" borderId="13" xfId="0" applyNumberFormat="1" applyFont="1" applyFill="1" applyBorder="1" applyAlignment="1">
      <alignment horizontal="center" vertical="center"/>
    </xf>
    <xf numFmtId="3" fontId="60" fillId="0" borderId="13" xfId="1225" applyNumberFormat="1" applyFont="1" applyFill="1" applyBorder="1" applyAlignment="1">
      <alignment horizontal="center" vertical="center"/>
    </xf>
    <xf numFmtId="9" fontId="60" fillId="0" borderId="13" xfId="1225" applyNumberFormat="1" applyFont="1" applyFill="1" applyBorder="1" applyAlignment="1">
      <alignment horizontal="center" vertical="center"/>
    </xf>
    <xf numFmtId="0" fontId="50" fillId="0" borderId="23" xfId="939" applyFont="1" applyFill="1" applyBorder="1" applyAlignment="1">
      <alignment vertical="center" wrapText="1"/>
    </xf>
    <xf numFmtId="49" fontId="50" fillId="0" borderId="23" xfId="939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2" fontId="57" fillId="28" borderId="13" xfId="1" applyNumberFormat="1" applyFont="1" applyFill="1" applyBorder="1" applyAlignment="1">
      <alignment horizontal="center" vertical="center" wrapText="1"/>
    </xf>
    <xf numFmtId="2" fontId="57" fillId="28" borderId="13" xfId="1" applyNumberFormat="1" applyFont="1" applyFill="1" applyBorder="1" applyAlignment="1">
      <alignment horizontal="left" vertical="center" wrapText="1"/>
    </xf>
    <xf numFmtId="0" fontId="58" fillId="0" borderId="0" xfId="0" applyFont="1" applyAlignment="1">
      <alignment vertical="center"/>
    </xf>
    <xf numFmtId="1" fontId="57" fillId="28" borderId="13" xfId="1" applyNumberFormat="1" applyFont="1" applyFill="1" applyBorder="1" applyAlignment="1">
      <alignment horizontal="center" vertical="center" wrapText="1"/>
    </xf>
    <xf numFmtId="2" fontId="60" fillId="28" borderId="13" xfId="1" applyNumberFormat="1" applyFont="1" applyFill="1" applyBorder="1" applyAlignment="1">
      <alignment horizontal="center" vertical="center" wrapText="1"/>
    </xf>
    <xf numFmtId="2" fontId="60" fillId="28" borderId="13" xfId="1" applyNumberFormat="1" applyFont="1" applyFill="1" applyBorder="1" applyAlignment="1">
      <alignment horizontal="left" vertical="center" wrapText="1"/>
    </xf>
    <xf numFmtId="49" fontId="60" fillId="28" borderId="13" xfId="1" applyNumberFormat="1" applyFont="1" applyFill="1" applyBorder="1" applyAlignment="1">
      <alignment horizontal="center" vertical="center" wrapText="1"/>
    </xf>
    <xf numFmtId="49" fontId="57" fillId="28" borderId="13" xfId="1" applyNumberFormat="1" applyFont="1" applyFill="1" applyBorder="1" applyAlignment="1">
      <alignment horizontal="center" vertical="center" wrapText="1"/>
    </xf>
    <xf numFmtId="2" fontId="57" fillId="28" borderId="13" xfId="1" applyNumberFormat="1" applyFont="1" applyFill="1" applyBorder="1" applyAlignment="1">
      <alignment horizontal="left" vertical="center"/>
    </xf>
    <xf numFmtId="0" fontId="63" fillId="28" borderId="13" xfId="0" applyFont="1" applyFill="1" applyBorder="1" applyAlignment="1">
      <alignment vertical="center"/>
    </xf>
    <xf numFmtId="0" fontId="63" fillId="28" borderId="13" xfId="0" applyFont="1" applyFill="1" applyBorder="1" applyAlignment="1">
      <alignment vertical="center" wrapText="1"/>
    </xf>
    <xf numFmtId="4" fontId="58" fillId="28" borderId="13" xfId="916" applyNumberFormat="1" applyFont="1" applyFill="1" applyBorder="1" applyAlignment="1">
      <alignment horizontal="right" vertical="center"/>
    </xf>
    <xf numFmtId="3" fontId="58" fillId="28" borderId="13" xfId="916" applyNumberFormat="1" applyFont="1" applyFill="1" applyBorder="1" applyAlignment="1">
      <alignment horizontal="right" vertical="center"/>
    </xf>
    <xf numFmtId="3" fontId="63" fillId="0" borderId="13" xfId="0" applyNumberFormat="1" applyFont="1" applyBorder="1" applyAlignment="1">
      <alignment vertical="center"/>
    </xf>
    <xf numFmtId="3" fontId="58" fillId="0" borderId="13" xfId="0" applyNumberFormat="1" applyFont="1" applyBorder="1" applyAlignment="1">
      <alignment vertical="center"/>
    </xf>
    <xf numFmtId="4" fontId="63" fillId="28" borderId="13" xfId="916" applyNumberFormat="1" applyFont="1" applyFill="1" applyBorder="1" applyAlignment="1">
      <alignment horizontal="right" vertical="center"/>
    </xf>
    <xf numFmtId="4" fontId="58" fillId="28" borderId="13" xfId="916" applyNumberFormat="1" applyFont="1" applyFill="1" applyBorder="1" applyAlignment="1">
      <alignment vertical="center"/>
    </xf>
    <xf numFmtId="4" fontId="63" fillId="0" borderId="0" xfId="0" applyNumberFormat="1" applyFont="1" applyAlignment="1">
      <alignment vertical="center"/>
    </xf>
    <xf numFmtId="4" fontId="58" fillId="0" borderId="0" xfId="0" applyNumberFormat="1" applyFont="1" applyAlignment="1">
      <alignment vertical="center"/>
    </xf>
    <xf numFmtId="175" fontId="58" fillId="28" borderId="13" xfId="861" applyNumberFormat="1" applyFont="1" applyFill="1" applyBorder="1" applyAlignment="1">
      <alignment vertical="center"/>
    </xf>
    <xf numFmtId="4" fontId="63" fillId="0" borderId="13" xfId="916" applyNumberFormat="1" applyFont="1" applyFill="1" applyBorder="1" applyAlignment="1">
      <alignment horizontal="right" vertical="center"/>
    </xf>
    <xf numFmtId="173" fontId="63" fillId="0" borderId="0" xfId="0" applyNumberFormat="1" applyFont="1" applyAlignment="1">
      <alignment vertical="center"/>
    </xf>
    <xf numFmtId="4" fontId="58" fillId="0" borderId="13" xfId="916" applyNumberFormat="1" applyFont="1" applyFill="1" applyBorder="1" applyAlignment="1">
      <alignment horizontal="right" vertical="center"/>
    </xf>
    <xf numFmtId="4" fontId="63" fillId="0" borderId="13" xfId="0" applyNumberFormat="1" applyFont="1" applyFill="1" applyBorder="1" applyAlignment="1">
      <alignment vertical="center"/>
    </xf>
    <xf numFmtId="2" fontId="50" fillId="0" borderId="0" xfId="939" applyNumberFormat="1" applyFont="1" applyFill="1" applyBorder="1" applyAlignment="1">
      <alignment horizontal="center" vertical="center" wrapText="1"/>
    </xf>
    <xf numFmtId="4" fontId="5" fillId="0" borderId="13" xfId="1245" applyNumberFormat="1" applyFont="1" applyFill="1" applyBorder="1" applyAlignment="1">
      <alignment horizontal="right" vertical="center"/>
    </xf>
    <xf numFmtId="4" fontId="3" fillId="0" borderId="13" xfId="1245" applyNumberFormat="1" applyFont="1" applyFill="1" applyBorder="1" applyAlignment="1">
      <alignment horizontal="right" vertical="center"/>
    </xf>
    <xf numFmtId="4" fontId="68" fillId="0" borderId="13" xfId="1245" applyNumberFormat="1" applyFont="1" applyFill="1" applyBorder="1" applyAlignment="1">
      <alignment horizontal="right" vertical="center"/>
    </xf>
    <xf numFmtId="4" fontId="7" fillId="0" borderId="13" xfId="1245" applyNumberFormat="1" applyFont="1" applyFill="1" applyBorder="1" applyAlignment="1">
      <alignment horizontal="right" vertical="center"/>
    </xf>
    <xf numFmtId="4" fontId="5" fillId="0" borderId="13" xfId="1245" applyNumberFormat="1" applyFont="1" applyFill="1" applyBorder="1" applyAlignment="1">
      <alignment vertical="center"/>
    </xf>
    <xf numFmtId="4" fontId="5" fillId="0" borderId="13" xfId="861" applyNumberFormat="1" applyFont="1" applyFill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71" fillId="0" borderId="13" xfId="1245" applyNumberFormat="1" applyFont="1" applyFill="1" applyBorder="1" applyAlignment="1">
      <alignment horizontal="right" vertical="center"/>
    </xf>
    <xf numFmtId="4" fontId="63" fillId="0" borderId="0" xfId="0" applyNumberFormat="1" applyFont="1" applyFill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1" fontId="5" fillId="0" borderId="13" xfId="861" applyNumberFormat="1" applyFont="1" applyFill="1" applyBorder="1" applyAlignment="1">
      <alignment horizontal="right" vertical="center"/>
    </xf>
    <xf numFmtId="173" fontId="5" fillId="0" borderId="13" xfId="0" applyNumberFormat="1" applyFont="1" applyFill="1" applyBorder="1" applyAlignment="1">
      <alignment horizontal="right" vertical="center"/>
    </xf>
    <xf numFmtId="173" fontId="3" fillId="0" borderId="0" xfId="0" applyNumberFormat="1" applyFont="1" applyAlignment="1">
      <alignment vertical="center"/>
    </xf>
    <xf numFmtId="4" fontId="3" fillId="0" borderId="13" xfId="1240" applyNumberFormat="1" applyFont="1" applyFill="1" applyBorder="1" applyAlignment="1">
      <alignment horizontal="right" vertical="center"/>
    </xf>
    <xf numFmtId="4" fontId="3" fillId="0" borderId="13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 wrapText="1"/>
    </xf>
    <xf numFmtId="4" fontId="68" fillId="0" borderId="13" xfId="0" applyNumberFormat="1" applyFont="1" applyBorder="1" applyAlignment="1">
      <alignment vertical="center"/>
    </xf>
    <xf numFmtId="4" fontId="68" fillId="0" borderId="13" xfId="1240" applyNumberFormat="1" applyFont="1" applyFill="1" applyBorder="1" applyAlignment="1">
      <alignment horizontal="right" vertical="center"/>
    </xf>
    <xf numFmtId="4" fontId="3" fillId="28" borderId="13" xfId="0" applyNumberFormat="1" applyFont="1" applyFill="1" applyBorder="1" applyAlignment="1">
      <alignment vertical="center"/>
    </xf>
    <xf numFmtId="4" fontId="5" fillId="28" borderId="13" xfId="1240" applyNumberFormat="1" applyFont="1" applyFill="1" applyBorder="1" applyAlignment="1">
      <alignment horizontal="right" vertical="center"/>
    </xf>
    <xf numFmtId="4" fontId="71" fillId="0" borderId="13" xfId="1240" applyNumberFormat="1" applyFont="1" applyFill="1" applyBorder="1" applyAlignment="1">
      <alignment horizontal="right" vertical="center"/>
    </xf>
    <xf numFmtId="4" fontId="5" fillId="0" borderId="13" xfId="0" applyNumberFormat="1" applyFont="1" applyBorder="1" applyAlignment="1">
      <alignment vertical="center"/>
    </xf>
    <xf numFmtId="2" fontId="66" fillId="0" borderId="23" xfId="1" applyNumberFormat="1" applyFont="1" applyFill="1" applyBorder="1" applyAlignment="1">
      <alignment vertical="center"/>
    </xf>
    <xf numFmtId="2" fontId="66" fillId="0" borderId="23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3" fontId="5" fillId="0" borderId="22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4" fontId="57" fillId="0" borderId="13" xfId="939" applyNumberFormat="1" applyFont="1" applyFill="1" applyBorder="1" applyAlignment="1">
      <alignment horizontal="center" vertical="top" wrapText="1"/>
    </xf>
    <xf numFmtId="4" fontId="57" fillId="0" borderId="13" xfId="0" applyNumberFormat="1" applyFont="1" applyFill="1" applyBorder="1" applyAlignment="1">
      <alignment horizontal="center" vertical="top" wrapText="1"/>
    </xf>
    <xf numFmtId="3" fontId="59" fillId="0" borderId="13" xfId="0" applyNumberFormat="1" applyFont="1" applyFill="1" applyBorder="1" applyAlignment="1">
      <alignment horizontal="center" vertical="top" wrapText="1"/>
    </xf>
    <xf numFmtId="0" fontId="85" fillId="0" borderId="0" xfId="0" applyFont="1"/>
    <xf numFmtId="0" fontId="59" fillId="0" borderId="0" xfId="0" applyNumberFormat="1" applyFont="1" applyBorder="1" applyAlignment="1">
      <alignment horizontal="center" wrapText="1"/>
    </xf>
    <xf numFmtId="0" fontId="57" fillId="0" borderId="17" xfId="456" applyFont="1" applyFill="1" applyBorder="1" applyAlignment="1">
      <alignment horizontal="center"/>
    </xf>
    <xf numFmtId="0" fontId="57" fillId="0" borderId="17" xfId="456" applyFont="1" applyFill="1" applyBorder="1" applyAlignment="1">
      <alignment wrapText="1"/>
    </xf>
    <xf numFmtId="0" fontId="57" fillId="0" borderId="17" xfId="456" applyFont="1" applyFill="1" applyBorder="1" applyAlignment="1">
      <alignment horizontal="center" wrapText="1"/>
    </xf>
    <xf numFmtId="4" fontId="59" fillId="0" borderId="17" xfId="0" applyNumberFormat="1" applyFont="1" applyFill="1" applyBorder="1" applyAlignment="1">
      <alignment horizontal="right"/>
    </xf>
    <xf numFmtId="4" fontId="57" fillId="0" borderId="17" xfId="456" applyNumberFormat="1" applyFont="1" applyFill="1" applyBorder="1" applyAlignment="1">
      <alignment horizontal="right" wrapText="1"/>
    </xf>
    <xf numFmtId="3" fontId="57" fillId="0" borderId="17" xfId="456" applyNumberFormat="1" applyFont="1" applyFill="1" applyBorder="1" applyAlignment="1">
      <alignment horizontal="right" vertical="center"/>
    </xf>
    <xf numFmtId="0" fontId="57" fillId="0" borderId="13" xfId="456" applyFont="1" applyFill="1" applyBorder="1" applyAlignment="1">
      <alignment horizontal="center"/>
    </xf>
    <xf numFmtId="0" fontId="57" fillId="0" borderId="13" xfId="456" applyFont="1" applyFill="1" applyBorder="1" applyAlignment="1">
      <alignment horizontal="center" wrapText="1"/>
    </xf>
    <xf numFmtId="4" fontId="57" fillId="0" borderId="13" xfId="0" applyNumberFormat="1" applyFont="1" applyFill="1" applyBorder="1" applyAlignment="1">
      <alignment horizontal="right"/>
    </xf>
    <xf numFmtId="4" fontId="57" fillId="0" borderId="13" xfId="456" applyNumberFormat="1" applyFont="1" applyFill="1" applyBorder="1" applyAlignment="1">
      <alignment horizontal="right" wrapText="1"/>
    </xf>
    <xf numFmtId="3" fontId="57" fillId="0" borderId="13" xfId="456" applyNumberFormat="1" applyFont="1" applyFill="1" applyBorder="1" applyAlignment="1">
      <alignment horizontal="right" wrapText="1"/>
    </xf>
    <xf numFmtId="0" fontId="60" fillId="0" borderId="13" xfId="456" applyFont="1" applyFill="1" applyBorder="1" applyAlignment="1">
      <alignment horizontal="center"/>
    </xf>
    <xf numFmtId="4" fontId="60" fillId="0" borderId="13" xfId="0" applyNumberFormat="1" applyFont="1" applyFill="1" applyBorder="1" applyAlignment="1">
      <alignment horizontal="right"/>
    </xf>
    <xf numFmtId="4" fontId="60" fillId="0" borderId="13" xfId="456" applyNumberFormat="1" applyFont="1" applyFill="1" applyBorder="1" applyAlignment="1">
      <alignment horizontal="right" wrapText="1"/>
    </xf>
    <xf numFmtId="3" fontId="60" fillId="0" borderId="13" xfId="456" applyNumberFormat="1" applyFont="1" applyFill="1" applyBorder="1" applyAlignment="1">
      <alignment horizontal="right" wrapText="1"/>
    </xf>
    <xf numFmtId="0" fontId="86" fillId="0" borderId="0" xfId="0" applyFont="1" applyFill="1"/>
    <xf numFmtId="0" fontId="85" fillId="0" borderId="0" xfId="0" applyFont="1" applyFill="1"/>
    <xf numFmtId="0" fontId="61" fillId="0" borderId="13" xfId="456" applyFont="1" applyFill="1" applyBorder="1" applyAlignment="1">
      <alignment wrapText="1"/>
    </xf>
    <xf numFmtId="3" fontId="57" fillId="28" borderId="13" xfId="456" applyNumberFormat="1" applyFont="1" applyFill="1" applyBorder="1" applyAlignment="1">
      <alignment horizontal="right" wrapText="1"/>
    </xf>
    <xf numFmtId="49" fontId="60" fillId="28" borderId="13" xfId="456" applyNumberFormat="1" applyFont="1" applyFill="1" applyBorder="1" applyAlignment="1">
      <alignment horizontal="center"/>
    </xf>
    <xf numFmtId="0" fontId="60" fillId="28" borderId="13" xfId="456" applyFont="1" applyFill="1" applyBorder="1" applyAlignment="1">
      <alignment wrapText="1"/>
    </xf>
    <xf numFmtId="0" fontId="60" fillId="28" borderId="13" xfId="456" applyFont="1" applyFill="1" applyBorder="1" applyAlignment="1">
      <alignment horizontal="center"/>
    </xf>
    <xf numFmtId="4" fontId="61" fillId="0" borderId="13" xfId="0" applyNumberFormat="1" applyFont="1" applyFill="1" applyBorder="1" applyAlignment="1">
      <alignment horizontal="right"/>
    </xf>
    <xf numFmtId="3" fontId="60" fillId="28" borderId="13" xfId="456" applyNumberFormat="1" applyFont="1" applyFill="1" applyBorder="1" applyAlignment="1">
      <alignment horizontal="right" wrapText="1"/>
    </xf>
    <xf numFmtId="0" fontId="85" fillId="28" borderId="0" xfId="0" applyFont="1" applyFill="1"/>
    <xf numFmtId="0" fontId="60" fillId="0" borderId="13" xfId="456" applyFont="1" applyFill="1" applyBorder="1" applyAlignment="1">
      <alignment horizontal="left" wrapText="1"/>
    </xf>
    <xf numFmtId="0" fontId="86" fillId="0" borderId="0" xfId="0" applyFont="1"/>
    <xf numFmtId="171" fontId="60" fillId="0" borderId="13" xfId="456" applyNumberFormat="1" applyFont="1" applyFill="1" applyBorder="1" applyAlignment="1">
      <alignment horizontal="left" wrapText="1"/>
    </xf>
    <xf numFmtId="0" fontId="62" fillId="0" borderId="13" xfId="456" applyFont="1" applyFill="1" applyBorder="1" applyAlignment="1">
      <alignment horizontal="center"/>
    </xf>
    <xf numFmtId="4" fontId="59" fillId="0" borderId="13" xfId="0" applyNumberFormat="1" applyFont="1" applyFill="1" applyBorder="1" applyAlignment="1">
      <alignment horizontal="right"/>
    </xf>
    <xf numFmtId="0" fontId="57" fillId="0" borderId="13" xfId="726" applyFont="1" applyFill="1" applyBorder="1" applyAlignment="1">
      <alignment horizontal="left" wrapText="1"/>
    </xf>
    <xf numFmtId="0" fontId="57" fillId="0" borderId="13" xfId="726" applyFont="1" applyFill="1" applyBorder="1" applyAlignment="1">
      <alignment horizontal="center"/>
    </xf>
    <xf numFmtId="4" fontId="57" fillId="0" borderId="13" xfId="726" applyNumberFormat="1" applyFont="1" applyFill="1" applyBorder="1" applyAlignment="1">
      <alignment horizontal="right" wrapText="1"/>
    </xf>
    <xf numFmtId="3" fontId="57" fillId="0" borderId="13" xfId="726" applyNumberFormat="1" applyFont="1" applyFill="1" applyBorder="1" applyAlignment="1">
      <alignment horizontal="right" wrapText="1"/>
    </xf>
    <xf numFmtId="49" fontId="60" fillId="0" borderId="13" xfId="726" applyNumberFormat="1" applyFont="1" applyFill="1" applyBorder="1" applyAlignment="1">
      <alignment horizontal="center" wrapText="1"/>
    </xf>
    <xf numFmtId="0" fontId="60" fillId="0" borderId="13" xfId="726" applyFont="1" applyFill="1" applyBorder="1" applyAlignment="1">
      <alignment horizontal="left" wrapText="1"/>
    </xf>
    <xf numFmtId="0" fontId="60" fillId="0" borderId="13" xfId="726" applyFont="1" applyFill="1" applyBorder="1" applyAlignment="1">
      <alignment horizontal="center"/>
    </xf>
    <xf numFmtId="4" fontId="60" fillId="0" borderId="13" xfId="726" applyNumberFormat="1" applyFont="1" applyFill="1" applyBorder="1" applyAlignment="1">
      <alignment horizontal="right" wrapText="1"/>
    </xf>
    <xf numFmtId="3" fontId="60" fillId="0" borderId="13" xfId="726" applyNumberFormat="1" applyFont="1" applyFill="1" applyBorder="1" applyAlignment="1">
      <alignment horizontal="right" wrapText="1"/>
    </xf>
    <xf numFmtId="49" fontId="57" fillId="0" borderId="13" xfId="726" applyNumberFormat="1" applyFont="1" applyFill="1" applyBorder="1" applyAlignment="1">
      <alignment horizontal="center" wrapText="1"/>
    </xf>
    <xf numFmtId="3" fontId="57" fillId="28" borderId="13" xfId="726" applyNumberFormat="1" applyFont="1" applyFill="1" applyBorder="1" applyAlignment="1">
      <alignment horizontal="right" wrapText="1"/>
    </xf>
    <xf numFmtId="3" fontId="60" fillId="28" borderId="13" xfId="726" applyNumberFormat="1" applyFont="1" applyFill="1" applyBorder="1" applyAlignment="1">
      <alignment horizontal="right" wrapText="1"/>
    </xf>
    <xf numFmtId="49" fontId="57" fillId="0" borderId="13" xfId="456" applyNumberFormat="1" applyFont="1" applyFill="1" applyBorder="1" applyAlignment="1">
      <alignment wrapText="1"/>
    </xf>
    <xf numFmtId="4" fontId="62" fillId="0" borderId="13" xfId="0" applyNumberFormat="1" applyFont="1" applyFill="1" applyBorder="1" applyAlignment="1">
      <alignment horizontal="right"/>
    </xf>
    <xf numFmtId="4" fontId="59" fillId="0" borderId="13" xfId="0" applyNumberFormat="1" applyFont="1" applyFill="1" applyBorder="1"/>
    <xf numFmtId="3" fontId="59" fillId="28" borderId="13" xfId="0" applyNumberFormat="1" applyFont="1" applyFill="1" applyBorder="1" applyAlignment="1">
      <alignment horizontal="right"/>
    </xf>
    <xf numFmtId="3" fontId="59" fillId="0" borderId="13" xfId="0" applyNumberFormat="1" applyFont="1" applyFill="1" applyBorder="1"/>
    <xf numFmtId="4" fontId="61" fillId="0" borderId="0" xfId="0" applyNumberFormat="1" applyFont="1"/>
    <xf numFmtId="0" fontId="60" fillId="0" borderId="13" xfId="726" applyFont="1" applyFill="1" applyBorder="1" applyAlignment="1">
      <alignment horizontal="left"/>
    </xf>
    <xf numFmtId="0" fontId="57" fillId="0" borderId="0" xfId="0" applyFont="1" applyFill="1" applyAlignment="1">
      <alignment horizontal="right" vertical="center" wrapText="1"/>
    </xf>
    <xf numFmtId="0" fontId="60" fillId="0" borderId="0" xfId="0" applyFont="1" applyFill="1" applyAlignment="1">
      <alignment horizontal="right"/>
    </xf>
    <xf numFmtId="4" fontId="60" fillId="0" borderId="13" xfId="0" applyNumberFormat="1" applyFont="1" applyFill="1" applyBorder="1" applyAlignment="1">
      <alignment horizontal="right" vertical="center" wrapText="1"/>
    </xf>
    <xf numFmtId="4" fontId="66" fillId="0" borderId="0" xfId="0" applyNumberFormat="1" applyFont="1" applyFill="1" applyAlignment="1">
      <alignment horizontal="right"/>
    </xf>
    <xf numFmtId="4" fontId="57" fillId="0" borderId="13" xfId="0" applyNumberFormat="1" applyFont="1" applyFill="1" applyBorder="1" applyAlignment="1">
      <alignment horizontal="right" vertical="center"/>
    </xf>
    <xf numFmtId="0" fontId="60" fillId="0" borderId="0" xfId="0" applyFont="1" applyAlignment="1">
      <alignment horizontal="right"/>
    </xf>
    <xf numFmtId="4" fontId="81" fillId="0" borderId="0" xfId="0" applyNumberFormat="1" applyFont="1" applyFill="1" applyAlignment="1">
      <alignment horizontal="right" wrapText="1" indent="10"/>
    </xf>
    <xf numFmtId="4" fontId="57" fillId="0" borderId="0" xfId="0" applyNumberFormat="1" applyFont="1" applyFill="1" applyAlignment="1">
      <alignment horizontal="right" wrapText="1" indent="10"/>
    </xf>
    <xf numFmtId="4" fontId="57" fillId="0" borderId="0" xfId="0" applyNumberFormat="1" applyFont="1" applyFill="1" applyBorder="1" applyAlignment="1">
      <alignment horizontal="right" wrapText="1" indent="10"/>
    </xf>
    <xf numFmtId="4" fontId="60" fillId="0" borderId="13" xfId="0" applyNumberFormat="1" applyFont="1" applyFill="1" applyBorder="1" applyAlignment="1">
      <alignment horizontal="right" vertical="center"/>
    </xf>
    <xf numFmtId="4" fontId="61" fillId="0" borderId="13" xfId="0" applyNumberFormat="1" applyFont="1" applyFill="1" applyBorder="1" applyAlignment="1">
      <alignment horizontal="right" vertical="center" wrapText="1"/>
    </xf>
    <xf numFmtId="3" fontId="61" fillId="0" borderId="0" xfId="0" applyNumberFormat="1" applyFont="1" applyFill="1" applyAlignment="1">
      <alignment horizontal="right"/>
    </xf>
    <xf numFmtId="0" fontId="58" fillId="0" borderId="0" xfId="0" applyFont="1" applyFill="1" applyAlignment="1">
      <alignment horizontal="right" vertical="center"/>
    </xf>
    <xf numFmtId="0" fontId="63" fillId="0" borderId="0" xfId="0" applyFont="1" applyFill="1" applyAlignment="1">
      <alignment horizontal="right" vertical="center"/>
    </xf>
    <xf numFmtId="3" fontId="6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3" fontId="57" fillId="0" borderId="13" xfId="0" applyNumberFormat="1" applyFont="1" applyFill="1" applyBorder="1" applyAlignment="1">
      <alignment horizontal="right" vertical="center" wrapText="1"/>
    </xf>
    <xf numFmtId="3" fontId="57" fillId="0" borderId="13" xfId="0" applyNumberFormat="1" applyFont="1" applyFill="1" applyBorder="1" applyAlignment="1">
      <alignment horizontal="right" vertical="center"/>
    </xf>
    <xf numFmtId="3" fontId="57" fillId="0" borderId="13" xfId="859" applyNumberFormat="1" applyFont="1" applyFill="1" applyBorder="1" applyAlignment="1">
      <alignment horizontal="right" vertical="center"/>
    </xf>
    <xf numFmtId="3" fontId="68" fillId="0" borderId="13" xfId="0" applyNumberFormat="1" applyFont="1" applyFill="1" applyBorder="1" applyAlignment="1">
      <alignment horizontal="right"/>
    </xf>
    <xf numFmtId="4" fontId="57" fillId="0" borderId="0" xfId="0" applyNumberFormat="1" applyFont="1" applyFill="1" applyAlignment="1">
      <alignment horizontal="right" vertical="center" wrapText="1"/>
    </xf>
    <xf numFmtId="4" fontId="60" fillId="0" borderId="0" xfId="0" applyNumberFormat="1" applyFont="1" applyFill="1" applyAlignment="1">
      <alignment horizontal="right"/>
    </xf>
    <xf numFmtId="4" fontId="59" fillId="0" borderId="13" xfId="0" applyNumberFormat="1" applyFont="1" applyFill="1" applyBorder="1" applyAlignment="1">
      <alignment horizontal="right" vertical="center"/>
    </xf>
    <xf numFmtId="4" fontId="60" fillId="0" borderId="0" xfId="0" applyNumberFormat="1" applyFont="1" applyAlignment="1">
      <alignment horizontal="right"/>
    </xf>
    <xf numFmtId="3" fontId="57" fillId="28" borderId="13" xfId="456" applyNumberFormat="1" applyFont="1" applyFill="1" applyBorder="1" applyAlignment="1">
      <alignment horizontal="right" vertical="center"/>
    </xf>
    <xf numFmtId="4" fontId="57" fillId="0" borderId="0" xfId="456" applyNumberFormat="1" applyFont="1" applyFill="1" applyAlignment="1">
      <alignment horizontal="center" vertical="center" wrapText="1"/>
    </xf>
    <xf numFmtId="0" fontId="59" fillId="0" borderId="0" xfId="0" applyFont="1" applyFill="1"/>
    <xf numFmtId="4" fontId="61" fillId="0" borderId="0" xfId="0" applyNumberFormat="1" applyFont="1" applyBorder="1" applyAlignment="1">
      <alignment horizontal="center"/>
    </xf>
    <xf numFmtId="3" fontId="57" fillId="0" borderId="13" xfId="456" applyNumberFormat="1" applyFont="1" applyFill="1" applyBorder="1" applyAlignment="1">
      <alignment horizontal="right" vertical="center"/>
    </xf>
    <xf numFmtId="3" fontId="60" fillId="0" borderId="13" xfId="456" applyNumberFormat="1" applyFont="1" applyFill="1" applyBorder="1" applyAlignment="1">
      <alignment horizontal="right" vertical="center"/>
    </xf>
    <xf numFmtId="3" fontId="61" fillId="0" borderId="13" xfId="0" applyNumberFormat="1" applyFont="1" applyFill="1" applyBorder="1"/>
    <xf numFmtId="3" fontId="59" fillId="0" borderId="13" xfId="456" applyNumberFormat="1" applyFont="1" applyFill="1" applyBorder="1" applyAlignment="1">
      <alignment horizontal="right" vertical="center"/>
    </xf>
    <xf numFmtId="3" fontId="61" fillId="0" borderId="13" xfId="456" applyNumberFormat="1" applyFont="1" applyFill="1" applyBorder="1" applyAlignment="1">
      <alignment horizontal="right" vertical="center"/>
    </xf>
    <xf numFmtId="3" fontId="61" fillId="0" borderId="13" xfId="0" applyNumberFormat="1" applyFont="1" applyFill="1" applyBorder="1" applyAlignment="1">
      <alignment vertical="center"/>
    </xf>
    <xf numFmtId="0" fontId="59" fillId="0" borderId="13" xfId="0" applyFont="1" applyBorder="1"/>
    <xf numFmtId="3" fontId="61" fillId="0" borderId="13" xfId="0" applyNumberFormat="1" applyFont="1" applyBorder="1"/>
    <xf numFmtId="0" fontId="57" fillId="0" borderId="0" xfId="456" applyFont="1" applyFill="1" applyBorder="1" applyAlignment="1">
      <alignment horizontal="center" vertical="center" wrapText="1"/>
    </xf>
    <xf numFmtId="4" fontId="65" fillId="0" borderId="13" xfId="456" applyNumberFormat="1" applyFont="1" applyFill="1" applyBorder="1" applyAlignment="1">
      <alignment horizontal="right" vertical="center"/>
    </xf>
    <xf numFmtId="4" fontId="60" fillId="0" borderId="13" xfId="456" applyNumberFormat="1" applyFont="1" applyFill="1" applyBorder="1" applyAlignment="1">
      <alignment vertical="center"/>
    </xf>
    <xf numFmtId="3" fontId="62" fillId="0" borderId="22" xfId="456" applyNumberFormat="1" applyFont="1" applyFill="1" applyBorder="1" applyAlignment="1">
      <alignment vertical="center" wrapText="1"/>
    </xf>
    <xf numFmtId="3" fontId="76" fillId="0" borderId="22" xfId="456" applyNumberFormat="1" applyFont="1" applyFill="1" applyBorder="1" applyAlignment="1">
      <alignment vertical="center" wrapText="1"/>
    </xf>
    <xf numFmtId="3" fontId="76" fillId="0" borderId="13" xfId="456" applyNumberFormat="1" applyFont="1" applyFill="1" applyBorder="1" applyAlignment="1">
      <alignment vertical="center" wrapText="1"/>
    </xf>
    <xf numFmtId="3" fontId="7" fillId="28" borderId="13" xfId="456" applyNumberFormat="1" applyFont="1" applyFill="1" applyBorder="1"/>
    <xf numFmtId="3" fontId="7" fillId="0" borderId="13" xfId="456" applyNumberFormat="1" applyFont="1" applyFill="1" applyBorder="1"/>
    <xf numFmtId="3" fontId="7" fillId="28" borderId="0" xfId="456" applyNumberFormat="1" applyFont="1" applyFill="1"/>
    <xf numFmtId="3" fontId="1" fillId="0" borderId="0" xfId="0" applyNumberFormat="1" applyFont="1"/>
    <xf numFmtId="0" fontId="42" fillId="0" borderId="0" xfId="687" applyFill="1"/>
    <xf numFmtId="0" fontId="67" fillId="0" borderId="13" xfId="687" applyFont="1" applyFill="1" applyBorder="1" applyAlignment="1">
      <alignment horizontal="left" vertical="center" wrapText="1"/>
    </xf>
    <xf numFmtId="0" fontId="67" fillId="0" borderId="13" xfId="687" applyNumberFormat="1" applyFont="1" applyFill="1" applyBorder="1" applyAlignment="1">
      <alignment horizontal="center" vertical="center" wrapText="1"/>
    </xf>
    <xf numFmtId="14" fontId="67" fillId="0" borderId="13" xfId="687" applyNumberFormat="1" applyFont="1" applyFill="1" applyBorder="1" applyAlignment="1">
      <alignment vertical="center" wrapText="1"/>
    </xf>
    <xf numFmtId="176" fontId="68" fillId="0" borderId="13" xfId="687" applyNumberFormat="1" applyFont="1" applyFill="1" applyBorder="1" applyAlignment="1">
      <alignment horizontal="center" vertical="center" wrapText="1"/>
    </xf>
    <xf numFmtId="0" fontId="68" fillId="0" borderId="13" xfId="687" applyFont="1" applyFill="1" applyBorder="1" applyAlignment="1">
      <alignment vertical="center" wrapText="1"/>
    </xf>
    <xf numFmtId="0" fontId="67" fillId="0" borderId="13" xfId="687" applyFont="1" applyFill="1" applyBorder="1" applyAlignment="1">
      <alignment vertical="center" wrapText="1"/>
    </xf>
    <xf numFmtId="4" fontId="42" fillId="0" borderId="0" xfId="687" applyNumberFormat="1" applyFill="1"/>
    <xf numFmtId="49" fontId="68" fillId="0" borderId="13" xfId="687" applyNumberFormat="1" applyFont="1" applyFill="1" applyBorder="1" applyAlignment="1">
      <alignment horizontal="center" vertical="center" wrapText="1"/>
    </xf>
    <xf numFmtId="49" fontId="67" fillId="0" borderId="13" xfId="687" applyNumberFormat="1" applyFont="1" applyFill="1" applyBorder="1" applyAlignment="1">
      <alignment horizontal="center" vertical="center" wrapText="1"/>
    </xf>
    <xf numFmtId="0" fontId="72" fillId="0" borderId="0" xfId="687" applyFont="1" applyFill="1"/>
    <xf numFmtId="0" fontId="69" fillId="0" borderId="13" xfId="687" applyFont="1" applyFill="1" applyBorder="1" applyAlignment="1">
      <alignment horizontal="center" vertical="center" wrapText="1"/>
    </xf>
    <xf numFmtId="3" fontId="42" fillId="0" borderId="0" xfId="687" applyNumberFormat="1" applyFill="1"/>
    <xf numFmtId="3" fontId="67" fillId="0" borderId="13" xfId="687" applyNumberFormat="1" applyFont="1" applyFill="1" applyBorder="1" applyAlignment="1">
      <alignment horizontal="center" vertical="center" wrapText="1"/>
    </xf>
    <xf numFmtId="0" fontId="70" fillId="0" borderId="0" xfId="687" applyFont="1" applyFill="1" applyAlignment="1">
      <alignment horizontal="center"/>
    </xf>
    <xf numFmtId="0" fontId="70" fillId="0" borderId="0" xfId="687" applyFont="1" applyFill="1"/>
    <xf numFmtId="175" fontId="7" fillId="0" borderId="13" xfId="687" applyNumberFormat="1" applyFont="1" applyFill="1" applyBorder="1" applyAlignment="1">
      <alignment horizontal="right" vertical="center" wrapText="1"/>
    </xf>
    <xf numFmtId="175" fontId="68" fillId="0" borderId="13" xfId="687" applyNumberFormat="1" applyFont="1" applyFill="1" applyBorder="1" applyAlignment="1">
      <alignment horizontal="right" vertical="center" wrapText="1"/>
    </xf>
    <xf numFmtId="175" fontId="67" fillId="0" borderId="13" xfId="687" applyNumberFormat="1" applyFont="1" applyFill="1" applyBorder="1" applyAlignment="1">
      <alignment horizontal="right" vertical="center" wrapText="1"/>
    </xf>
    <xf numFmtId="0" fontId="42" fillId="0" borderId="0" xfId="687" applyFont="1" applyFill="1"/>
    <xf numFmtId="0" fontId="67" fillId="0" borderId="13" xfId="687" applyFont="1" applyFill="1" applyBorder="1" applyAlignment="1">
      <alignment horizontal="right" vertical="center" wrapText="1"/>
    </xf>
    <xf numFmtId="172" fontId="67" fillId="0" borderId="13" xfId="687" applyNumberFormat="1" applyFont="1" applyFill="1" applyBorder="1" applyAlignment="1">
      <alignment horizontal="right" vertical="center" wrapText="1"/>
    </xf>
    <xf numFmtId="3" fontId="70" fillId="0" borderId="0" xfId="687" applyNumberFormat="1" applyFont="1" applyFill="1" applyAlignment="1">
      <alignment horizontal="center"/>
    </xf>
    <xf numFmtId="10" fontId="59" fillId="0" borderId="13" xfId="1225" applyNumberFormat="1" applyFont="1" applyFill="1" applyBorder="1" applyAlignment="1">
      <alignment vertical="center"/>
    </xf>
    <xf numFmtId="10" fontId="61" fillId="0" borderId="13" xfId="1225" applyNumberFormat="1" applyFont="1" applyFill="1" applyBorder="1" applyAlignment="1">
      <alignment vertical="center" wrapText="1"/>
    </xf>
    <xf numFmtId="4" fontId="66" fillId="0" borderId="0" xfId="939" applyNumberFormat="1" applyFont="1" applyFill="1" applyAlignment="1">
      <alignment horizontal="center" vertical="center" wrapText="1"/>
    </xf>
    <xf numFmtId="4" fontId="66" fillId="0" borderId="23" xfId="939" applyNumberFormat="1" applyFont="1" applyFill="1" applyBorder="1" applyAlignment="1">
      <alignment horizontal="center" vertical="top" wrapText="1"/>
    </xf>
    <xf numFmtId="4" fontId="66" fillId="0" borderId="23" xfId="0" applyNumberFormat="1" applyFont="1" applyFill="1" applyBorder="1" applyAlignment="1">
      <alignment horizontal="center" vertical="top" wrapText="1"/>
    </xf>
    <xf numFmtId="3" fontId="67" fillId="0" borderId="20" xfId="0" applyNumberFormat="1" applyFont="1" applyFill="1" applyBorder="1" applyAlignment="1">
      <alignment horizontal="center" vertical="top" wrapText="1"/>
    </xf>
    <xf numFmtId="4" fontId="67" fillId="0" borderId="20" xfId="0" applyNumberFormat="1" applyFont="1" applyFill="1" applyBorder="1" applyAlignment="1">
      <alignment horizontal="center" vertical="top" wrapText="1"/>
    </xf>
    <xf numFmtId="4" fontId="68" fillId="0" borderId="0" xfId="0" applyNumberFormat="1" applyFont="1" applyFill="1" applyAlignment="1">
      <alignment horizontal="center" vertical="center" wrapText="1"/>
    </xf>
    <xf numFmtId="4" fontId="66" fillId="0" borderId="0" xfId="0" applyNumberFormat="1" applyFont="1" applyFill="1" applyAlignment="1">
      <alignment horizontal="left" wrapText="1" indent="10"/>
    </xf>
    <xf numFmtId="4" fontId="67" fillId="0" borderId="0" xfId="0" applyNumberFormat="1" applyFont="1" applyFill="1" applyAlignment="1"/>
    <xf numFmtId="4" fontId="87" fillId="0" borderId="0" xfId="0" applyNumberFormat="1" applyFont="1" applyFill="1" applyAlignment="1">
      <alignment horizontal="left" wrapText="1" indent="10"/>
    </xf>
    <xf numFmtId="3" fontId="68" fillId="0" borderId="0" xfId="0" applyNumberFormat="1" applyFont="1" applyFill="1"/>
    <xf numFmtId="4" fontId="7" fillId="0" borderId="0" xfId="0" applyNumberFormat="1" applyFont="1" applyFill="1" applyAlignment="1">
      <alignment horizontal="center" vertical="center" wrapText="1"/>
    </xf>
    <xf numFmtId="4" fontId="88" fillId="0" borderId="0" xfId="1470" applyNumberFormat="1" applyFont="1" applyFill="1" applyAlignment="1" applyProtection="1"/>
    <xf numFmtId="4" fontId="66" fillId="0" borderId="0" xfId="0" applyNumberFormat="1" applyFont="1" applyFill="1" applyAlignment="1"/>
    <xf numFmtId="4" fontId="66" fillId="0" borderId="0" xfId="0" applyNumberFormat="1" applyFont="1" applyFill="1" applyBorder="1" applyAlignment="1">
      <alignment horizontal="left" wrapText="1" indent="10"/>
    </xf>
    <xf numFmtId="4" fontId="66" fillId="0" borderId="0" xfId="0" applyNumberFormat="1" applyFont="1" applyFill="1" applyAlignment="1">
      <alignment wrapText="1"/>
    </xf>
    <xf numFmtId="4" fontId="66" fillId="0" borderId="13" xfId="939" applyNumberFormat="1" applyFont="1" applyFill="1" applyBorder="1" applyAlignment="1">
      <alignment horizontal="center" vertical="top" wrapText="1"/>
    </xf>
    <xf numFmtId="4" fontId="66" fillId="0" borderId="13" xfId="0" applyNumberFormat="1" applyFont="1" applyFill="1" applyBorder="1" applyAlignment="1">
      <alignment horizontal="center" vertical="top" wrapText="1"/>
    </xf>
    <xf numFmtId="3" fontId="67" fillId="0" borderId="13" xfId="0" applyNumberFormat="1" applyFont="1" applyFill="1" applyBorder="1" applyAlignment="1">
      <alignment horizontal="center" vertical="top" wrapText="1"/>
    </xf>
    <xf numFmtId="4" fontId="67" fillId="0" borderId="13" xfId="0" applyNumberFormat="1" applyFont="1" applyFill="1" applyBorder="1" applyAlignment="1">
      <alignment horizontal="center" vertical="top" wrapText="1"/>
    </xf>
    <xf numFmtId="4" fontId="50" fillId="0" borderId="13" xfId="939" applyNumberFormat="1" applyFont="1" applyFill="1" applyBorder="1" applyAlignment="1">
      <alignment horizontal="left" vertical="center" wrapText="1"/>
    </xf>
    <xf numFmtId="4" fontId="48" fillId="0" borderId="0" xfId="0" applyNumberFormat="1" applyFont="1" applyFill="1" applyAlignment="1">
      <alignment horizontal="center" vertical="center"/>
    </xf>
    <xf numFmtId="4" fontId="48" fillId="0" borderId="0" xfId="0" applyNumberFormat="1" applyFont="1" applyFill="1"/>
    <xf numFmtId="3" fontId="50" fillId="0" borderId="13" xfId="939" applyNumberFormat="1" applyFont="1" applyFill="1" applyBorder="1" applyAlignment="1">
      <alignment horizontal="right" vertical="center" wrapText="1"/>
    </xf>
    <xf numFmtId="4" fontId="52" fillId="0" borderId="1" xfId="0" applyNumberFormat="1" applyFont="1" applyFill="1" applyBorder="1" applyAlignment="1">
      <alignment horizontal="right" vertical="center" wrapText="1"/>
    </xf>
    <xf numFmtId="4" fontId="49" fillId="0" borderId="0" xfId="0" applyNumberFormat="1" applyFont="1" applyFill="1" applyAlignment="1">
      <alignment horizontal="center" vertical="center" wrapText="1"/>
    </xf>
    <xf numFmtId="0" fontId="68" fillId="0" borderId="0" xfId="0" applyFont="1" applyFill="1" applyAlignment="1">
      <alignment horizontal="right" vertical="center"/>
    </xf>
    <xf numFmtId="0" fontId="49" fillId="0" borderId="0" xfId="0" applyFont="1" applyFill="1" applyAlignment="1">
      <alignment horizontal="right" vertical="center" wrapText="1"/>
    </xf>
    <xf numFmtId="4" fontId="49" fillId="0" borderId="13" xfId="0" applyNumberFormat="1" applyFont="1" applyFill="1" applyBorder="1" applyAlignment="1">
      <alignment horizontal="right" vertical="center" wrapText="1"/>
    </xf>
    <xf numFmtId="4" fontId="51" fillId="0" borderId="13" xfId="0" applyNumberFormat="1" applyFont="1" applyFill="1" applyBorder="1" applyAlignment="1">
      <alignment horizontal="right" vertical="center" wrapText="1"/>
    </xf>
    <xf numFmtId="0" fontId="49" fillId="0" borderId="13" xfId="0" applyFont="1" applyFill="1" applyBorder="1" applyAlignment="1">
      <alignment horizontal="right" vertical="center" wrapText="1"/>
    </xf>
    <xf numFmtId="4" fontId="49" fillId="0" borderId="22" xfId="0" applyNumberFormat="1" applyFont="1" applyFill="1" applyBorder="1" applyAlignment="1">
      <alignment horizontal="right" vertical="center" wrapText="1"/>
    </xf>
    <xf numFmtId="0" fontId="51" fillId="0" borderId="13" xfId="0" applyFont="1" applyFill="1" applyBorder="1" applyAlignment="1">
      <alignment horizontal="right" vertical="center" wrapText="1"/>
    </xf>
    <xf numFmtId="4" fontId="49" fillId="0" borderId="0" xfId="0" applyNumberFormat="1" applyFont="1" applyFill="1" applyAlignment="1">
      <alignment horizontal="right" vertical="center" wrapText="1"/>
    </xf>
    <xf numFmtId="4" fontId="68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 horizontal="right" vertical="center"/>
    </xf>
    <xf numFmtId="0" fontId="49" fillId="0" borderId="13" xfId="0" applyFont="1" applyFill="1" applyBorder="1" applyAlignment="1">
      <alignment horizontal="right" vertical="center"/>
    </xf>
    <xf numFmtId="4" fontId="49" fillId="0" borderId="13" xfId="0" applyNumberFormat="1" applyFont="1" applyFill="1" applyBorder="1" applyAlignment="1">
      <alignment horizontal="right" vertical="center"/>
    </xf>
    <xf numFmtId="4" fontId="51" fillId="0" borderId="13" xfId="0" applyNumberFormat="1" applyFont="1" applyFill="1" applyBorder="1" applyAlignment="1">
      <alignment horizontal="right" vertical="center"/>
    </xf>
    <xf numFmtId="0" fontId="51" fillId="0" borderId="13" xfId="0" applyFont="1" applyFill="1" applyBorder="1" applyAlignment="1">
      <alignment horizontal="right" vertical="center"/>
    </xf>
    <xf numFmtId="4" fontId="52" fillId="0" borderId="13" xfId="939" applyNumberFormat="1" applyFont="1" applyFill="1" applyBorder="1" applyAlignment="1">
      <alignment horizontal="right" vertical="center" wrapText="1"/>
    </xf>
    <xf numFmtId="4" fontId="49" fillId="0" borderId="0" xfId="0" applyNumberFormat="1" applyFont="1" applyFill="1" applyAlignment="1">
      <alignment horizontal="right" vertical="center"/>
    </xf>
    <xf numFmtId="4" fontId="49" fillId="0" borderId="0" xfId="0" applyNumberFormat="1" applyFont="1" applyFill="1" applyAlignment="1">
      <alignment horizontal="center" vertical="center"/>
    </xf>
    <xf numFmtId="3" fontId="51" fillId="0" borderId="13" xfId="0" applyNumberFormat="1" applyFont="1" applyFill="1" applyBorder="1" applyAlignment="1">
      <alignment horizontal="right" vertical="center"/>
    </xf>
    <xf numFmtId="3" fontId="50" fillId="0" borderId="13" xfId="0" applyNumberFormat="1" applyFont="1" applyFill="1" applyBorder="1" applyAlignment="1">
      <alignment horizontal="right" vertical="center" wrapText="1"/>
    </xf>
    <xf numFmtId="0" fontId="50" fillId="0" borderId="17" xfId="939" applyFont="1" applyFill="1" applyBorder="1" applyAlignment="1">
      <alignment horizontal="center" vertical="top" wrapText="1"/>
    </xf>
    <xf numFmtId="0" fontId="50" fillId="0" borderId="4" xfId="939" applyFont="1" applyFill="1" applyBorder="1" applyAlignment="1">
      <alignment horizontal="center" vertical="top" wrapText="1"/>
    </xf>
    <xf numFmtId="0" fontId="50" fillId="0" borderId="13" xfId="939" applyFont="1" applyFill="1" applyBorder="1" applyAlignment="1">
      <alignment horizontal="center" vertical="top" wrapText="1"/>
    </xf>
    <xf numFmtId="0" fontId="49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/>
    </xf>
    <xf numFmtId="4" fontId="52" fillId="0" borderId="22" xfId="939" applyNumberFormat="1" applyFont="1" applyFill="1" applyBorder="1" applyAlignment="1">
      <alignment horizontal="right" vertical="center" wrapText="1"/>
    </xf>
    <xf numFmtId="4" fontId="52" fillId="0" borderId="22" xfId="0" applyNumberFormat="1" applyFont="1" applyFill="1" applyBorder="1" applyAlignment="1">
      <alignment horizontal="right" vertical="center" wrapText="1"/>
    </xf>
    <xf numFmtId="173" fontId="50" fillId="0" borderId="13" xfId="939" applyNumberFormat="1" applyFont="1" applyFill="1" applyBorder="1" applyAlignment="1">
      <alignment horizontal="right" vertical="center" wrapText="1"/>
    </xf>
    <xf numFmtId="4" fontId="50" fillId="0" borderId="13" xfId="939" applyNumberFormat="1" applyFont="1" applyFill="1" applyBorder="1" applyAlignment="1">
      <alignment horizontal="right" vertical="center"/>
    </xf>
    <xf numFmtId="171" fontId="50" fillId="0" borderId="13" xfId="939" applyNumberFormat="1" applyFont="1" applyFill="1" applyBorder="1" applyAlignment="1">
      <alignment horizontal="right" vertical="center"/>
    </xf>
    <xf numFmtId="0" fontId="50" fillId="0" borderId="13" xfId="939" applyFont="1" applyFill="1" applyBorder="1" applyAlignment="1">
      <alignment horizontal="right" vertical="center"/>
    </xf>
    <xf numFmtId="1" fontId="50" fillId="0" borderId="13" xfId="939" applyNumberFormat="1" applyFont="1" applyFill="1" applyBorder="1" applyAlignment="1">
      <alignment horizontal="right" vertical="center" wrapText="1"/>
    </xf>
    <xf numFmtId="3" fontId="50" fillId="0" borderId="13" xfId="1225" applyNumberFormat="1" applyFont="1" applyFill="1" applyBorder="1" applyAlignment="1">
      <alignment horizontal="right" vertical="center" wrapText="1"/>
    </xf>
    <xf numFmtId="3" fontId="61" fillId="28" borderId="13" xfId="0" applyNumberFormat="1" applyFont="1" applyFill="1" applyBorder="1" applyAlignment="1">
      <alignment vertical="center"/>
    </xf>
    <xf numFmtId="3" fontId="59" fillId="28" borderId="13" xfId="0" applyNumberFormat="1" applyFont="1" applyFill="1" applyBorder="1" applyAlignment="1">
      <alignment vertical="center"/>
    </xf>
    <xf numFmtId="3" fontId="61" fillId="0" borderId="13" xfId="0" applyNumberFormat="1" applyFont="1" applyBorder="1" applyAlignment="1">
      <alignment vertical="center"/>
    </xf>
    <xf numFmtId="3" fontId="57" fillId="28" borderId="13" xfId="456" applyNumberFormat="1" applyFont="1" applyFill="1" applyBorder="1" applyAlignment="1">
      <alignment horizontal="right" vertical="center" wrapText="1"/>
    </xf>
    <xf numFmtId="0" fontId="77" fillId="0" borderId="0" xfId="0" applyFont="1" applyFill="1" applyAlignment="1">
      <alignment vertical="center"/>
    </xf>
    <xf numFmtId="2" fontId="50" fillId="0" borderId="5" xfId="939" applyNumberFormat="1" applyFont="1" applyFill="1" applyBorder="1" applyAlignment="1">
      <alignment vertical="center" wrapText="1"/>
    </xf>
    <xf numFmtId="9" fontId="60" fillId="0" borderId="23" xfId="1225" applyNumberFormat="1" applyFont="1" applyFill="1" applyBorder="1" applyAlignment="1">
      <alignment horizontal="center" vertical="center" textRotation="255" wrapText="1"/>
    </xf>
    <xf numFmtId="9" fontId="60" fillId="0" borderId="18" xfId="1225" applyNumberFormat="1" applyFont="1" applyFill="1" applyBorder="1" applyAlignment="1">
      <alignment horizontal="center" vertical="center" textRotation="255" wrapText="1"/>
    </xf>
    <xf numFmtId="9" fontId="60" fillId="0" borderId="17" xfId="1225" applyNumberFormat="1" applyFont="1" applyFill="1" applyBorder="1" applyAlignment="1">
      <alignment horizontal="center" vertical="center" textRotation="255" wrapText="1"/>
    </xf>
    <xf numFmtId="4" fontId="57" fillId="0" borderId="1" xfId="939" applyNumberFormat="1" applyFont="1" applyFill="1" applyBorder="1" applyAlignment="1">
      <alignment horizontal="center" vertical="center" wrapText="1"/>
    </xf>
    <xf numFmtId="4" fontId="57" fillId="0" borderId="17" xfId="939" applyNumberFormat="1" applyFont="1" applyFill="1" applyBorder="1" applyAlignment="1">
      <alignment horizontal="center" vertical="center" wrapText="1"/>
    </xf>
    <xf numFmtId="4" fontId="57" fillId="0" borderId="1" xfId="939" applyNumberFormat="1" applyFont="1" applyFill="1" applyBorder="1" applyAlignment="1">
      <alignment horizontal="left" vertical="center" wrapText="1"/>
    </xf>
    <xf numFmtId="4" fontId="57" fillId="0" borderId="17" xfId="939" applyNumberFormat="1" applyFont="1" applyFill="1" applyBorder="1" applyAlignment="1">
      <alignment horizontal="left" vertical="center" wrapText="1"/>
    </xf>
    <xf numFmtId="4" fontId="57" fillId="0" borderId="5" xfId="939" applyNumberFormat="1" applyFont="1" applyFill="1" applyBorder="1" applyAlignment="1">
      <alignment horizontal="center" vertical="center" wrapText="1"/>
    </xf>
    <xf numFmtId="4" fontId="57" fillId="0" borderId="0" xfId="939" applyNumberFormat="1" applyFont="1" applyFill="1" applyAlignment="1">
      <alignment horizontal="center" vertical="center" wrapText="1"/>
    </xf>
    <xf numFmtId="2" fontId="57" fillId="28" borderId="13" xfId="1" applyNumberFormat="1" applyFont="1" applyFill="1" applyBorder="1" applyAlignment="1">
      <alignment horizontal="center" vertical="center" wrapText="1"/>
    </xf>
    <xf numFmtId="2" fontId="57" fillId="28" borderId="13" xfId="1" applyNumberFormat="1" applyFont="1" applyFill="1" applyBorder="1" applyAlignment="1">
      <alignment horizontal="left" vertical="center" wrapText="1"/>
    </xf>
    <xf numFmtId="10" fontId="61" fillId="0" borderId="23" xfId="1225" applyNumberFormat="1" applyFont="1" applyFill="1" applyBorder="1" applyAlignment="1">
      <alignment horizontal="center" vertical="center" wrapText="1"/>
    </xf>
    <xf numFmtId="10" fontId="61" fillId="0" borderId="18" xfId="1225" applyNumberFormat="1" applyFont="1" applyFill="1" applyBorder="1" applyAlignment="1">
      <alignment horizontal="center" vertical="center" wrapText="1"/>
    </xf>
    <xf numFmtId="10" fontId="61" fillId="0" borderId="17" xfId="1225" applyNumberFormat="1" applyFont="1" applyFill="1" applyBorder="1" applyAlignment="1">
      <alignment horizontal="center" vertical="center" wrapText="1"/>
    </xf>
    <xf numFmtId="2" fontId="66" fillId="0" borderId="1" xfId="1" applyNumberFormat="1" applyFont="1" applyFill="1" applyBorder="1" applyAlignment="1">
      <alignment horizontal="center" vertical="center" wrapText="1"/>
    </xf>
    <xf numFmtId="2" fontId="66" fillId="0" borderId="18" xfId="1" applyNumberFormat="1" applyFont="1" applyFill="1" applyBorder="1" applyAlignment="1">
      <alignment horizontal="center" vertical="center" wrapText="1"/>
    </xf>
    <xf numFmtId="2" fontId="66" fillId="0" borderId="1" xfId="1" applyNumberFormat="1" applyFont="1" applyFill="1" applyBorder="1" applyAlignment="1">
      <alignment horizontal="left" vertical="center" wrapText="1"/>
    </xf>
    <xf numFmtId="2" fontId="66" fillId="0" borderId="18" xfId="1" applyNumberFormat="1" applyFont="1" applyFill="1" applyBorder="1" applyAlignment="1">
      <alignment horizontal="left" vertical="center" wrapText="1"/>
    </xf>
    <xf numFmtId="2" fontId="66" fillId="0" borderId="17" xfId="1" applyNumberFormat="1" applyFont="1" applyFill="1" applyBorder="1" applyAlignment="1">
      <alignment horizontal="center" vertical="center" wrapText="1"/>
    </xf>
    <xf numFmtId="2" fontId="66" fillId="0" borderId="17" xfId="1" applyNumberFormat="1" applyFont="1" applyFill="1" applyBorder="1" applyAlignment="1">
      <alignment horizontal="left" vertical="center" wrapText="1"/>
    </xf>
    <xf numFmtId="4" fontId="66" fillId="0" borderId="0" xfId="939" applyNumberFormat="1" applyFont="1" applyFill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textRotation="90"/>
    </xf>
    <xf numFmtId="4" fontId="5" fillId="0" borderId="18" xfId="0" applyNumberFormat="1" applyFont="1" applyFill="1" applyBorder="1" applyAlignment="1">
      <alignment horizontal="center" vertical="center" textRotation="90"/>
    </xf>
    <xf numFmtId="4" fontId="5" fillId="0" borderId="17" xfId="0" applyNumberFormat="1" applyFont="1" applyFill="1" applyBorder="1" applyAlignment="1">
      <alignment horizontal="center" vertical="center" textRotation="90"/>
    </xf>
    <xf numFmtId="173" fontId="5" fillId="0" borderId="23" xfId="1240" applyNumberFormat="1" applyFont="1" applyFill="1" applyBorder="1" applyAlignment="1">
      <alignment horizontal="center" vertical="center" textRotation="90"/>
    </xf>
    <xf numFmtId="173" fontId="5" fillId="0" borderId="18" xfId="1240" applyNumberFormat="1" applyFont="1" applyFill="1" applyBorder="1" applyAlignment="1">
      <alignment horizontal="center" vertical="center" textRotation="90"/>
    </xf>
    <xf numFmtId="173" fontId="5" fillId="0" borderId="17" xfId="1240" applyNumberFormat="1" applyFont="1" applyFill="1" applyBorder="1" applyAlignment="1">
      <alignment horizontal="center" vertical="center" textRotation="90"/>
    </xf>
    <xf numFmtId="2" fontId="66" fillId="0" borderId="13" xfId="1" applyNumberFormat="1" applyFont="1" applyFill="1" applyBorder="1" applyAlignment="1">
      <alignment horizontal="center" vertical="center" wrapText="1"/>
    </xf>
    <xf numFmtId="2" fontId="66" fillId="0" borderId="13" xfId="1" applyNumberFormat="1" applyFont="1" applyFill="1" applyBorder="1" applyAlignment="1">
      <alignment horizontal="left" vertical="center" wrapText="1"/>
    </xf>
    <xf numFmtId="4" fontId="59" fillId="0" borderId="23" xfId="0" applyNumberFormat="1" applyFont="1" applyBorder="1" applyAlignment="1">
      <alignment horizontal="center" vertical="center" textRotation="90"/>
    </xf>
    <xf numFmtId="4" fontId="59" fillId="0" borderId="18" xfId="0" applyNumberFormat="1" applyFont="1" applyBorder="1" applyAlignment="1">
      <alignment horizontal="center" vertical="center" textRotation="90"/>
    </xf>
    <xf numFmtId="4" fontId="59" fillId="0" borderId="17" xfId="0" applyNumberFormat="1" applyFont="1" applyBorder="1" applyAlignment="1">
      <alignment horizontal="center" vertical="center" textRotation="90"/>
    </xf>
    <xf numFmtId="0" fontId="57" fillId="0" borderId="13" xfId="456" applyFont="1" applyFill="1" applyBorder="1" applyAlignment="1">
      <alignment horizontal="center"/>
    </xf>
    <xf numFmtId="0" fontId="57" fillId="0" borderId="23" xfId="456" applyFont="1" applyFill="1" applyBorder="1" applyAlignment="1">
      <alignment horizontal="left" vertical="center" wrapText="1"/>
    </xf>
    <xf numFmtId="0" fontId="57" fillId="0" borderId="17" xfId="456" applyFont="1" applyFill="1" applyBorder="1" applyAlignment="1">
      <alignment horizontal="left" vertical="center" wrapText="1"/>
    </xf>
    <xf numFmtId="4" fontId="57" fillId="0" borderId="23" xfId="0" applyNumberFormat="1" applyFont="1" applyFill="1" applyBorder="1" applyAlignment="1">
      <alignment horizontal="center" vertical="center" textRotation="90" wrapText="1"/>
    </xf>
    <xf numFmtId="4" fontId="57" fillId="0" borderId="18" xfId="0" applyNumberFormat="1" applyFont="1" applyFill="1" applyBorder="1" applyAlignment="1">
      <alignment horizontal="center" vertical="center" textRotation="90" wrapText="1"/>
    </xf>
    <xf numFmtId="4" fontId="57" fillId="0" borderId="17" xfId="0" applyNumberFormat="1" applyFont="1" applyFill="1" applyBorder="1" applyAlignment="1">
      <alignment horizontal="center" vertical="center" textRotation="90" wrapText="1"/>
    </xf>
    <xf numFmtId="0" fontId="57" fillId="0" borderId="13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3" xfId="456" applyFont="1" applyFill="1" applyBorder="1" applyAlignment="1">
      <alignment horizontal="center" vertical="center"/>
    </xf>
    <xf numFmtId="0" fontId="57" fillId="0" borderId="13" xfId="456" applyFont="1" applyFill="1" applyBorder="1" applyAlignment="1">
      <alignment horizontal="left" vertical="center" wrapText="1"/>
    </xf>
    <xf numFmtId="4" fontId="59" fillId="0" borderId="24" xfId="1225" applyNumberFormat="1" applyFont="1" applyFill="1" applyBorder="1" applyAlignment="1">
      <alignment horizontal="center" vertical="center" textRotation="90"/>
    </xf>
    <xf numFmtId="4" fontId="59" fillId="0" borderId="3" xfId="1225" applyNumberFormat="1" applyFont="1" applyFill="1" applyBorder="1" applyAlignment="1">
      <alignment horizontal="center" vertical="center" textRotation="90"/>
    </xf>
    <xf numFmtId="4" fontId="59" fillId="0" borderId="4" xfId="1225" applyNumberFormat="1" applyFont="1" applyFill="1" applyBorder="1" applyAlignment="1">
      <alignment horizontal="center" vertical="center" textRotation="90"/>
    </xf>
    <xf numFmtId="0" fontId="57" fillId="28" borderId="13" xfId="456" applyFont="1" applyFill="1" applyBorder="1" applyAlignment="1">
      <alignment horizontal="center" vertical="center"/>
    </xf>
    <xf numFmtId="0" fontId="57" fillId="28" borderId="13" xfId="456" applyFont="1" applyFill="1" applyBorder="1" applyAlignment="1">
      <alignment horizontal="left" vertical="top" wrapText="1"/>
    </xf>
    <xf numFmtId="9" fontId="59" fillId="0" borderId="23" xfId="1225" applyFont="1" applyBorder="1" applyAlignment="1">
      <alignment horizontal="center" vertical="center" textRotation="90"/>
    </xf>
    <xf numFmtId="9" fontId="59" fillId="0" borderId="18" xfId="1225" applyFont="1" applyBorder="1" applyAlignment="1">
      <alignment horizontal="center" vertical="center" textRotation="90"/>
    </xf>
    <xf numFmtId="9" fontId="59" fillId="0" borderId="17" xfId="1225" applyFont="1" applyBorder="1" applyAlignment="1">
      <alignment horizontal="center" vertical="center" textRotation="90"/>
    </xf>
    <xf numFmtId="4" fontId="62" fillId="0" borderId="23" xfId="456" applyNumberFormat="1" applyFont="1" applyFill="1" applyBorder="1" applyAlignment="1">
      <alignment horizontal="center" vertical="center" textRotation="90" wrapText="1"/>
    </xf>
    <xf numFmtId="4" fontId="62" fillId="0" borderId="18" xfId="456" applyNumberFormat="1" applyFont="1" applyFill="1" applyBorder="1" applyAlignment="1">
      <alignment horizontal="center" vertical="center" textRotation="90" wrapText="1"/>
    </xf>
    <xf numFmtId="4" fontId="62" fillId="0" borderId="17" xfId="456" applyNumberFormat="1" applyFont="1" applyFill="1" applyBorder="1" applyAlignment="1">
      <alignment horizontal="center" vertical="center" textRotation="90" wrapText="1"/>
    </xf>
    <xf numFmtId="0" fontId="57" fillId="0" borderId="22" xfId="456" applyFont="1" applyFill="1" applyBorder="1" applyAlignment="1">
      <alignment horizontal="center" vertical="center"/>
    </xf>
    <xf numFmtId="0" fontId="57" fillId="0" borderId="22" xfId="456" applyFont="1" applyFill="1" applyBorder="1" applyAlignment="1">
      <alignment horizontal="left" vertical="center" wrapText="1"/>
    </xf>
    <xf numFmtId="0" fontId="57" fillId="0" borderId="0" xfId="456" applyFont="1" applyFill="1" applyAlignment="1">
      <alignment horizontal="center" vertical="center" wrapText="1"/>
    </xf>
    <xf numFmtId="0" fontId="57" fillId="0" borderId="0" xfId="456" applyFont="1" applyFill="1" applyBorder="1" applyAlignment="1">
      <alignment horizontal="center" vertical="top" wrapText="1"/>
    </xf>
    <xf numFmtId="0" fontId="69" fillId="0" borderId="1" xfId="687" applyFont="1" applyFill="1" applyBorder="1" applyAlignment="1">
      <alignment horizontal="center" vertical="center" wrapText="1"/>
    </xf>
    <xf numFmtId="0" fontId="69" fillId="0" borderId="17" xfId="687" applyFont="1" applyFill="1" applyBorder="1" applyAlignment="1">
      <alignment horizontal="center" vertical="center" wrapText="1"/>
    </xf>
    <xf numFmtId="0" fontId="67" fillId="0" borderId="1" xfId="687" applyFont="1" applyFill="1" applyBorder="1" applyAlignment="1">
      <alignment horizontal="center" vertical="center" wrapText="1"/>
    </xf>
    <xf numFmtId="0" fontId="67" fillId="0" borderId="17" xfId="687" applyFont="1" applyFill="1" applyBorder="1" applyAlignment="1">
      <alignment horizontal="center" vertical="center" wrapText="1"/>
    </xf>
    <xf numFmtId="4" fontId="67" fillId="0" borderId="23" xfId="687" applyNumberFormat="1" applyFont="1" applyFill="1" applyBorder="1" applyAlignment="1">
      <alignment horizontal="center" vertical="center" textRotation="90" wrapText="1"/>
    </xf>
    <xf numFmtId="4" fontId="67" fillId="0" borderId="18" xfId="687" applyNumberFormat="1" applyFont="1" applyFill="1" applyBorder="1" applyAlignment="1">
      <alignment horizontal="center" vertical="center" textRotation="90" wrapText="1"/>
    </xf>
    <xf numFmtId="4" fontId="67" fillId="0" borderId="17" xfId="687" applyNumberFormat="1" applyFont="1" applyFill="1" applyBorder="1" applyAlignment="1">
      <alignment horizontal="center" vertical="center" textRotation="90" wrapText="1"/>
    </xf>
    <xf numFmtId="0" fontId="77" fillId="0" borderId="0" xfId="0" applyFont="1" applyFill="1" applyAlignment="1">
      <alignment horizontal="center" vertical="center"/>
    </xf>
    <xf numFmtId="0" fontId="50" fillId="0" borderId="1" xfId="939" applyFont="1" applyFill="1" applyBorder="1" applyAlignment="1">
      <alignment horizontal="left" vertical="center" wrapText="1"/>
    </xf>
    <xf numFmtId="0" fontId="50" fillId="0" borderId="17" xfId="939" applyFont="1" applyFill="1" applyBorder="1" applyAlignment="1">
      <alignment horizontal="left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1" xfId="939" applyFont="1" applyFill="1" applyBorder="1" applyAlignment="1">
      <alignment horizontal="center" vertical="center" wrapText="1"/>
    </xf>
    <xf numFmtId="0" fontId="50" fillId="0" borderId="18" xfId="939" applyFont="1" applyFill="1" applyBorder="1" applyAlignment="1">
      <alignment horizontal="center" vertical="center" wrapText="1"/>
    </xf>
    <xf numFmtId="0" fontId="50" fillId="0" borderId="17" xfId="939" applyFont="1" applyFill="1" applyBorder="1" applyAlignment="1">
      <alignment horizontal="center" vertical="center" wrapText="1"/>
    </xf>
    <xf numFmtId="0" fontId="50" fillId="0" borderId="13" xfId="939" applyFont="1" applyFill="1" applyBorder="1" applyAlignment="1">
      <alignment horizontal="center" vertical="center" wrapText="1"/>
    </xf>
    <xf numFmtId="2" fontId="50" fillId="0" borderId="19" xfId="939" applyNumberFormat="1" applyFont="1" applyFill="1" applyBorder="1" applyAlignment="1">
      <alignment horizontal="center" vertical="center" wrapText="1"/>
    </xf>
    <xf numFmtId="2" fontId="50" fillId="0" borderId="16" xfId="939" applyNumberFormat="1" applyFont="1" applyFill="1" applyBorder="1" applyAlignment="1">
      <alignment horizontal="center" vertical="center" wrapText="1"/>
    </xf>
    <xf numFmtId="2" fontId="50" fillId="0" borderId="20" xfId="939" applyNumberFormat="1" applyFont="1" applyFill="1" applyBorder="1" applyAlignment="1">
      <alignment horizontal="center" vertical="center" wrapText="1"/>
    </xf>
    <xf numFmtId="0" fontId="50" fillId="0" borderId="19" xfId="939" applyFont="1" applyFill="1" applyBorder="1" applyAlignment="1">
      <alignment horizontal="center" vertical="center" wrapText="1"/>
    </xf>
    <xf numFmtId="0" fontId="50" fillId="0" borderId="20" xfId="939" applyFont="1" applyFill="1" applyBorder="1" applyAlignment="1">
      <alignment horizontal="center" vertical="center" wrapText="1"/>
    </xf>
    <xf numFmtId="1" fontId="50" fillId="0" borderId="19" xfId="939" applyNumberFormat="1" applyFont="1" applyFill="1" applyBorder="1" applyAlignment="1">
      <alignment horizontal="center" vertical="center" wrapText="1"/>
    </xf>
    <xf numFmtId="1" fontId="50" fillId="0" borderId="20" xfId="939" applyNumberFormat="1" applyFont="1" applyFill="1" applyBorder="1" applyAlignment="1">
      <alignment horizontal="center" vertical="center" wrapText="1"/>
    </xf>
    <xf numFmtId="2" fontId="50" fillId="0" borderId="19" xfId="0" applyNumberFormat="1" applyFont="1" applyFill="1" applyBorder="1" applyAlignment="1">
      <alignment horizontal="center" vertical="center" wrapText="1"/>
    </xf>
    <xf numFmtId="2" fontId="50" fillId="0" borderId="20" xfId="0" applyNumberFormat="1" applyFont="1" applyFill="1" applyBorder="1" applyAlignment="1">
      <alignment horizontal="center" vertical="center" wrapText="1"/>
    </xf>
  </cellXfs>
  <cellStyles count="1471">
    <cellStyle name="_ЗРК№256 от 29.03.2010 прил1 рус" xfId="3"/>
    <cellStyle name="_ОТ АСИИ" xfId="4"/>
    <cellStyle name="_Перечень бип 2011-2013 гг 22.11.2010" xfId="5"/>
    <cellStyle name="_после корректоров Приложения 1-4, 6-11 (рус)" xfId="6"/>
    <cellStyle name="_Приложение 2 от 15.12.2010 г." xfId="7"/>
    <cellStyle name="_приложение 4 (рус)" xfId="8"/>
    <cellStyle name="_Прлиложения БИП рус,каз 1,20,21" xfId="9"/>
    <cellStyle name="_ПРОБЛЕМНЫЕ  2012-2014 (22.09.11)" xfId="10"/>
    <cellStyle name="_Свод численность на 2011 год 31.07.10" xfId="11"/>
    <cellStyle name="20% - Акцент1 2" xfId="12"/>
    <cellStyle name="20% — акцент1 2" xfId="940"/>
    <cellStyle name="20% - Акцент1 2 2" xfId="13"/>
    <cellStyle name="20% - Акцент1 2 2 2" xfId="14"/>
    <cellStyle name="20% - Акцент1 2 2 2 2" xfId="15"/>
    <cellStyle name="20% - Акцент1 2 2 2 2 2" xfId="941"/>
    <cellStyle name="20% - Акцент1 2 2 2 3" xfId="942"/>
    <cellStyle name="20% - Акцент1 2 2 3" xfId="16"/>
    <cellStyle name="20% - Акцент1 2 2 3 2" xfId="943"/>
    <cellStyle name="20% - Акцент1 2 2 4" xfId="944"/>
    <cellStyle name="20% - Акцент1 2 2_План финансирования на 2013 год" xfId="17"/>
    <cellStyle name="20% - Акцент1 2 3" xfId="18"/>
    <cellStyle name="20% - Акцент1 2 3 2" xfId="19"/>
    <cellStyle name="20% - Акцент1 2 3 2 2" xfId="945"/>
    <cellStyle name="20% - Акцент1 2 3 3" xfId="946"/>
    <cellStyle name="20% - Акцент1 2 4" xfId="20"/>
    <cellStyle name="20% - Акцент1 2 4 2" xfId="21"/>
    <cellStyle name="20% - Акцент1 2 4 3" xfId="947"/>
    <cellStyle name="20% - Акцент1 2 5" xfId="22"/>
    <cellStyle name="20% - Акцент1 2 6" xfId="948"/>
    <cellStyle name="20% - Акцент1 2_Август по объектно" xfId="23"/>
    <cellStyle name="20% - Акцент1 3" xfId="24"/>
    <cellStyle name="20% - Акцент1 3 2" xfId="949"/>
    <cellStyle name="20% - Акцент1 4" xfId="25"/>
    <cellStyle name="20% - Акцент1 4 2" xfId="950"/>
    <cellStyle name="20% - Акцент2 2" xfId="26"/>
    <cellStyle name="20% — акцент2 2" xfId="951"/>
    <cellStyle name="20% - Акцент2 2 2" xfId="27"/>
    <cellStyle name="20% - Акцент2 2 2 2" xfId="28"/>
    <cellStyle name="20% - Акцент2 2 2 2 2" xfId="29"/>
    <cellStyle name="20% - Акцент2 2 2 2 2 2" xfId="952"/>
    <cellStyle name="20% - Акцент2 2 2 2 3" xfId="953"/>
    <cellStyle name="20% - Акцент2 2 2 3" xfId="30"/>
    <cellStyle name="20% - Акцент2 2 2 3 2" xfId="954"/>
    <cellStyle name="20% - Акцент2 2 2 4" xfId="955"/>
    <cellStyle name="20% - Акцент2 2 2_План финансирования на 2013 год" xfId="31"/>
    <cellStyle name="20% - Акцент2 2 3" xfId="32"/>
    <cellStyle name="20% - Акцент2 2 3 2" xfId="33"/>
    <cellStyle name="20% - Акцент2 2 3 2 2" xfId="956"/>
    <cellStyle name="20% - Акцент2 2 3 3" xfId="957"/>
    <cellStyle name="20% - Акцент2 2 4" xfId="34"/>
    <cellStyle name="20% - Акцент2 2 4 2" xfId="35"/>
    <cellStyle name="20% - Акцент2 2 4 3" xfId="958"/>
    <cellStyle name="20% - Акцент2 2 5" xfId="36"/>
    <cellStyle name="20% - Акцент2 2 6" xfId="959"/>
    <cellStyle name="20% - Акцент2 2_План финансирования на 2013 год" xfId="37"/>
    <cellStyle name="20% - Акцент2 3" xfId="38"/>
    <cellStyle name="20% - Акцент2 3 2" xfId="960"/>
    <cellStyle name="20% - Акцент2 4" xfId="39"/>
    <cellStyle name="20% - Акцент2 4 2" xfId="961"/>
    <cellStyle name="20% - Акцент3 2" xfId="40"/>
    <cellStyle name="20% — акцент3 2" xfId="962"/>
    <cellStyle name="20% - Акцент3 2 2" xfId="41"/>
    <cellStyle name="20% - Акцент3 2 2 2" xfId="42"/>
    <cellStyle name="20% - Акцент3 2 2 2 2" xfId="43"/>
    <cellStyle name="20% - Акцент3 2 2 2 2 2" xfId="963"/>
    <cellStyle name="20% - Акцент3 2 2 2 3" xfId="964"/>
    <cellStyle name="20% - Акцент3 2 2 3" xfId="44"/>
    <cellStyle name="20% - Акцент3 2 2 3 2" xfId="965"/>
    <cellStyle name="20% - Акцент3 2 2 4" xfId="966"/>
    <cellStyle name="20% - Акцент3 2 2_План финансирования на 2013 год" xfId="45"/>
    <cellStyle name="20% - Акцент3 2 3" xfId="46"/>
    <cellStyle name="20% - Акцент3 2 3 2" xfId="47"/>
    <cellStyle name="20% - Акцент3 2 3 2 2" xfId="967"/>
    <cellStyle name="20% - Акцент3 2 3 3" xfId="968"/>
    <cellStyle name="20% - Акцент3 2 4" xfId="48"/>
    <cellStyle name="20% - Акцент3 2 4 2" xfId="49"/>
    <cellStyle name="20% - Акцент3 2 4 3" xfId="969"/>
    <cellStyle name="20% - Акцент3 2 5" xfId="50"/>
    <cellStyle name="20% - Акцент3 2 6" xfId="970"/>
    <cellStyle name="20% - Акцент3 2_Август по объектно" xfId="51"/>
    <cellStyle name="20% - Акцент3 3" xfId="52"/>
    <cellStyle name="20% - Акцент3 3 2" xfId="971"/>
    <cellStyle name="20% - Акцент3 4" xfId="53"/>
    <cellStyle name="20% - Акцент3 4 2" xfId="972"/>
    <cellStyle name="20% - Акцент4 2" xfId="54"/>
    <cellStyle name="20% — акцент4 2" xfId="973"/>
    <cellStyle name="20% - Акцент4 2 2" xfId="55"/>
    <cellStyle name="20% - Акцент4 2 2 2" xfId="56"/>
    <cellStyle name="20% - Акцент4 2 2 2 2" xfId="57"/>
    <cellStyle name="20% - Акцент4 2 2 2 2 2" xfId="974"/>
    <cellStyle name="20% - Акцент4 2 2 2 3" xfId="975"/>
    <cellStyle name="20% - Акцент4 2 2 3" xfId="58"/>
    <cellStyle name="20% - Акцент4 2 2 3 2" xfId="976"/>
    <cellStyle name="20% - Акцент4 2 2 4" xfId="977"/>
    <cellStyle name="20% - Акцент4 2 2_План финансирования на 2013 год" xfId="59"/>
    <cellStyle name="20% - Акцент4 2 3" xfId="60"/>
    <cellStyle name="20% - Акцент4 2 3 2" xfId="61"/>
    <cellStyle name="20% - Акцент4 2 3 2 2" xfId="978"/>
    <cellStyle name="20% - Акцент4 2 3 3" xfId="979"/>
    <cellStyle name="20% - Акцент4 2 4" xfId="62"/>
    <cellStyle name="20% - Акцент4 2 4 2" xfId="63"/>
    <cellStyle name="20% - Акцент4 2 4 3" xfId="980"/>
    <cellStyle name="20% - Акцент4 2 5" xfId="64"/>
    <cellStyle name="20% - Акцент4 2 6" xfId="981"/>
    <cellStyle name="20% - Акцент4 2_План финансирования на 2013 год" xfId="65"/>
    <cellStyle name="20% - Акцент4 3" xfId="66"/>
    <cellStyle name="20% - Акцент4 3 2" xfId="982"/>
    <cellStyle name="20% - Акцент4 4" xfId="67"/>
    <cellStyle name="20% - Акцент4 4 2" xfId="983"/>
    <cellStyle name="20% - Акцент5 2" xfId="68"/>
    <cellStyle name="20% — акцент5 2" xfId="984"/>
    <cellStyle name="20% - Акцент5 2 2" xfId="69"/>
    <cellStyle name="20% - Акцент5 2 2 2" xfId="70"/>
    <cellStyle name="20% - Акцент5 2 2 2 2" xfId="71"/>
    <cellStyle name="20% - Акцент5 2 2 2 2 2" xfId="985"/>
    <cellStyle name="20% - Акцент5 2 2 2 3" xfId="986"/>
    <cellStyle name="20% - Акцент5 2 2 3" xfId="72"/>
    <cellStyle name="20% - Акцент5 2 2 3 2" xfId="987"/>
    <cellStyle name="20% - Акцент5 2 2 4" xfId="988"/>
    <cellStyle name="20% - Акцент5 2 2_План финансирования на 2013 год" xfId="73"/>
    <cellStyle name="20% - Акцент5 2 3" xfId="74"/>
    <cellStyle name="20% - Акцент5 2 3 2" xfId="75"/>
    <cellStyle name="20% - Акцент5 2 3 2 2" xfId="989"/>
    <cellStyle name="20% - Акцент5 2 3 3" xfId="990"/>
    <cellStyle name="20% - Акцент5 2 4" xfId="76"/>
    <cellStyle name="20% - Акцент5 2 4 2" xfId="77"/>
    <cellStyle name="20% - Акцент5 2 4 3" xfId="991"/>
    <cellStyle name="20% - Акцент5 2 5" xfId="78"/>
    <cellStyle name="20% - Акцент5 2 6" xfId="992"/>
    <cellStyle name="20% - Акцент5 2_План финансирования на 2013 год" xfId="79"/>
    <cellStyle name="20% - Акцент5 3" xfId="80"/>
    <cellStyle name="20% - Акцент5 3 2" xfId="993"/>
    <cellStyle name="20% - Акцент5 4" xfId="81"/>
    <cellStyle name="20% - Акцент5 4 2" xfId="994"/>
    <cellStyle name="20% - Акцент6 2" xfId="82"/>
    <cellStyle name="20% — акцент6 2" xfId="995"/>
    <cellStyle name="20% - Акцент6 2 2" xfId="83"/>
    <cellStyle name="20% - Акцент6 2 2 2" xfId="84"/>
    <cellStyle name="20% - Акцент6 2 2 2 2" xfId="85"/>
    <cellStyle name="20% - Акцент6 2 2 2 2 2" xfId="996"/>
    <cellStyle name="20% - Акцент6 2 2 2 3" xfId="997"/>
    <cellStyle name="20% - Акцент6 2 2 3" xfId="86"/>
    <cellStyle name="20% - Акцент6 2 2 3 2" xfId="998"/>
    <cellStyle name="20% - Акцент6 2 2 4" xfId="999"/>
    <cellStyle name="20% - Акцент6 2 2_План финансирования на 2013 год" xfId="87"/>
    <cellStyle name="20% - Акцент6 2 3" xfId="88"/>
    <cellStyle name="20% - Акцент6 2 3 2" xfId="89"/>
    <cellStyle name="20% - Акцент6 2 3 2 2" xfId="1000"/>
    <cellStyle name="20% - Акцент6 2 3 3" xfId="1001"/>
    <cellStyle name="20% - Акцент6 2 4" xfId="90"/>
    <cellStyle name="20% - Акцент6 2 4 2" xfId="91"/>
    <cellStyle name="20% - Акцент6 2 4 3" xfId="1002"/>
    <cellStyle name="20% - Акцент6 2 5" xfId="92"/>
    <cellStyle name="20% - Акцент6 2 6" xfId="1003"/>
    <cellStyle name="20% - Акцент6 2_Август по объектно" xfId="93"/>
    <cellStyle name="20% - Акцент6 3" xfId="94"/>
    <cellStyle name="20% - Акцент6 3 2" xfId="1004"/>
    <cellStyle name="20% - Акцент6 4" xfId="95"/>
    <cellStyle name="20% - Акцент6 4 2" xfId="1005"/>
    <cellStyle name="40% - Акцент1 2" xfId="96"/>
    <cellStyle name="40% — акцент1 2" xfId="1006"/>
    <cellStyle name="40% - Акцент1 2 2" xfId="97"/>
    <cellStyle name="40% - Акцент1 2 2 2" xfId="98"/>
    <cellStyle name="40% - Акцент1 2 2 2 2" xfId="99"/>
    <cellStyle name="40% - Акцент1 2 2 2 2 2" xfId="1007"/>
    <cellStyle name="40% - Акцент1 2 2 2 3" xfId="1008"/>
    <cellStyle name="40% - Акцент1 2 2 3" xfId="100"/>
    <cellStyle name="40% - Акцент1 2 2 3 2" xfId="1009"/>
    <cellStyle name="40% - Акцент1 2 2 4" xfId="1010"/>
    <cellStyle name="40% - Акцент1 2 2_План финансирования на 2013 год" xfId="101"/>
    <cellStyle name="40% - Акцент1 2 3" xfId="102"/>
    <cellStyle name="40% - Акцент1 2 3 2" xfId="103"/>
    <cellStyle name="40% - Акцент1 2 3 2 2" xfId="1011"/>
    <cellStyle name="40% - Акцент1 2 3 3" xfId="1012"/>
    <cellStyle name="40% - Акцент1 2 4" xfId="104"/>
    <cellStyle name="40% - Акцент1 2 4 2" xfId="105"/>
    <cellStyle name="40% - Акцент1 2 4 3" xfId="1013"/>
    <cellStyle name="40% - Акцент1 2 5" xfId="106"/>
    <cellStyle name="40% - Акцент1 2 6" xfId="1014"/>
    <cellStyle name="40% - Акцент1 2_План финансирования на 2013 год" xfId="107"/>
    <cellStyle name="40% - Акцент1 3" xfId="108"/>
    <cellStyle name="40% - Акцент1 3 2" xfId="1015"/>
    <cellStyle name="40% - Акцент1 4" xfId="109"/>
    <cellStyle name="40% - Акцент1 4 2" xfId="1016"/>
    <cellStyle name="40% - Акцент2 2" xfId="110"/>
    <cellStyle name="40% — акцент2 2" xfId="1017"/>
    <cellStyle name="40% - Акцент2 2 2" xfId="111"/>
    <cellStyle name="40% - Акцент2 2 2 2" xfId="112"/>
    <cellStyle name="40% - Акцент2 2 2 2 2" xfId="113"/>
    <cellStyle name="40% - Акцент2 2 2 2 2 2" xfId="1018"/>
    <cellStyle name="40% - Акцент2 2 2 2 3" xfId="1019"/>
    <cellStyle name="40% - Акцент2 2 2 3" xfId="114"/>
    <cellStyle name="40% - Акцент2 2 2 3 2" xfId="1020"/>
    <cellStyle name="40% - Акцент2 2 2 4" xfId="1021"/>
    <cellStyle name="40% - Акцент2 2 2_План финансирования на 2013 год" xfId="115"/>
    <cellStyle name="40% - Акцент2 2 3" xfId="116"/>
    <cellStyle name="40% - Акцент2 2 3 2" xfId="117"/>
    <cellStyle name="40% - Акцент2 2 3 2 2" xfId="1022"/>
    <cellStyle name="40% - Акцент2 2 3 3" xfId="1023"/>
    <cellStyle name="40% - Акцент2 2 4" xfId="118"/>
    <cellStyle name="40% - Акцент2 2 4 2" xfId="119"/>
    <cellStyle name="40% - Акцент2 2 4 3" xfId="1024"/>
    <cellStyle name="40% - Акцент2 2 5" xfId="120"/>
    <cellStyle name="40% - Акцент2 2 6" xfId="1025"/>
    <cellStyle name="40% - Акцент2 2_План финансирования на 2013 год" xfId="121"/>
    <cellStyle name="40% - Акцент2 3" xfId="122"/>
    <cellStyle name="40% - Акцент2 3 2" xfId="1026"/>
    <cellStyle name="40% - Акцент2 4" xfId="123"/>
    <cellStyle name="40% - Акцент2 4 2" xfId="1027"/>
    <cellStyle name="40% - Акцент3 2" xfId="124"/>
    <cellStyle name="40% — акцент3 2" xfId="1028"/>
    <cellStyle name="40% - Акцент3 2 2" xfId="125"/>
    <cellStyle name="40% - Акцент3 2 2 2" xfId="126"/>
    <cellStyle name="40% - Акцент3 2 2 2 2" xfId="127"/>
    <cellStyle name="40% - Акцент3 2 2 2 2 2" xfId="1029"/>
    <cellStyle name="40% - Акцент3 2 2 2 3" xfId="1030"/>
    <cellStyle name="40% - Акцент3 2 2 3" xfId="128"/>
    <cellStyle name="40% - Акцент3 2 2 3 2" xfId="1031"/>
    <cellStyle name="40% - Акцент3 2 2 4" xfId="1032"/>
    <cellStyle name="40% - Акцент3 2 2_План финансирования на 2013 год" xfId="129"/>
    <cellStyle name="40% - Акцент3 2 3" xfId="130"/>
    <cellStyle name="40% - Акцент3 2 3 2" xfId="131"/>
    <cellStyle name="40% - Акцент3 2 3 2 2" xfId="1033"/>
    <cellStyle name="40% - Акцент3 2 3 3" xfId="1034"/>
    <cellStyle name="40% - Акцент3 2 4" xfId="132"/>
    <cellStyle name="40% - Акцент3 2 4 2" xfId="133"/>
    <cellStyle name="40% - Акцент3 2 4 3" xfId="1035"/>
    <cellStyle name="40% - Акцент3 2 5" xfId="134"/>
    <cellStyle name="40% - Акцент3 2 6" xfId="1036"/>
    <cellStyle name="40% - Акцент3 2_Август по объектно" xfId="135"/>
    <cellStyle name="40% - Акцент3 3" xfId="136"/>
    <cellStyle name="40% - Акцент3 3 2" xfId="1037"/>
    <cellStyle name="40% - Акцент3 4" xfId="137"/>
    <cellStyle name="40% - Акцент3 4 2" xfId="1038"/>
    <cellStyle name="40% - Акцент4 2" xfId="138"/>
    <cellStyle name="40% — акцент4 2" xfId="1039"/>
    <cellStyle name="40% - Акцент4 2 2" xfId="139"/>
    <cellStyle name="40% - Акцент4 2 2 2" xfId="140"/>
    <cellStyle name="40% - Акцент4 2 2 2 2" xfId="141"/>
    <cellStyle name="40% - Акцент4 2 2 2 2 2" xfId="1040"/>
    <cellStyle name="40% - Акцент4 2 2 2 3" xfId="1041"/>
    <cellStyle name="40% - Акцент4 2 2 3" xfId="142"/>
    <cellStyle name="40% - Акцент4 2 2 3 2" xfId="1042"/>
    <cellStyle name="40% - Акцент4 2 2 4" xfId="1043"/>
    <cellStyle name="40% - Акцент4 2 2_План финансирования на 2013 год" xfId="143"/>
    <cellStyle name="40% - Акцент4 2 3" xfId="144"/>
    <cellStyle name="40% - Акцент4 2 3 2" xfId="145"/>
    <cellStyle name="40% - Акцент4 2 3 2 2" xfId="1044"/>
    <cellStyle name="40% - Акцент4 2 3 3" xfId="1045"/>
    <cellStyle name="40% - Акцент4 2 4" xfId="146"/>
    <cellStyle name="40% - Акцент4 2 4 2" xfId="147"/>
    <cellStyle name="40% - Акцент4 2 4 3" xfId="1046"/>
    <cellStyle name="40% - Акцент4 2 5" xfId="148"/>
    <cellStyle name="40% - Акцент4 2 6" xfId="1047"/>
    <cellStyle name="40% - Акцент4 2_План финансирования на 2013 год" xfId="149"/>
    <cellStyle name="40% - Акцент4 3" xfId="150"/>
    <cellStyle name="40% - Акцент4 3 2" xfId="1048"/>
    <cellStyle name="40% - Акцент4 4" xfId="151"/>
    <cellStyle name="40% - Акцент4 4 2" xfId="1049"/>
    <cellStyle name="40% - Акцент5 2" xfId="152"/>
    <cellStyle name="40% — акцент5 2" xfId="1050"/>
    <cellStyle name="40% - Акцент5 2 2" xfId="153"/>
    <cellStyle name="40% - Акцент5 2 2 2" xfId="154"/>
    <cellStyle name="40% - Акцент5 2 2 2 2" xfId="155"/>
    <cellStyle name="40% - Акцент5 2 2 2 2 2" xfId="1051"/>
    <cellStyle name="40% - Акцент5 2 2 2 3" xfId="1052"/>
    <cellStyle name="40% - Акцент5 2 2 3" xfId="156"/>
    <cellStyle name="40% - Акцент5 2 2 3 2" xfId="1053"/>
    <cellStyle name="40% - Акцент5 2 2 4" xfId="1054"/>
    <cellStyle name="40% - Акцент5 2 2_План финансирования на 2013 год" xfId="157"/>
    <cellStyle name="40% - Акцент5 2 3" xfId="158"/>
    <cellStyle name="40% - Акцент5 2 3 2" xfId="159"/>
    <cellStyle name="40% - Акцент5 2 3 2 2" xfId="1055"/>
    <cellStyle name="40% - Акцент5 2 3 3" xfId="1056"/>
    <cellStyle name="40% - Акцент5 2 4" xfId="160"/>
    <cellStyle name="40% - Акцент5 2 4 2" xfId="161"/>
    <cellStyle name="40% - Акцент5 2 4 3" xfId="1057"/>
    <cellStyle name="40% - Акцент5 2 5" xfId="162"/>
    <cellStyle name="40% - Акцент5 2 6" xfId="1058"/>
    <cellStyle name="40% - Акцент5 2_План финансирования на 2013 год" xfId="163"/>
    <cellStyle name="40% - Акцент5 3" xfId="164"/>
    <cellStyle name="40% - Акцент5 3 2" xfId="1059"/>
    <cellStyle name="40% - Акцент5 4" xfId="165"/>
    <cellStyle name="40% - Акцент5 4 2" xfId="1060"/>
    <cellStyle name="40% - Акцент6 2" xfId="166"/>
    <cellStyle name="40% — акцент6 2" xfId="1061"/>
    <cellStyle name="40% - Акцент6 2 2" xfId="167"/>
    <cellStyle name="40% - Акцент6 2 2 2" xfId="168"/>
    <cellStyle name="40% - Акцент6 2 2 2 2" xfId="169"/>
    <cellStyle name="40% - Акцент6 2 2 2 2 2" xfId="1062"/>
    <cellStyle name="40% - Акцент6 2 2 2 3" xfId="1063"/>
    <cellStyle name="40% - Акцент6 2 2 3" xfId="170"/>
    <cellStyle name="40% - Акцент6 2 2 3 2" xfId="1064"/>
    <cellStyle name="40% - Акцент6 2 2 4" xfId="1065"/>
    <cellStyle name="40% - Акцент6 2 2_План финансирования на 2013 год" xfId="171"/>
    <cellStyle name="40% - Акцент6 2 3" xfId="172"/>
    <cellStyle name="40% - Акцент6 2 3 2" xfId="173"/>
    <cellStyle name="40% - Акцент6 2 3 2 2" xfId="1066"/>
    <cellStyle name="40% - Акцент6 2 3 3" xfId="1067"/>
    <cellStyle name="40% - Акцент6 2 4" xfId="174"/>
    <cellStyle name="40% - Акцент6 2 4 2" xfId="175"/>
    <cellStyle name="40% - Акцент6 2 4 3" xfId="1068"/>
    <cellStyle name="40% - Акцент6 2 5" xfId="176"/>
    <cellStyle name="40% - Акцент6 2 6" xfId="1069"/>
    <cellStyle name="40% - Акцент6 2_План финансирования на 2013 год" xfId="177"/>
    <cellStyle name="40% - Акцент6 3" xfId="178"/>
    <cellStyle name="40% - Акцент6 3 2" xfId="1070"/>
    <cellStyle name="40% - Акцент6 4" xfId="179"/>
    <cellStyle name="40% - Акцент6 4 2" xfId="1071"/>
    <cellStyle name="60% - Акцент1 2" xfId="180"/>
    <cellStyle name="60% — акцент1 2" xfId="1072"/>
    <cellStyle name="60% - Акцент1 2 2" xfId="181"/>
    <cellStyle name="60% - Акцент1 2 2 2" xfId="182"/>
    <cellStyle name="60% - Акцент1 2 3" xfId="183"/>
    <cellStyle name="60% - Акцент1 2 4" xfId="184"/>
    <cellStyle name="60% - Акцент1 2 5" xfId="185"/>
    <cellStyle name="60% - Акцент1 2_16 МСХ 13.09.11 с проблемными" xfId="186"/>
    <cellStyle name="60% - Акцент1 3" xfId="187"/>
    <cellStyle name="60% - Акцент2 2" xfId="188"/>
    <cellStyle name="60% — акцент2 2" xfId="1073"/>
    <cellStyle name="60% - Акцент2 2 2" xfId="189"/>
    <cellStyle name="60% - Акцент2 2 2 2" xfId="190"/>
    <cellStyle name="60% - Акцент2 2 3" xfId="191"/>
    <cellStyle name="60% - Акцент2 2 4" xfId="192"/>
    <cellStyle name="60% - Акцент2 2 5" xfId="193"/>
    <cellStyle name="60% - Акцент2 2_16 МСХ 13.09.11 с проблемными" xfId="194"/>
    <cellStyle name="60% - Акцент2 3" xfId="195"/>
    <cellStyle name="60% - Акцент3 2" xfId="196"/>
    <cellStyle name="60% — акцент3 2" xfId="1074"/>
    <cellStyle name="60% - Акцент3 2 2" xfId="197"/>
    <cellStyle name="60% - Акцент3 2 2 2" xfId="198"/>
    <cellStyle name="60% - Акцент3 2 3" xfId="199"/>
    <cellStyle name="60% - Акцент3 2 4" xfId="200"/>
    <cellStyle name="60% - Акцент3 2 5" xfId="201"/>
    <cellStyle name="60% - Акцент3 2_16 МСХ 13.09.11 с проблемными" xfId="202"/>
    <cellStyle name="60% - Акцент3 3" xfId="203"/>
    <cellStyle name="60% - Акцент4 2" xfId="204"/>
    <cellStyle name="60% — акцент4 2" xfId="1075"/>
    <cellStyle name="60% - Акцент4 2 2" xfId="205"/>
    <cellStyle name="60% - Акцент4 2 2 2" xfId="206"/>
    <cellStyle name="60% - Акцент4 2 3" xfId="207"/>
    <cellStyle name="60% - Акцент4 2 4" xfId="208"/>
    <cellStyle name="60% - Акцент4 2 5" xfId="209"/>
    <cellStyle name="60% - Акцент4 2_16 МСХ 13.09.11 с проблемными" xfId="210"/>
    <cellStyle name="60% - Акцент4 3" xfId="211"/>
    <cellStyle name="60% - Акцент5 2" xfId="212"/>
    <cellStyle name="60% — акцент5 2" xfId="1076"/>
    <cellStyle name="60% - Акцент5 2 2" xfId="213"/>
    <cellStyle name="60% - Акцент5 2 2 2" xfId="214"/>
    <cellStyle name="60% - Акцент5 2 3" xfId="215"/>
    <cellStyle name="60% - Акцент5 2 4" xfId="216"/>
    <cellStyle name="60% - Акцент5 2 5" xfId="217"/>
    <cellStyle name="60% - Акцент5 2_16 МСХ 13.09.11 с проблемными" xfId="218"/>
    <cellStyle name="60% - Акцент5 3" xfId="219"/>
    <cellStyle name="60% - Акцент6 2" xfId="220"/>
    <cellStyle name="60% — акцент6 2" xfId="1077"/>
    <cellStyle name="60% - Акцент6 2 2" xfId="221"/>
    <cellStyle name="60% - Акцент6 2 2 2" xfId="222"/>
    <cellStyle name="60% - Акцент6 2 3" xfId="223"/>
    <cellStyle name="60% - Акцент6 2 4" xfId="224"/>
    <cellStyle name="60% - Акцент6 2 5" xfId="225"/>
    <cellStyle name="60% - Акцент6 2_16 МСХ 13.09.11 с проблемными" xfId="226"/>
    <cellStyle name="60% - Акцент6 3" xfId="227"/>
    <cellStyle name="Cell1" xfId="228"/>
    <cellStyle name="Cell2" xfId="229"/>
    <cellStyle name="Cell3" xfId="230"/>
    <cellStyle name="Cell4" xfId="231"/>
    <cellStyle name="Cell5" xfId="232"/>
    <cellStyle name="Column1" xfId="233"/>
    <cellStyle name="Column2" xfId="234"/>
    <cellStyle name="Column3" xfId="235"/>
    <cellStyle name="Column4" xfId="236"/>
    <cellStyle name="Column5" xfId="237"/>
    <cellStyle name="Column7" xfId="238"/>
    <cellStyle name="Data" xfId="239"/>
    <cellStyle name="Excel Built-in Normal" xfId="1078"/>
    <cellStyle name="Excel Built-in Normal 2" xfId="1205"/>
    <cellStyle name="Heading" xfId="1206"/>
    <cellStyle name="Heading1" xfId="240"/>
    <cellStyle name="Heading2" xfId="241"/>
    <cellStyle name="Heading3" xfId="242"/>
    <cellStyle name="Heading4" xfId="243"/>
    <cellStyle name="Heading4 10" xfId="1226"/>
    <cellStyle name="Heading4 11" xfId="1227"/>
    <cellStyle name="Heading4 2" xfId="1228"/>
    <cellStyle name="Heading4 3" xfId="1229"/>
    <cellStyle name="Heading4 4" xfId="1230"/>
    <cellStyle name="Heading4 5" xfId="1231"/>
    <cellStyle name="Heading4 6" xfId="1232"/>
    <cellStyle name="Heading4 7" xfId="1233"/>
    <cellStyle name="Heading4 8" xfId="1234"/>
    <cellStyle name="Heading4 9" xfId="1235"/>
    <cellStyle name="Name1" xfId="244"/>
    <cellStyle name="Name2" xfId="245"/>
    <cellStyle name="Name3" xfId="246"/>
    <cellStyle name="Name4" xfId="247"/>
    <cellStyle name="Name5" xfId="248"/>
    <cellStyle name="Normal 5" xfId="249"/>
    <cellStyle name="Normal 6" xfId="250"/>
    <cellStyle name="Normal_Sheet1" xfId="251"/>
    <cellStyle name="Result" xfId="1207"/>
    <cellStyle name="Result2" xfId="1208"/>
    <cellStyle name="S0" xfId="252"/>
    <cellStyle name="S0 2" xfId="253"/>
    <cellStyle name="S1" xfId="254"/>
    <cellStyle name="S1 2" xfId="255"/>
    <cellStyle name="S10" xfId="256"/>
    <cellStyle name="S10 2" xfId="257"/>
    <cellStyle name="S2" xfId="258"/>
    <cellStyle name="S2 2" xfId="259"/>
    <cellStyle name="S3" xfId="260"/>
    <cellStyle name="S3 2" xfId="261"/>
    <cellStyle name="S4" xfId="262"/>
    <cellStyle name="S4 2" xfId="263"/>
    <cellStyle name="S4_16 МСХ 13.09.11 с проблемными" xfId="264"/>
    <cellStyle name="S5" xfId="265"/>
    <cellStyle name="S5 2" xfId="266"/>
    <cellStyle name="S5_16 МСХ 13.09.11 с проблемными" xfId="267"/>
    <cellStyle name="S6" xfId="268"/>
    <cellStyle name="S6 2" xfId="269"/>
    <cellStyle name="S7" xfId="270"/>
    <cellStyle name="S7 2" xfId="271"/>
    <cellStyle name="S8" xfId="272"/>
    <cellStyle name="S8 2" xfId="273"/>
    <cellStyle name="S9" xfId="274"/>
    <cellStyle name="S9 2" xfId="275"/>
    <cellStyle name="S9_ПРОБЛЕМНЫЕ  2012-2014 (22.09.11)" xfId="276"/>
    <cellStyle name="Title1" xfId="277"/>
    <cellStyle name="TitleCol1" xfId="278"/>
    <cellStyle name="TitleCol1 2" xfId="1246"/>
    <cellStyle name="TitleCol2" xfId="279"/>
    <cellStyle name="TitleCol2 2" xfId="1247"/>
    <cellStyle name="White1" xfId="280"/>
    <cellStyle name="White2" xfId="281"/>
    <cellStyle name="White3" xfId="282"/>
    <cellStyle name="White4" xfId="283"/>
    <cellStyle name="White5" xfId="284"/>
    <cellStyle name="Акцент1 2" xfId="285"/>
    <cellStyle name="Акцент1 2 2" xfId="286"/>
    <cellStyle name="Акцент1 2 2 2" xfId="287"/>
    <cellStyle name="Акцент1 2 3" xfId="288"/>
    <cellStyle name="Акцент1 2 4" xfId="289"/>
    <cellStyle name="Акцент1 2 5" xfId="290"/>
    <cellStyle name="Акцент1 2_16 МСХ 13.09.11 с проблемными" xfId="291"/>
    <cellStyle name="Акцент1 3" xfId="292"/>
    <cellStyle name="Акцент2 2" xfId="293"/>
    <cellStyle name="Акцент2 2 2" xfId="294"/>
    <cellStyle name="Акцент2 2 2 2" xfId="295"/>
    <cellStyle name="Акцент2 2 3" xfId="296"/>
    <cellStyle name="Акцент2 2 4" xfId="297"/>
    <cellStyle name="Акцент2 2 5" xfId="298"/>
    <cellStyle name="Акцент2 2_16 МСХ 13.09.11 с проблемными" xfId="299"/>
    <cellStyle name="Акцент2 3" xfId="300"/>
    <cellStyle name="Акцент3 2" xfId="301"/>
    <cellStyle name="Акцент3 2 2" xfId="302"/>
    <cellStyle name="Акцент3 2 2 2" xfId="303"/>
    <cellStyle name="Акцент3 2 3" xfId="304"/>
    <cellStyle name="Акцент3 2 4" xfId="305"/>
    <cellStyle name="Акцент3 2 5" xfId="306"/>
    <cellStyle name="Акцент3 2_16 МСХ 13.09.11 с проблемными" xfId="307"/>
    <cellStyle name="Акцент3 3" xfId="308"/>
    <cellStyle name="Акцент4 2" xfId="309"/>
    <cellStyle name="Акцент4 2 2" xfId="310"/>
    <cellStyle name="Акцент4 2 2 2" xfId="311"/>
    <cellStyle name="Акцент4 2 3" xfId="312"/>
    <cellStyle name="Акцент4 2 4" xfId="313"/>
    <cellStyle name="Акцент4 2 5" xfId="314"/>
    <cellStyle name="Акцент4 2_16 МСХ 13.09.11 с проблемными" xfId="315"/>
    <cellStyle name="Акцент4 3" xfId="316"/>
    <cellStyle name="Акцент5 2" xfId="317"/>
    <cellStyle name="Акцент5 2 2" xfId="318"/>
    <cellStyle name="Акцент5 2 2 2" xfId="319"/>
    <cellStyle name="Акцент5 2 3" xfId="320"/>
    <cellStyle name="Акцент5 2 4" xfId="321"/>
    <cellStyle name="Акцент5 2 5" xfId="322"/>
    <cellStyle name="Акцент5 2_16 МСХ 13.09.11 с проблемными" xfId="323"/>
    <cellStyle name="Акцент5 3" xfId="324"/>
    <cellStyle name="Акцент6 2" xfId="325"/>
    <cellStyle name="Акцент6 2 2" xfId="326"/>
    <cellStyle name="Акцент6 2 2 2" xfId="327"/>
    <cellStyle name="Акцент6 2 3" xfId="328"/>
    <cellStyle name="Акцент6 2 4" xfId="329"/>
    <cellStyle name="Акцент6 2 5" xfId="330"/>
    <cellStyle name="Акцент6 2_16 МСХ 13.09.11 с проблемными" xfId="331"/>
    <cellStyle name="Акцент6 3" xfId="332"/>
    <cellStyle name="Ввод  2" xfId="333"/>
    <cellStyle name="Ввод  2 2" xfId="334"/>
    <cellStyle name="Ввод  2 2 2" xfId="335"/>
    <cellStyle name="Ввод  2 2 2 2" xfId="1248"/>
    <cellStyle name="Ввод  2 2 3" xfId="336"/>
    <cellStyle name="Ввод  2 2 3 2" xfId="1249"/>
    <cellStyle name="Ввод  2 2 4" xfId="1250"/>
    <cellStyle name="Ввод  2 3" xfId="337"/>
    <cellStyle name="Ввод  2 3 2" xfId="1251"/>
    <cellStyle name="Ввод  2 4" xfId="338"/>
    <cellStyle name="Ввод  2 4 2" xfId="1252"/>
    <cellStyle name="Ввод  2 5" xfId="339"/>
    <cellStyle name="Ввод  2 5 2" xfId="1253"/>
    <cellStyle name="Ввод  2 6" xfId="340"/>
    <cellStyle name="Ввод  2 6 2" xfId="1254"/>
    <cellStyle name="Ввод  2 7" xfId="1255"/>
    <cellStyle name="Ввод  2_Электроэнергия" xfId="341"/>
    <cellStyle name="Ввод  3" xfId="342"/>
    <cellStyle name="Ввод  3 2" xfId="1256"/>
    <cellStyle name="Ввод  4" xfId="1257"/>
    <cellStyle name="Вывод 2" xfId="343"/>
    <cellStyle name="Вывод 2 2" xfId="344"/>
    <cellStyle name="Вывод 2 2 2" xfId="345"/>
    <cellStyle name="Вывод 2 2 2 2" xfId="1258"/>
    <cellStyle name="Вывод 2 2 3" xfId="346"/>
    <cellStyle name="Вывод 2 2 3 2" xfId="1259"/>
    <cellStyle name="Вывод 2 2 4" xfId="1260"/>
    <cellStyle name="Вывод 2 3" xfId="347"/>
    <cellStyle name="Вывод 2 3 2" xfId="1261"/>
    <cellStyle name="Вывод 2 4" xfId="348"/>
    <cellStyle name="Вывод 2 4 2" xfId="1262"/>
    <cellStyle name="Вывод 2 5" xfId="349"/>
    <cellStyle name="Вывод 2 5 2" xfId="1263"/>
    <cellStyle name="Вывод 2 6" xfId="350"/>
    <cellStyle name="Вывод 2 6 2" xfId="1264"/>
    <cellStyle name="Вывод 2 7" xfId="1265"/>
    <cellStyle name="Вывод 2_Электроэнергия" xfId="351"/>
    <cellStyle name="Вывод 3" xfId="352"/>
    <cellStyle name="Вывод 3 2" xfId="1266"/>
    <cellStyle name="Вывод 4" xfId="1267"/>
    <cellStyle name="Вычисление 2" xfId="353"/>
    <cellStyle name="Вычисление 2 2" xfId="354"/>
    <cellStyle name="Вычисление 2 2 2" xfId="355"/>
    <cellStyle name="Вычисление 2 2 2 2" xfId="1268"/>
    <cellStyle name="Вычисление 2 2 3" xfId="356"/>
    <cellStyle name="Вычисление 2 2 3 2" xfId="1269"/>
    <cellStyle name="Вычисление 2 2 4" xfId="1270"/>
    <cellStyle name="Вычисление 2 3" xfId="357"/>
    <cellStyle name="Вычисление 2 3 2" xfId="1271"/>
    <cellStyle name="Вычисление 2 4" xfId="358"/>
    <cellStyle name="Вычисление 2 4 2" xfId="1272"/>
    <cellStyle name="Вычисление 2 5" xfId="359"/>
    <cellStyle name="Вычисление 2 5 2" xfId="1273"/>
    <cellStyle name="Вычисление 2 6" xfId="360"/>
    <cellStyle name="Вычисление 2 6 2" xfId="1274"/>
    <cellStyle name="Вычисление 2 7" xfId="1275"/>
    <cellStyle name="Вычисление 2_Электроэнергия" xfId="361"/>
    <cellStyle name="Вычисление 3" xfId="362"/>
    <cellStyle name="Вычисление 3 2" xfId="1276"/>
    <cellStyle name="Вычисление 4" xfId="1277"/>
    <cellStyle name="Гиперссылка" xfId="1470" builtinId="8"/>
    <cellStyle name="Денежный 2" xfId="363"/>
    <cellStyle name="Денежный 2 2" xfId="1079"/>
    <cellStyle name="Денежный 2 3" xfId="1080"/>
    <cellStyle name="Денежный 2 3 2" xfId="1278"/>
    <cellStyle name="Денежный 3" xfId="1081"/>
    <cellStyle name="Денежный 3 2" xfId="1279"/>
    <cellStyle name="Денежный 4" xfId="1082"/>
    <cellStyle name="Денежный 4 2" xfId="1280"/>
    <cellStyle name="Заголовок 1 2" xfId="364"/>
    <cellStyle name="Заголовок 1 2 2" xfId="365"/>
    <cellStyle name="Заголовок 1 2 2 2" xfId="366"/>
    <cellStyle name="Заголовок 1 2 3" xfId="367"/>
    <cellStyle name="Заголовок 1 2 4" xfId="368"/>
    <cellStyle name="Заголовок 1 2 5" xfId="369"/>
    <cellStyle name="Заголовок 1 2_Электроэнергия" xfId="370"/>
    <cellStyle name="Заголовок 1 3" xfId="371"/>
    <cellStyle name="Заголовок 2 2" xfId="372"/>
    <cellStyle name="Заголовок 2 2 2" xfId="373"/>
    <cellStyle name="Заголовок 2 2 2 2" xfId="374"/>
    <cellStyle name="Заголовок 2 2 3" xfId="375"/>
    <cellStyle name="Заголовок 2 2 4" xfId="376"/>
    <cellStyle name="Заголовок 2 2 5" xfId="377"/>
    <cellStyle name="Заголовок 2 2_Электроэнергия" xfId="378"/>
    <cellStyle name="Заголовок 2 3" xfId="379"/>
    <cellStyle name="Заголовок 3 2" xfId="380"/>
    <cellStyle name="Заголовок 3 2 2" xfId="381"/>
    <cellStyle name="Заголовок 3 2 2 2" xfId="382"/>
    <cellStyle name="Заголовок 3 2 3" xfId="383"/>
    <cellStyle name="Заголовок 3 2 4" xfId="384"/>
    <cellStyle name="Заголовок 3 2 5" xfId="385"/>
    <cellStyle name="Заголовок 3 2_Электроэнергия" xfId="386"/>
    <cellStyle name="Заголовок 3 3" xfId="387"/>
    <cellStyle name="Заголовок 4 2" xfId="388"/>
    <cellStyle name="Заголовок 4 2 2" xfId="389"/>
    <cellStyle name="Заголовок 4 2 2 2" xfId="390"/>
    <cellStyle name="Заголовок 4 2 3" xfId="391"/>
    <cellStyle name="Заголовок 4 2 4" xfId="392"/>
    <cellStyle name="Заголовок 4 2 5" xfId="393"/>
    <cellStyle name="Заголовок 4 2_Электроэнергия" xfId="394"/>
    <cellStyle name="Заголовок 4 3" xfId="395"/>
    <cellStyle name="Итог 2" xfId="396"/>
    <cellStyle name="Итог 2 2" xfId="397"/>
    <cellStyle name="Итог 2 2 2" xfId="398"/>
    <cellStyle name="Итог 2 2 2 2" xfId="399"/>
    <cellStyle name="Итог 2 2 2 2 2" xfId="1281"/>
    <cellStyle name="Итог 2 2 2 3" xfId="1282"/>
    <cellStyle name="Итог 2 2 3" xfId="400"/>
    <cellStyle name="Итог 2 2 3 2" xfId="1283"/>
    <cellStyle name="Итог 2 2 4" xfId="401"/>
    <cellStyle name="Итог 2 2 4 2" xfId="1284"/>
    <cellStyle name="Итог 2 2 5" xfId="1285"/>
    <cellStyle name="Итог 2 2_Электроэнергия" xfId="402"/>
    <cellStyle name="Итог 2 3" xfId="403"/>
    <cellStyle name="Итог 2 3 2" xfId="404"/>
    <cellStyle name="Итог 2 3 2 2" xfId="1286"/>
    <cellStyle name="Итог 2 3 3" xfId="405"/>
    <cellStyle name="Итог 2 3 3 2" xfId="1287"/>
    <cellStyle name="Итог 2 3 4" xfId="1288"/>
    <cellStyle name="Итог 2 4" xfId="406"/>
    <cellStyle name="Итог 2 4 2" xfId="1289"/>
    <cellStyle name="Итог 2 5" xfId="407"/>
    <cellStyle name="Итог 2 5 2" xfId="1290"/>
    <cellStyle name="Итог 2 6" xfId="408"/>
    <cellStyle name="Итог 2 6 2" xfId="1291"/>
    <cellStyle name="Итог 2 7" xfId="1292"/>
    <cellStyle name="Итог 2_Электроэнергия" xfId="409"/>
    <cellStyle name="Итог 3" xfId="410"/>
    <cellStyle name="Итог 3 2" xfId="1293"/>
    <cellStyle name="Итог 4" xfId="1294"/>
    <cellStyle name="КАНДАГАЧ тел3-33-96" xfId="411"/>
    <cellStyle name="Контрольная ячейка 2" xfId="412"/>
    <cellStyle name="Контрольная ячейка 2 2" xfId="413"/>
    <cellStyle name="Контрольная ячейка 2 2 2" xfId="414"/>
    <cellStyle name="Контрольная ячейка 2 3" xfId="415"/>
    <cellStyle name="Контрольная ячейка 2 4" xfId="416"/>
    <cellStyle name="Контрольная ячейка 2 5" xfId="417"/>
    <cellStyle name="Контрольная ячейка 2_Электроэнергия" xfId="418"/>
    <cellStyle name="Контрольная ячейка 3" xfId="419"/>
    <cellStyle name="Название 2" xfId="420"/>
    <cellStyle name="Название 2 2" xfId="421"/>
    <cellStyle name="Название 2 2 2" xfId="422"/>
    <cellStyle name="Название 2 3" xfId="423"/>
    <cellStyle name="Название 2 4" xfId="424"/>
    <cellStyle name="Название 2 5" xfId="425"/>
    <cellStyle name="Название 2_Электроэнергия" xfId="426"/>
    <cellStyle name="Название 3" xfId="427"/>
    <cellStyle name="Нейтральный 2" xfId="428"/>
    <cellStyle name="Нейтральный 2 2" xfId="429"/>
    <cellStyle name="Нейтральный 2 2 2" xfId="430"/>
    <cellStyle name="Нейтральный 2 3" xfId="431"/>
    <cellStyle name="Нейтральный 2 4" xfId="432"/>
    <cellStyle name="Нейтральный 2 5" xfId="433"/>
    <cellStyle name="Нейтральный 2_Электроэнергия" xfId="434"/>
    <cellStyle name="Нейтральный 3" xfId="435"/>
    <cellStyle name="Обычный" xfId="0" builtinId="0"/>
    <cellStyle name="Обычный 10" xfId="436"/>
    <cellStyle name="Обычный 10 2" xfId="437"/>
    <cellStyle name="Обычный 10 2 2" xfId="438"/>
    <cellStyle name="Обычный 10 2 2 2" xfId="1083"/>
    <cellStyle name="Обычный 10 2 3" xfId="1084"/>
    <cellStyle name="Обычный 10 2 3 2" xfId="1295"/>
    <cellStyle name="Обычный 10 2 4" xfId="1296"/>
    <cellStyle name="Обычный 10 3" xfId="439"/>
    <cellStyle name="Обычный 10 3 2" xfId="440"/>
    <cellStyle name="Обычный 10 3 3" xfId="441"/>
    <cellStyle name="Обычный 10 4" xfId="442"/>
    <cellStyle name="Обычный 10 5" xfId="443"/>
    <cellStyle name="Обычный 10 6" xfId="444"/>
    <cellStyle name="Обычный 10 6 2" xfId="1085"/>
    <cellStyle name="Обычный 10 7" xfId="1086"/>
    <cellStyle name="Обычный 10 7 2" xfId="1297"/>
    <cellStyle name="Обычный 10 8" xfId="1298"/>
    <cellStyle name="Обычный 10_Август по объектно" xfId="445"/>
    <cellStyle name="Обычный 11" xfId="446"/>
    <cellStyle name="Обычный 11 2" xfId="447"/>
    <cellStyle name="Обычный 11 2 2" xfId="448"/>
    <cellStyle name="Обычный 11 2 2 2" xfId="1087"/>
    <cellStyle name="Обычный 11 2 3" xfId="1088"/>
    <cellStyle name="Обычный 11 2 3 2" xfId="1299"/>
    <cellStyle name="Обычный 11 2 4" xfId="1300"/>
    <cellStyle name="Обычный 11 3" xfId="449"/>
    <cellStyle name="Обычный 11 3 2" xfId="450"/>
    <cellStyle name="Обычный 11 3 2 2" xfId="1089"/>
    <cellStyle name="Обычный 11 3 3" xfId="1090"/>
    <cellStyle name="Обычный 11 3 3 2" xfId="1301"/>
    <cellStyle name="Обычный 11 3 4" xfId="1302"/>
    <cellStyle name="Обычный 11 4" xfId="451"/>
    <cellStyle name="Обычный 11 4 2" xfId="452"/>
    <cellStyle name="Обычный 11 4 2 2" xfId="453"/>
    <cellStyle name="Обычный 11 4 3" xfId="454"/>
    <cellStyle name="Обычный 11 5" xfId="455"/>
    <cellStyle name="Обычный 11 6" xfId="456"/>
    <cellStyle name="Обычный 11 7" xfId="457"/>
    <cellStyle name="Обычный 11 7 2" xfId="1091"/>
    <cellStyle name="Обычный 11_Август по объектно" xfId="458"/>
    <cellStyle name="Обычный 12" xfId="459"/>
    <cellStyle name="Обычный 12 2" xfId="460"/>
    <cellStyle name="Обычный 12 2 2" xfId="461"/>
    <cellStyle name="Обычный 12 2 2 2" xfId="1092"/>
    <cellStyle name="Обычный 12 2 3" xfId="1093"/>
    <cellStyle name="Обычный 12 2 3 2" xfId="1303"/>
    <cellStyle name="Обычный 12 2 4" xfId="1304"/>
    <cellStyle name="Обычный 12 3" xfId="462"/>
    <cellStyle name="Обычный 12 3 2" xfId="463"/>
    <cellStyle name="Обычный 12 3 2 2" xfId="1094"/>
    <cellStyle name="Обычный 12 3 3" xfId="1095"/>
    <cellStyle name="Обычный 12 3 3 2" xfId="1305"/>
    <cellStyle name="Обычный 12 3 4" xfId="1306"/>
    <cellStyle name="Обычный 12 4" xfId="464"/>
    <cellStyle name="Обычный 12 4 2" xfId="465"/>
    <cellStyle name="Обычный 12 4 2 2" xfId="466"/>
    <cellStyle name="Обычный 12 4 3" xfId="467"/>
    <cellStyle name="Обычный 12 5" xfId="468"/>
    <cellStyle name="Обычный 12 6" xfId="469"/>
    <cellStyle name="Обычный 12 7" xfId="470"/>
    <cellStyle name="Обычный 12 7 2" xfId="1096"/>
    <cellStyle name="Обычный 12_Август по объектно" xfId="471"/>
    <cellStyle name="Обычный 13" xfId="472"/>
    <cellStyle name="Обычный 13 2" xfId="473"/>
    <cellStyle name="Обычный 13 2 2" xfId="474"/>
    <cellStyle name="Обычный 13 3" xfId="475"/>
    <cellStyle name="Обычный 13 3 2" xfId="1097"/>
    <cellStyle name="Обычный 13 4" xfId="1098"/>
    <cellStyle name="Обычный 13_Гидроузел на р.Тышкан" xfId="476"/>
    <cellStyle name="Обычный 14" xfId="477"/>
    <cellStyle name="Обычный 14 2" xfId="478"/>
    <cellStyle name="Обычный 14 3" xfId="479"/>
    <cellStyle name="Обычный 14 4" xfId="480"/>
    <cellStyle name="Обычный 14_Гидроузел на р.Тышкан" xfId="481"/>
    <cellStyle name="Обычный 15" xfId="482"/>
    <cellStyle name="Обычный 15 2" xfId="483"/>
    <cellStyle name="Обычный 15 3" xfId="484"/>
    <cellStyle name="Обычный 15 4" xfId="485"/>
    <cellStyle name="Обычный 15 5" xfId="486"/>
    <cellStyle name="Обычный 16" xfId="487"/>
    <cellStyle name="Обычный 16 2" xfId="488"/>
    <cellStyle name="Обычный 16 2 2" xfId="489"/>
    <cellStyle name="Обычный 16 2 2 2" xfId="1099"/>
    <cellStyle name="Обычный 16 2 3" xfId="1100"/>
    <cellStyle name="Обычный 16 2 3 2" xfId="1307"/>
    <cellStyle name="Обычный 16 2 4" xfId="1308"/>
    <cellStyle name="Обычный 16 3" xfId="490"/>
    <cellStyle name="Обычный 16 3 2" xfId="1236"/>
    <cellStyle name="Обычный 16 4" xfId="491"/>
    <cellStyle name="Обычный 16 5" xfId="492"/>
    <cellStyle name="Обычный 16 5 2" xfId="1309"/>
    <cellStyle name="Обычный 16_Гидроузел на р.Тышкан" xfId="493"/>
    <cellStyle name="Обычный 17" xfId="494"/>
    <cellStyle name="Обычный 17 2" xfId="495"/>
    <cellStyle name="Обычный 17 2 2" xfId="496"/>
    <cellStyle name="Обычный 17 3" xfId="497"/>
    <cellStyle name="Обычный 17 3 2" xfId="498"/>
    <cellStyle name="Обычный 17 3 2 2" xfId="499"/>
    <cellStyle name="Обычный 17 3 2 2 2" xfId="1101"/>
    <cellStyle name="Обычный 17 3 2 3" xfId="1102"/>
    <cellStyle name="Обычный 17 3 2 3 2" xfId="1310"/>
    <cellStyle name="Обычный 17 3 2 4" xfId="1311"/>
    <cellStyle name="Обычный 17 3 3" xfId="500"/>
    <cellStyle name="Обычный 17 4" xfId="501"/>
    <cellStyle name="Обычный 17 4 2" xfId="502"/>
    <cellStyle name="Обычный 17 4 2 2" xfId="1103"/>
    <cellStyle name="Обычный 17 4 3" xfId="1104"/>
    <cellStyle name="Обычный 17 4 3 2" xfId="1312"/>
    <cellStyle name="Обычный 17 4 4" xfId="1313"/>
    <cellStyle name="Обычный 17 5" xfId="503"/>
    <cellStyle name="Обычный 17 5 2" xfId="1105"/>
    <cellStyle name="Обычный 18" xfId="504"/>
    <cellStyle name="Обычный 18 2" xfId="505"/>
    <cellStyle name="Обычный 18 2 2" xfId="506"/>
    <cellStyle name="Обычный 18 3" xfId="507"/>
    <cellStyle name="Обычный 18 3 2" xfId="508"/>
    <cellStyle name="Обычный 18 3 3" xfId="509"/>
    <cellStyle name="Обычный 18 4" xfId="510"/>
    <cellStyle name="Обычный 18 5" xfId="511"/>
    <cellStyle name="Обычный 19" xfId="512"/>
    <cellStyle name="Обычный 19 2" xfId="513"/>
    <cellStyle name="Обычный 19 2 2" xfId="514"/>
    <cellStyle name="Обычный 19 3" xfId="515"/>
    <cellStyle name="Обычный 19 3 2" xfId="516"/>
    <cellStyle name="Обычный 19 3 3" xfId="517"/>
    <cellStyle name="Обычный 19 4" xfId="518"/>
    <cellStyle name="Обычный 19 5" xfId="519"/>
    <cellStyle name="Обычный 2" xfId="520"/>
    <cellStyle name="Обычный 2 10" xfId="521"/>
    <cellStyle name="Обычный 2 10 2" xfId="522"/>
    <cellStyle name="Обычный 2 10 2 2" xfId="1106"/>
    <cellStyle name="Обычный 2 10 2 2 2" xfId="1314"/>
    <cellStyle name="Обычный 2 10 2 3" xfId="1107"/>
    <cellStyle name="Обычный 2 10 3" xfId="1108"/>
    <cellStyle name="Обычный 2 10 3 2" xfId="1315"/>
    <cellStyle name="Обычный 2 10 4" xfId="1316"/>
    <cellStyle name="Обычный 2 11" xfId="523"/>
    <cellStyle name="Обычный 2 11 2" xfId="1317"/>
    <cellStyle name="Обычный 2 11 2 2" xfId="1318"/>
    <cellStyle name="Обычный 2 12" xfId="1109"/>
    <cellStyle name="Обычный 2 12 2" xfId="1319"/>
    <cellStyle name="Обычный 2 13" xfId="1320"/>
    <cellStyle name="Обычный 2 18" xfId="1321"/>
    <cellStyle name="Обычный 2 2" xfId="524"/>
    <cellStyle name="Обычный 2 2 2" xfId="525"/>
    <cellStyle name="Обычный 2 2 2 2" xfId="526"/>
    <cellStyle name="Обычный 2 2 2 2 2" xfId="527"/>
    <cellStyle name="Обычный 2 2 2 2 2 2" xfId="528"/>
    <cellStyle name="Обычный 2 2 2 2 3" xfId="529"/>
    <cellStyle name="Обычный 2 2 2 3" xfId="530"/>
    <cellStyle name="Обычный 2 2 2 3 2" xfId="1110"/>
    <cellStyle name="Обычный 2 2 2 4" xfId="531"/>
    <cellStyle name="Обычный 2 2 2 5" xfId="1111"/>
    <cellStyle name="Обычный 2 2 2 5 2" xfId="1322"/>
    <cellStyle name="Обычный 2 2 2 6" xfId="1112"/>
    <cellStyle name="Обычный 2 2 2 6 2" xfId="1113"/>
    <cellStyle name="Обычный 2 2 2 6 3" xfId="1323"/>
    <cellStyle name="Обычный 2 2 2 7" xfId="1324"/>
    <cellStyle name="Обычный 2 2 2_Гидроузел на р.Тышкан" xfId="532"/>
    <cellStyle name="Обычный 2 2 3" xfId="533"/>
    <cellStyle name="Обычный 2 2 3 2" xfId="534"/>
    <cellStyle name="Обычный 2 2 3 2 2" xfId="535"/>
    <cellStyle name="Обычный 2 2 3 3" xfId="536"/>
    <cellStyle name="Обычный 2 2 4" xfId="537"/>
    <cellStyle name="Обычный 2 2 4 2" xfId="538"/>
    <cellStyle name="Обычный 2 2 4 2 2" xfId="539"/>
    <cellStyle name="Обычный 2 2 4 3" xfId="540"/>
    <cellStyle name="Обычный 2 2 5" xfId="541"/>
    <cellStyle name="Обычный 2 2 5 2" xfId="1114"/>
    <cellStyle name="Обычный 2 2 6" xfId="542"/>
    <cellStyle name="Обычный 2 2 6 2" xfId="543"/>
    <cellStyle name="Обычный 2 2 7" xfId="544"/>
    <cellStyle name="Обычный 2 2 7 2" xfId="545"/>
    <cellStyle name="Обычный 2 2 7 2 2" xfId="1325"/>
    <cellStyle name="Обычный 2 2 7 3" xfId="1326"/>
    <cellStyle name="Обычный 2 2 8" xfId="546"/>
    <cellStyle name="Обычный 2 2 8 2" xfId="1115"/>
    <cellStyle name="Обычный 2 2 8 2 2" xfId="1327"/>
    <cellStyle name="Обычный 2 2 8 3" xfId="1328"/>
    <cellStyle name="Обычный 2 2_4 МСХ 27.07.11 переигровки" xfId="547"/>
    <cellStyle name="Обычный 2 3" xfId="548"/>
    <cellStyle name="Обычный 2 3 2" xfId="549"/>
    <cellStyle name="Обычный 2 3 3" xfId="550"/>
    <cellStyle name="Обычный 2 3 3 2" xfId="1116"/>
    <cellStyle name="Обычный 2 3 4" xfId="551"/>
    <cellStyle name="Обычный 2 3 4 2" xfId="552"/>
    <cellStyle name="Обычный 2 3 4 2 2" xfId="1117"/>
    <cellStyle name="Обычный 2 3 4 3" xfId="1118"/>
    <cellStyle name="Обычный 2 3 4 3 2" xfId="1329"/>
    <cellStyle name="Обычный 2 3 4 4" xfId="1330"/>
    <cellStyle name="Обычный 2 3 5" xfId="553"/>
    <cellStyle name="Обычный 2 3 6" xfId="1119"/>
    <cellStyle name="Обычный 2 3 6 2" xfId="1331"/>
    <cellStyle name="Обычный 2 3 7" xfId="1332"/>
    <cellStyle name="Обычный 2 3_Гидроузел на р.Тышкан" xfId="554"/>
    <cellStyle name="Обычный 2 4" xfId="555"/>
    <cellStyle name="Обычный 2 4 2" xfId="556"/>
    <cellStyle name="Обычный 2 4 2 2" xfId="557"/>
    <cellStyle name="Обычный 2 4 2 2 2" xfId="558"/>
    <cellStyle name="Обычный 2 4 2 3" xfId="559"/>
    <cellStyle name="Обычный 2 4 3" xfId="560"/>
    <cellStyle name="Обычный 2 4 4" xfId="561"/>
    <cellStyle name="Обычный 2 4 5" xfId="562"/>
    <cellStyle name="Обычный 2 4 5 2" xfId="1120"/>
    <cellStyle name="Обычный 2 4 6" xfId="563"/>
    <cellStyle name="Обычный 2 5" xfId="564"/>
    <cellStyle name="Обычный 2 5 2" xfId="565"/>
    <cellStyle name="Обычный 2 5 2 2" xfId="566"/>
    <cellStyle name="Обычный 2 5 2 2 2" xfId="1121"/>
    <cellStyle name="Обычный 2 5 2 3" xfId="1122"/>
    <cellStyle name="Обычный 2 5 2 3 2" xfId="1333"/>
    <cellStyle name="Обычный 2 5 2 4" xfId="1334"/>
    <cellStyle name="Обычный 2 5 3" xfId="567"/>
    <cellStyle name="Обычный 2 5 4" xfId="1123"/>
    <cellStyle name="Обычный 2 5 4 2" xfId="1335"/>
    <cellStyle name="Обычный 2 5 5" xfId="1336"/>
    <cellStyle name="Обычный 2 6" xfId="568"/>
    <cellStyle name="Обычный 2 6 2" xfId="569"/>
    <cellStyle name="Обычный 2 6 3" xfId="570"/>
    <cellStyle name="Обычный 2 6 3 2" xfId="571"/>
    <cellStyle name="Обычный 2 6 4" xfId="572"/>
    <cellStyle name="Обычный 2 6 5" xfId="573"/>
    <cellStyle name="Обычный 2 7" xfId="574"/>
    <cellStyle name="Обычный 2 7 2" xfId="575"/>
    <cellStyle name="Обычный 2 7 3" xfId="576"/>
    <cellStyle name="Обычный 2 7 3 2" xfId="1124"/>
    <cellStyle name="Обычный 2 8" xfId="577"/>
    <cellStyle name="Обычный 2 8 2" xfId="578"/>
    <cellStyle name="Обычный 2 8 3" xfId="579"/>
    <cellStyle name="Обычный 2 9" xfId="580"/>
    <cellStyle name="Обычный 2 9 2" xfId="581"/>
    <cellStyle name="Обычный 2 9 2 2" xfId="1125"/>
    <cellStyle name="Обычный 2 9 2 2 2" xfId="1337"/>
    <cellStyle name="Обычный 2 9 2 3" xfId="1126"/>
    <cellStyle name="Обычный 2 9 3" xfId="1127"/>
    <cellStyle name="Обычный 2 9 3 2" xfId="1338"/>
    <cellStyle name="Обычный 2 9 4" xfId="1339"/>
    <cellStyle name="Обычный 2_16 МСХ 13.09.11 с проблемными" xfId="582"/>
    <cellStyle name="Обычный 20" xfId="583"/>
    <cellStyle name="Обычный 20 2" xfId="584"/>
    <cellStyle name="Обычный 20 3" xfId="585"/>
    <cellStyle name="Обычный 20 3 2" xfId="586"/>
    <cellStyle name="Обычный 20 3 3" xfId="587"/>
    <cellStyle name="Обычный 20 4" xfId="588"/>
    <cellStyle name="Обычный 20 5" xfId="589"/>
    <cellStyle name="Обычный 21" xfId="590"/>
    <cellStyle name="Обычный 21 2" xfId="591"/>
    <cellStyle name="Обычный 21 2 2" xfId="592"/>
    <cellStyle name="Обычный 21 3" xfId="593"/>
    <cellStyle name="Обычный 21 3 2" xfId="594"/>
    <cellStyle name="Обычный 21 3 3" xfId="595"/>
    <cellStyle name="Обычный 21 4" xfId="596"/>
    <cellStyle name="Обычный 22" xfId="597"/>
    <cellStyle name="Обычный 22 2" xfId="598"/>
    <cellStyle name="Обычный 22 3" xfId="599"/>
    <cellStyle name="Обычный 22 3 2" xfId="600"/>
    <cellStyle name="Обычный 22 3 2 2" xfId="601"/>
    <cellStyle name="Обычный 22 3 2 2 2" xfId="1340"/>
    <cellStyle name="Обычный 22 3 2 3" xfId="1341"/>
    <cellStyle name="Обычный 22 3 3" xfId="602"/>
    <cellStyle name="Обычный 22 4" xfId="603"/>
    <cellStyle name="Обычный 22 4 2" xfId="1128"/>
    <cellStyle name="Обычный 23" xfId="604"/>
    <cellStyle name="Обычный 23 2" xfId="605"/>
    <cellStyle name="Обычный 23 2 2" xfId="606"/>
    <cellStyle name="Обычный 23 2 2 2" xfId="607"/>
    <cellStyle name="Обычный 23 2 2 2 2" xfId="1129"/>
    <cellStyle name="Обычный 23 2 2 3" xfId="608"/>
    <cellStyle name="Обычный 23 2 2 3 2" xfId="609"/>
    <cellStyle name="Обычный 23 2 2 3 2 2" xfId="1130"/>
    <cellStyle name="Обычный 23 2 2 3 3" xfId="1131"/>
    <cellStyle name="Обычный 23 2 2 3 3 2" xfId="1342"/>
    <cellStyle name="Обычный 23 2 2 3 4" xfId="1343"/>
    <cellStyle name="Обычный 23 2 2 4" xfId="1132"/>
    <cellStyle name="Обычный 23 2 3" xfId="1133"/>
    <cellStyle name="Обычный 23 2_План финансирования на 2013 год" xfId="610"/>
    <cellStyle name="Обычный 23 3" xfId="611"/>
    <cellStyle name="Обычный 23 4" xfId="612"/>
    <cellStyle name="Обычный 23 4 2" xfId="613"/>
    <cellStyle name="Обычный 23 4 2 2" xfId="614"/>
    <cellStyle name="Обычный 23 4 2 2 2" xfId="1134"/>
    <cellStyle name="Обычный 23 4 2 3" xfId="1135"/>
    <cellStyle name="Обычный 23 4 2 3 2" xfId="1344"/>
    <cellStyle name="Обычный 23 4 2 4" xfId="1345"/>
    <cellStyle name="Обычный 23 4 3" xfId="615"/>
    <cellStyle name="Обычный 23 5" xfId="616"/>
    <cellStyle name="Обычный 23 6" xfId="617"/>
    <cellStyle name="Обычный 23 7" xfId="618"/>
    <cellStyle name="Обычный 23 8" xfId="619"/>
    <cellStyle name="Обычный 23_админ.расходы" xfId="620"/>
    <cellStyle name="Обычный 24" xfId="621"/>
    <cellStyle name="Обычный 24 2" xfId="622"/>
    <cellStyle name="Обычный 24 2 2" xfId="623"/>
    <cellStyle name="Обычный 24 2 2 2" xfId="1136"/>
    <cellStyle name="Обычный 24 2 3" xfId="1137"/>
    <cellStyle name="Обычный 24 2 3 2" xfId="1346"/>
    <cellStyle name="Обычный 24 2 4" xfId="1347"/>
    <cellStyle name="Обычный 24 3" xfId="624"/>
    <cellStyle name="Обычный 24 3 2" xfId="625"/>
    <cellStyle name="Обычный 24 4" xfId="626"/>
    <cellStyle name="Обычный 24 5" xfId="627"/>
    <cellStyle name="Обычный 24 5 2" xfId="1138"/>
    <cellStyle name="Обычный 24_админ.расходы" xfId="628"/>
    <cellStyle name="Обычный 25" xfId="629"/>
    <cellStyle name="Обычный 25 2" xfId="630"/>
    <cellStyle name="Обычный 25 2 2" xfId="631"/>
    <cellStyle name="Обычный 25 3" xfId="632"/>
    <cellStyle name="Обычный 25 3 2" xfId="633"/>
    <cellStyle name="Обычный 25 3 2 2" xfId="1139"/>
    <cellStyle name="Обычный 25 3 3" xfId="634"/>
    <cellStyle name="Обычный 26" xfId="635"/>
    <cellStyle name="Обычный 26 2" xfId="636"/>
    <cellStyle name="Обычный 26 2 2" xfId="637"/>
    <cellStyle name="Обычный 26 2 3" xfId="638"/>
    <cellStyle name="Обычный 26 3" xfId="639"/>
    <cellStyle name="Обычный 26 4" xfId="640"/>
    <cellStyle name="Обычный 27" xfId="641"/>
    <cellStyle name="Обычный 27 2" xfId="642"/>
    <cellStyle name="Обычный 27 2 2" xfId="643"/>
    <cellStyle name="Обычный 27 3" xfId="644"/>
    <cellStyle name="Обычный 28" xfId="645"/>
    <cellStyle name="Обычный 29" xfId="646"/>
    <cellStyle name="Обычный 29 2" xfId="647"/>
    <cellStyle name="Обычный 29 2 2" xfId="648"/>
    <cellStyle name="Обычный 29 3" xfId="649"/>
    <cellStyle name="Обычный 29 4" xfId="650"/>
    <cellStyle name="Обычный 3" xfId="651"/>
    <cellStyle name="Обычный 3 10" xfId="652"/>
    <cellStyle name="Обычный 3 11" xfId="653"/>
    <cellStyle name="Обычный 3 12" xfId="654"/>
    <cellStyle name="Обычный 3 13" xfId="655"/>
    <cellStyle name="Обычный 3 2" xfId="656"/>
    <cellStyle name="Обычный 3 2 2" xfId="657"/>
    <cellStyle name="Обычный 3 2 2 2" xfId="658"/>
    <cellStyle name="Обычный 3 2 2 2 2" xfId="659"/>
    <cellStyle name="Обычный 3 2 2 3" xfId="660"/>
    <cellStyle name="Обычный 3 2 3" xfId="661"/>
    <cellStyle name="Обычный 3 2 3 2" xfId="662"/>
    <cellStyle name="Обычный 3 2 3 2 2" xfId="1140"/>
    <cellStyle name="Обычный 3 2 3 3" xfId="1141"/>
    <cellStyle name="Обычный 3 2 3 3 2" xfId="1348"/>
    <cellStyle name="Обычный 3 2 3 4" xfId="1349"/>
    <cellStyle name="Обычный 3 2 4" xfId="663"/>
    <cellStyle name="Обычный 3 2 4 2" xfId="1142"/>
    <cellStyle name="Обычный 3 2 5" xfId="664"/>
    <cellStyle name="Обычный 3 2 5 2" xfId="665"/>
    <cellStyle name="Обычный 3 2 6" xfId="666"/>
    <cellStyle name="Обычный 3 2 7" xfId="1237"/>
    <cellStyle name="Обычный 3 2_Каратальская плотина" xfId="667"/>
    <cellStyle name="Обычный 3 3" xfId="668"/>
    <cellStyle name="Обычный 3 3 2" xfId="669"/>
    <cellStyle name="Обычный 3 3 3" xfId="670"/>
    <cellStyle name="Обычный 3 4" xfId="671"/>
    <cellStyle name="Обычный 3 4 2" xfId="672"/>
    <cellStyle name="Обычный 3 5" xfId="673"/>
    <cellStyle name="Обычный 3 6" xfId="674"/>
    <cellStyle name="Обычный 3 7" xfId="675"/>
    <cellStyle name="Обычный 3 8" xfId="676"/>
    <cellStyle name="Обычный 3 9" xfId="677"/>
    <cellStyle name="Обычный 3 9 2" xfId="678"/>
    <cellStyle name="Обычный 3 9 3" xfId="679"/>
    <cellStyle name="Обычный 3_Гидроузел на р.Тышкан" xfId="680"/>
    <cellStyle name="Обычный 30" xfId="681"/>
    <cellStyle name="Обычный 31" xfId="682"/>
    <cellStyle name="Обычный 32" xfId="683"/>
    <cellStyle name="Обычный 32 2" xfId="684"/>
    <cellStyle name="Обычный 33" xfId="685"/>
    <cellStyle name="Обычный 33 2" xfId="686"/>
    <cellStyle name="Обычный 33 3" xfId="687"/>
    <cellStyle name="Обычный 33 4" xfId="1350"/>
    <cellStyle name="Обычный 34" xfId="688"/>
    <cellStyle name="Обычный 34 2" xfId="689"/>
    <cellStyle name="Обычный 34 3" xfId="690"/>
    <cellStyle name="Обычный 34_План финансирования на 2013 год" xfId="691"/>
    <cellStyle name="Обычный 35" xfId="692"/>
    <cellStyle name="Обычный 35 2" xfId="693"/>
    <cellStyle name="Обычный 35 3" xfId="694"/>
    <cellStyle name="Обычный 36" xfId="695"/>
    <cellStyle name="Обычный 37" xfId="696"/>
    <cellStyle name="Обычный 38" xfId="697"/>
    <cellStyle name="Обычный 39" xfId="698"/>
    <cellStyle name="Обычный 4" xfId="699"/>
    <cellStyle name="Обычный 4 2" xfId="700"/>
    <cellStyle name="Обычный 4 3" xfId="701"/>
    <cellStyle name="Обычный 4 3 2" xfId="702"/>
    <cellStyle name="Обычный 4 3 2 2" xfId="703"/>
    <cellStyle name="Обычный 4 3 3" xfId="704"/>
    <cellStyle name="Обычный 4 4" xfId="705"/>
    <cellStyle name="Обычный 4 4 2" xfId="706"/>
    <cellStyle name="Обычный 4 5" xfId="707"/>
    <cellStyle name="Обычный 4 5 2" xfId="708"/>
    <cellStyle name="Обычный 4 6" xfId="709"/>
    <cellStyle name="Обычный 4 7" xfId="1351"/>
    <cellStyle name="Обычный 4_админ.расходы" xfId="710"/>
    <cellStyle name="Обычный 40" xfId="711"/>
    <cellStyle name="Обычный 41" xfId="712"/>
    <cellStyle name="Обычный 42" xfId="713"/>
    <cellStyle name="Обычный 43" xfId="714"/>
    <cellStyle name="Обычный 44" xfId="715"/>
    <cellStyle name="Обычный 45" xfId="716"/>
    <cellStyle name="Обычный 46" xfId="717"/>
    <cellStyle name="Обычный 47" xfId="718"/>
    <cellStyle name="Обычный 47 2" xfId="719"/>
    <cellStyle name="Обычный 47 3" xfId="720"/>
    <cellStyle name="Обычный 47 4" xfId="721"/>
    <cellStyle name="Обычный 48" xfId="722"/>
    <cellStyle name="Обычный 49" xfId="723"/>
    <cellStyle name="Обычный 49 2" xfId="724"/>
    <cellStyle name="Обычный 5" xfId="725"/>
    <cellStyle name="Обычный 5 2" xfId="726"/>
    <cellStyle name="Обычный 5 2 2" xfId="727"/>
    <cellStyle name="Обычный 5 2 2 2" xfId="728"/>
    <cellStyle name="Обычный 5 2 3" xfId="729"/>
    <cellStyle name="Обычный 5 2 4" xfId="939"/>
    <cellStyle name="Обычный 5 3" xfId="730"/>
    <cellStyle name="Обычный 5 4" xfId="731"/>
    <cellStyle name="Обычный 5 5" xfId="732"/>
    <cellStyle name="Обычный 5_Гидроузел на р.Тышкан" xfId="733"/>
    <cellStyle name="Обычный 50" xfId="734"/>
    <cellStyle name="Обычный 50 2" xfId="735"/>
    <cellStyle name="Обычный 51" xfId="736"/>
    <cellStyle name="Обычный 51 2" xfId="938"/>
    <cellStyle name="Обычный 52" xfId="737"/>
    <cellStyle name="Обычный 53" xfId="738"/>
    <cellStyle name="Обычный 53 2" xfId="1238"/>
    <cellStyle name="Обычный 54" xfId="739"/>
    <cellStyle name="Обычный 55" xfId="740"/>
    <cellStyle name="Обычный 56" xfId="741"/>
    <cellStyle name="Обычный 57" xfId="742"/>
    <cellStyle name="Обычный 57 2" xfId="743"/>
    <cellStyle name="Обычный 57 2 2" xfId="744"/>
    <cellStyle name="Обычный 57 2 2 2" xfId="1143"/>
    <cellStyle name="Обычный 57 2 2 2 2" xfId="1352"/>
    <cellStyle name="Обычный 57 2 2 3" xfId="1353"/>
    <cellStyle name="Обычный 57 2 3" xfId="745"/>
    <cellStyle name="Обычный 57 2 3 2" xfId="1144"/>
    <cellStyle name="Обычный 57 2 3 2 2" xfId="1354"/>
    <cellStyle name="Обычный 57 2 3 3" xfId="1355"/>
    <cellStyle name="Обычный 57 2 3 3 2" xfId="1356"/>
    <cellStyle name="Обычный 57 2 4" xfId="746"/>
    <cellStyle name="Обычный 57 2 4 2" xfId="1145"/>
    <cellStyle name="Обычный 57 2 4 2 2" xfId="1357"/>
    <cellStyle name="Обычный 57 2 4 3" xfId="1146"/>
    <cellStyle name="Обычный 57 2 4 3 2" xfId="1358"/>
    <cellStyle name="Обычный 57 2 4 4" xfId="1147"/>
    <cellStyle name="Обычный 57 2 4 4 2" xfId="1359"/>
    <cellStyle name="Обычный 57 2 4 4 2 2" xfId="1360"/>
    <cellStyle name="Обычный 57 2 4 5" xfId="1361"/>
    <cellStyle name="Обычный 57 2 5" xfId="747"/>
    <cellStyle name="Обычный 57 2 5 2" xfId="1148"/>
    <cellStyle name="Обычный 57 2 5 2 2" xfId="1362"/>
    <cellStyle name="Обычный 57 2 5 3" xfId="1149"/>
    <cellStyle name="Обычный 57 2 6" xfId="1150"/>
    <cellStyle name="Обычный 57 2 6 2" xfId="1363"/>
    <cellStyle name="Обычный 57 2 7" xfId="1364"/>
    <cellStyle name="Обычный 57 3" xfId="1151"/>
    <cellStyle name="Обычный 57 3 2" xfId="1365"/>
    <cellStyle name="Обычный 57 4" xfId="1366"/>
    <cellStyle name="Обычный 58" xfId="748"/>
    <cellStyle name="Обычный 58 2" xfId="749"/>
    <cellStyle name="Обычный 58 2 2" xfId="1152"/>
    <cellStyle name="Обычный 58 2 2 2" xfId="1367"/>
    <cellStyle name="Обычный 58 2 3" xfId="1368"/>
    <cellStyle name="Обычный 58 3" xfId="1153"/>
    <cellStyle name="Обычный 58 3 2" xfId="1369"/>
    <cellStyle name="Обычный 58 4" xfId="1370"/>
    <cellStyle name="Обычный 59" xfId="750"/>
    <cellStyle name="Обычный 59 2" xfId="751"/>
    <cellStyle name="Обычный 59 2 2" xfId="1154"/>
    <cellStyle name="Обычный 59 2 2 2" xfId="1371"/>
    <cellStyle name="Обычный 59 2 3" xfId="1372"/>
    <cellStyle name="Обычный 59 3" xfId="1155"/>
    <cellStyle name="Обычный 59 3 2" xfId="1373"/>
    <cellStyle name="Обычный 59 4" xfId="1374"/>
    <cellStyle name="Обычный 6" xfId="752"/>
    <cellStyle name="Обычный 6 2" xfId="753"/>
    <cellStyle name="Обычный 6 2 2" xfId="754"/>
    <cellStyle name="Обычный 6 2 2 2" xfId="755"/>
    <cellStyle name="Обычный 6 2 3" xfId="756"/>
    <cellStyle name="Обычный 6 3" xfId="757"/>
    <cellStyle name="Обычный 6 4" xfId="758"/>
    <cellStyle name="Обычный 6 5" xfId="759"/>
    <cellStyle name="Обычный 6 5 2" xfId="1375"/>
    <cellStyle name="Обычный 6 6" xfId="1376"/>
    <cellStyle name="Обычный 6_Гидроузел на р.Тышкан" xfId="760"/>
    <cellStyle name="Обычный 60" xfId="761"/>
    <cellStyle name="Обычный 61" xfId="762"/>
    <cellStyle name="Обычный 61 2" xfId="763"/>
    <cellStyle name="Обычный 61 2 2" xfId="1156"/>
    <cellStyle name="Обычный 61 2 2 2" xfId="1377"/>
    <cellStyle name="Обычный 61 2 3" xfId="1378"/>
    <cellStyle name="Обычный 61 3" xfId="1157"/>
    <cellStyle name="Обычный 61 3 2" xfId="1379"/>
    <cellStyle name="Обычный 61 4" xfId="1380"/>
    <cellStyle name="Обычный 62" xfId="764"/>
    <cellStyle name="Обычный 62 2" xfId="1158"/>
    <cellStyle name="Обычный 62 2 2" xfId="1381"/>
    <cellStyle name="Обычный 62 3" xfId="1382"/>
    <cellStyle name="Обычный 63" xfId="765"/>
    <cellStyle name="Обычный 64" xfId="766"/>
    <cellStyle name="Обычный 64 2" xfId="1159"/>
    <cellStyle name="Обычный 64 2 2" xfId="1383"/>
    <cellStyle name="Обычный 64 3" xfId="1384"/>
    <cellStyle name="Обычный 65" xfId="767"/>
    <cellStyle name="Обычный 65 2" xfId="1160"/>
    <cellStyle name="Обычный 65 2 2" xfId="1385"/>
    <cellStyle name="Обычный 65 3" xfId="1386"/>
    <cellStyle name="Обычный 66" xfId="768"/>
    <cellStyle name="Обычный 66 2" xfId="1161"/>
    <cellStyle name="Обычный 66 2 2" xfId="1387"/>
    <cellStyle name="Обычный 66 3" xfId="1388"/>
    <cellStyle name="Обычный 67" xfId="769"/>
    <cellStyle name="Обычный 67 2" xfId="1162"/>
    <cellStyle name="Обычный 67 2 2" xfId="1389"/>
    <cellStyle name="Обычный 67 3" xfId="1390"/>
    <cellStyle name="Обычный 68" xfId="770"/>
    <cellStyle name="Обычный 68 2" xfId="1163"/>
    <cellStyle name="Обычный 68 2 2" xfId="1391"/>
    <cellStyle name="Обычный 68 3" xfId="1392"/>
    <cellStyle name="Обычный 69" xfId="771"/>
    <cellStyle name="Обычный 69 2" xfId="772"/>
    <cellStyle name="Обычный 69 2 2" xfId="1164"/>
    <cellStyle name="Обычный 69 2 2 2" xfId="1393"/>
    <cellStyle name="Обычный 69 2 3" xfId="1394"/>
    <cellStyle name="Обычный 69 3" xfId="1165"/>
    <cellStyle name="Обычный 69 3 2" xfId="1395"/>
    <cellStyle name="Обычный 69 4" xfId="1396"/>
    <cellStyle name="Обычный 7" xfId="773"/>
    <cellStyle name="Обычный 7 2" xfId="774"/>
    <cellStyle name="Обычный 7 2 2" xfId="775"/>
    <cellStyle name="Обычный 7 2 2 2" xfId="776"/>
    <cellStyle name="Обычный 7 2 3" xfId="777"/>
    <cellStyle name="Обычный 7 3" xfId="778"/>
    <cellStyle name="Обычный 7 4" xfId="779"/>
    <cellStyle name="Обычный 7 5" xfId="780"/>
    <cellStyle name="Обычный 7 6" xfId="781"/>
    <cellStyle name="Обычный 7 7" xfId="782"/>
    <cellStyle name="Обычный 7_Гидроузел на р.Тышкан" xfId="783"/>
    <cellStyle name="Обычный 70" xfId="784"/>
    <cellStyle name="Обычный 70 2" xfId="785"/>
    <cellStyle name="Обычный 70 2 2" xfId="786"/>
    <cellStyle name="Обычный 70 2 2 2" xfId="1166"/>
    <cellStyle name="Обычный 70 2 2 2 2" xfId="1397"/>
    <cellStyle name="Обычный 70 2 2 3" xfId="1398"/>
    <cellStyle name="Обычный 70 2 3" xfId="1167"/>
    <cellStyle name="Обычный 70 2 3 2" xfId="1399"/>
    <cellStyle name="Обычный 70 2 4" xfId="1400"/>
    <cellStyle name="Обычный 70 3" xfId="1168"/>
    <cellStyle name="Обычный 70 3 2" xfId="1401"/>
    <cellStyle name="Обычный 70 4" xfId="1402"/>
    <cellStyle name="Обычный 71" xfId="787"/>
    <cellStyle name="Обычный 71 2" xfId="1169"/>
    <cellStyle name="Обычный 71 2 2" xfId="1241"/>
    <cellStyle name="Обычный 71 2 2 2" xfId="1403"/>
    <cellStyle name="Обычный 71 2 3" xfId="1404"/>
    <cellStyle name="Обычный 71 3" xfId="1170"/>
    <cellStyle name="Обычный 71 3 2" xfId="1242"/>
    <cellStyle name="Обычный 71 3 2 2" xfId="1243"/>
    <cellStyle name="Обычный 71 3 2 2 2" xfId="1405"/>
    <cellStyle name="Обычный 71 3 2 3" xfId="1406"/>
    <cellStyle name="Обычный 71 3 3" xfId="1407"/>
    <cellStyle name="Обычный 71 4" xfId="1171"/>
    <cellStyle name="Обычный 71 4 2" xfId="1408"/>
    <cellStyle name="Обычный 71 5" xfId="1409"/>
    <cellStyle name="Обычный 71 6" xfId="1410"/>
    <cellStyle name="Обычный 72" xfId="788"/>
    <cellStyle name="Обычный 72 2" xfId="1172"/>
    <cellStyle name="Обычный 72 3" xfId="1244"/>
    <cellStyle name="Обычный 72 3 2" xfId="1411"/>
    <cellStyle name="Обычный 72 3 3" xfId="1412"/>
    <cellStyle name="Обычный 72 4" xfId="1413"/>
    <cellStyle name="Обычный 73" xfId="1173"/>
    <cellStyle name="Обычный 73 2" xfId="1174"/>
    <cellStyle name="Обычный 74" xfId="1175"/>
    <cellStyle name="Обычный 75" xfId="1176"/>
    <cellStyle name="Обычный 75 2" xfId="1414"/>
    <cellStyle name="Обычный 76" xfId="1177"/>
    <cellStyle name="Обычный 76 2" xfId="1178"/>
    <cellStyle name="Обычный 76 2 2" xfId="1179"/>
    <cellStyle name="Обычный 76 2 2 2" xfId="1415"/>
    <cellStyle name="Обычный 76 2 3" xfId="1416"/>
    <cellStyle name="Обычный 76 3" xfId="1209"/>
    <cellStyle name="Обычный 76 4" xfId="1417"/>
    <cellStyle name="Обычный 77" xfId="1180"/>
    <cellStyle name="Обычный 78" xfId="1181"/>
    <cellStyle name="Обычный 79" xfId="1182"/>
    <cellStyle name="Обычный 79 2" xfId="1418"/>
    <cellStyle name="Обычный 8" xfId="789"/>
    <cellStyle name="Обычный 8 2" xfId="790"/>
    <cellStyle name="Обычный 8 2 2" xfId="791"/>
    <cellStyle name="Обычный 8 2 2 2" xfId="792"/>
    <cellStyle name="Обычный 8 2 3" xfId="793"/>
    <cellStyle name="Обычный 8 3" xfId="794"/>
    <cellStyle name="Обычный 8 4" xfId="795"/>
    <cellStyle name="Обычный 8 5" xfId="796"/>
    <cellStyle name="Обычный 8_Гидроузел на р.Тышкан" xfId="797"/>
    <cellStyle name="Обычный 80" xfId="1183"/>
    <cellStyle name="Обычный 80 2" xfId="1419"/>
    <cellStyle name="Обычный 81" xfId="1184"/>
    <cellStyle name="Обычный 81 2" xfId="1185"/>
    <cellStyle name="Обычный 81 2 2" xfId="1420"/>
    <cellStyle name="Обычный 81 2 2 2" xfId="1421"/>
    <cellStyle name="Обычный 81 3" xfId="1422"/>
    <cellStyle name="Обычный 81 4" xfId="1423"/>
    <cellStyle name="Обычный 82" xfId="1186"/>
    <cellStyle name="Обычный 82 2" xfId="1424"/>
    <cellStyle name="Обычный 83" xfId="1187"/>
    <cellStyle name="Обычный 83 2" xfId="1425"/>
    <cellStyle name="Обычный 84" xfId="1188"/>
    <cellStyle name="Обычный 84 2" xfId="1189"/>
    <cellStyle name="Обычный 85" xfId="1190"/>
    <cellStyle name="Обычный 86" xfId="1210"/>
    <cellStyle name="Обычный 87" xfId="1426"/>
    <cellStyle name="Обычный 9" xfId="798"/>
    <cellStyle name="Обычный 9 2" xfId="799"/>
    <cellStyle name="Обычный 9 2 2" xfId="800"/>
    <cellStyle name="Обычный 9 2 2 2" xfId="801"/>
    <cellStyle name="Обычный 9 2 3" xfId="802"/>
    <cellStyle name="Обычный 9 3" xfId="803"/>
    <cellStyle name="Обычный 9 4" xfId="804"/>
    <cellStyle name="Обычный 9 8" xfId="805"/>
    <cellStyle name="Обычный 9 9" xfId="806"/>
    <cellStyle name="Обычный 9_Каратальская плотина" xfId="807"/>
    <cellStyle name="Обычный_Лист1" xfId="1"/>
    <cellStyle name="Отличный" xfId="808"/>
    <cellStyle name="Отличный 2" xfId="809"/>
    <cellStyle name="Отличный 2 2" xfId="810"/>
    <cellStyle name="Отличный 2 2 2" xfId="811"/>
    <cellStyle name="Отличный 2 2 2 2" xfId="1211"/>
    <cellStyle name="Отличный 2 2 2 3" xfId="1427"/>
    <cellStyle name="Отличный 2 2 3" xfId="812"/>
    <cellStyle name="Отличный 2 2 3 2" xfId="1212"/>
    <cellStyle name="Отличный 2 2 3 3" xfId="1428"/>
    <cellStyle name="Отличный 2 2 4" xfId="1213"/>
    <cellStyle name="Отличный 2 3" xfId="813"/>
    <cellStyle name="Отличный 2 3 2" xfId="1214"/>
    <cellStyle name="Отличный 2 3 3" xfId="1429"/>
    <cellStyle name="Отличный 2 4" xfId="814"/>
    <cellStyle name="Отличный 2 4 2" xfId="1215"/>
    <cellStyle name="Отличный 2 4 3" xfId="1430"/>
    <cellStyle name="Отличный 2 5" xfId="1216"/>
    <cellStyle name="Отличный 3" xfId="815"/>
    <cellStyle name="Отличный 3 2" xfId="816"/>
    <cellStyle name="Отличный 3 2 2" xfId="1217"/>
    <cellStyle name="Отличный 3 2 3" xfId="1431"/>
    <cellStyle name="Отличный 3 3" xfId="817"/>
    <cellStyle name="Отличный 3 3 2" xfId="1218"/>
    <cellStyle name="Отличный 3 3 3" xfId="1432"/>
    <cellStyle name="Отличный 3 4" xfId="1219"/>
    <cellStyle name="Отличный 4" xfId="818"/>
    <cellStyle name="Отличный 4 2" xfId="1220"/>
    <cellStyle name="Отличный 4 3" xfId="1433"/>
    <cellStyle name="Отличный 5" xfId="819"/>
    <cellStyle name="Отличный 5 2" xfId="1221"/>
    <cellStyle name="Отличный 5 3" xfId="1434"/>
    <cellStyle name="Отличный 6" xfId="1222"/>
    <cellStyle name="Плохой 2" xfId="820"/>
    <cellStyle name="Плохой 2 2" xfId="821"/>
    <cellStyle name="Плохой 2 2 2" xfId="822"/>
    <cellStyle name="Плохой 2 3" xfId="823"/>
    <cellStyle name="Плохой 2 4" xfId="824"/>
    <cellStyle name="Плохой 2 5" xfId="825"/>
    <cellStyle name="Плохой 2_Электроэнергия" xfId="826"/>
    <cellStyle name="Плохой 3" xfId="827"/>
    <cellStyle name="Пояснение 2" xfId="828"/>
    <cellStyle name="Пояснение 2 2" xfId="829"/>
    <cellStyle name="Пояснение 2 2 2" xfId="830"/>
    <cellStyle name="Пояснение 2 3" xfId="831"/>
    <cellStyle name="Пояснение 2 4" xfId="832"/>
    <cellStyle name="Пояснение 2 5" xfId="833"/>
    <cellStyle name="Пояснение 2_Электроэнергия" xfId="834"/>
    <cellStyle name="Пояснение 3" xfId="835"/>
    <cellStyle name="Примечание 2" xfId="836"/>
    <cellStyle name="Примечание 2 2" xfId="837"/>
    <cellStyle name="Примечание 2 2 2" xfId="838"/>
    <cellStyle name="Примечание 2 2 2 2" xfId="1435"/>
    <cellStyle name="Примечание 2 2 3" xfId="839"/>
    <cellStyle name="Примечание 2 2 3 2" xfId="1436"/>
    <cellStyle name="Примечание 2 2 4" xfId="1437"/>
    <cellStyle name="Примечание 2 3" xfId="840"/>
    <cellStyle name="Примечание 2 3 2" xfId="1438"/>
    <cellStyle name="Примечание 2 4" xfId="841"/>
    <cellStyle name="Примечание 2 4 2" xfId="1439"/>
    <cellStyle name="Примечание 2 5" xfId="842"/>
    <cellStyle name="Примечание 2 5 2" xfId="1440"/>
    <cellStyle name="Примечание 2 6" xfId="843"/>
    <cellStyle name="Примечание 2 6 2" xfId="1441"/>
    <cellStyle name="Примечание 2 7" xfId="1442"/>
    <cellStyle name="Примечание 3" xfId="844"/>
    <cellStyle name="Примечание 3 2" xfId="845"/>
    <cellStyle name="Примечание 3 2 2" xfId="846"/>
    <cellStyle name="Примечание 3 2 2 2" xfId="847"/>
    <cellStyle name="Примечание 3 2 2 2 2" xfId="1443"/>
    <cellStyle name="Примечание 3 2 2 3" xfId="1444"/>
    <cellStyle name="Примечание 3 2 3" xfId="848"/>
    <cellStyle name="Примечание 3 2 3 2" xfId="1445"/>
    <cellStyle name="Примечание 3 2 4" xfId="1446"/>
    <cellStyle name="Примечание 3 3" xfId="849"/>
    <cellStyle name="Примечание 3 3 2" xfId="850"/>
    <cellStyle name="Примечание 3 3 2 2" xfId="1447"/>
    <cellStyle name="Примечание 3 3 3" xfId="1448"/>
    <cellStyle name="Примечание 3 4" xfId="851"/>
    <cellStyle name="Примечание 3 4 2" xfId="1449"/>
    <cellStyle name="Примечание 3 5" xfId="1450"/>
    <cellStyle name="Примечание 4" xfId="852"/>
    <cellStyle name="Примечание 4 2" xfId="853"/>
    <cellStyle name="Примечание 4 2 2" xfId="1451"/>
    <cellStyle name="Примечание 4 3" xfId="854"/>
    <cellStyle name="Примечание 4 3 2" xfId="1452"/>
    <cellStyle name="Примечание 4 4" xfId="1453"/>
    <cellStyle name="Примечание 5" xfId="855"/>
    <cellStyle name="Примечание 5 2" xfId="1454"/>
    <cellStyle name="Примечание 6" xfId="856"/>
    <cellStyle name="Примечание 6 2" xfId="1455"/>
    <cellStyle name="Примечание 7" xfId="1456"/>
    <cellStyle name="Процентный" xfId="1225" builtinId="5"/>
    <cellStyle name="Процентный 2" xfId="857"/>
    <cellStyle name="Процентный 2 2" xfId="858"/>
    <cellStyle name="Процентный 2 2 2" xfId="859"/>
    <cellStyle name="Процентный 2 2 3" xfId="860"/>
    <cellStyle name="Процентный 2 3" xfId="861"/>
    <cellStyle name="Процентный 2 3 2" xfId="862"/>
    <cellStyle name="Процентный 2 3 2 2" xfId="1191"/>
    <cellStyle name="Процентный 2 3 3" xfId="1192"/>
    <cellStyle name="Процентный 2 4" xfId="863"/>
    <cellStyle name="Процентный 2 4 2" xfId="1193"/>
    <cellStyle name="Процентный 2 5" xfId="864"/>
    <cellStyle name="Процентный 2 5 2" xfId="1457"/>
    <cellStyle name="Процентный 2 6" xfId="1458"/>
    <cellStyle name="Процентный 3" xfId="865"/>
    <cellStyle name="Процентный 3 2" xfId="866"/>
    <cellStyle name="Процентный 3 2 2" xfId="867"/>
    <cellStyle name="Процентный 3 2 2 2" xfId="868"/>
    <cellStyle name="Процентный 3 2 3" xfId="869"/>
    <cellStyle name="Процентный 3 2 4" xfId="870"/>
    <cellStyle name="Процентный 3 3" xfId="871"/>
    <cellStyle name="Процентный 3 3 2" xfId="872"/>
    <cellStyle name="Процентный 3 3 2 2" xfId="1194"/>
    <cellStyle name="Процентный 3 3 3" xfId="1195"/>
    <cellStyle name="Процентный 3 4" xfId="873"/>
    <cellStyle name="Процентный 3 4 2" xfId="874"/>
    <cellStyle name="Процентный 3 5" xfId="875"/>
    <cellStyle name="Процентный 3 5 2" xfId="876"/>
    <cellStyle name="Процентный 3 5 2 2" xfId="877"/>
    <cellStyle name="Процентный 3 5 2 2 2" xfId="1459"/>
    <cellStyle name="Процентный 3 5 2 3" xfId="1460"/>
    <cellStyle name="Процентный 3 5 3" xfId="878"/>
    <cellStyle name="Процентный 3 5 3 2" xfId="1196"/>
    <cellStyle name="Процентный 4" xfId="879"/>
    <cellStyle name="Процентный 4 2" xfId="880"/>
    <cellStyle name="Процентный 4 2 2" xfId="1197"/>
    <cellStyle name="Процентный 4 3" xfId="881"/>
    <cellStyle name="Процентный 5" xfId="882"/>
    <cellStyle name="Процентный 5 2" xfId="883"/>
    <cellStyle name="Процентный 5 2 2" xfId="884"/>
    <cellStyle name="Процентный 5 2 2 2" xfId="885"/>
    <cellStyle name="Процентный 5 2 2 2 2" xfId="1461"/>
    <cellStyle name="Процентный 5 2 2 3" xfId="1462"/>
    <cellStyle name="Процентный 5 3" xfId="1239"/>
    <cellStyle name="Процентный 6" xfId="886"/>
    <cellStyle name="Процентный 7" xfId="1198"/>
    <cellStyle name="Процентный 7 2" xfId="1463"/>
    <cellStyle name="Процентный 8" xfId="1464"/>
    <cellStyle name="Связанная ячейка 2" xfId="887"/>
    <cellStyle name="Связанная ячейка 2 2" xfId="888"/>
    <cellStyle name="Связанная ячейка 2 2 2" xfId="889"/>
    <cellStyle name="Связанная ячейка 2 3" xfId="890"/>
    <cellStyle name="Связанная ячейка 2 4" xfId="891"/>
    <cellStyle name="Связанная ячейка 2 5" xfId="892"/>
    <cellStyle name="Связанная ячейка 2_Электроэнергия" xfId="893"/>
    <cellStyle name="Связанная ячейка 3" xfId="894"/>
    <cellStyle name="Стиль 1" xfId="895"/>
    <cellStyle name="Стиль 1 2" xfId="896"/>
    <cellStyle name="Стиль 1 2 2" xfId="897"/>
    <cellStyle name="Стиль 1 2 3" xfId="898"/>
    <cellStyle name="Стиль 1 3" xfId="899"/>
    <cellStyle name="Стиль 1 3 2" xfId="900"/>
    <cellStyle name="Стиль 1 3 2 2" xfId="901"/>
    <cellStyle name="Стиль 1 3 3" xfId="902"/>
    <cellStyle name="Стиль 1 4" xfId="903"/>
    <cellStyle name="Стиль 1 5" xfId="904"/>
    <cellStyle name="Стиль 1 6" xfId="905"/>
    <cellStyle name="Стиль 1_16 МСХ 13.09.11 с проблемными" xfId="906"/>
    <cellStyle name="Супер" xfId="907"/>
    <cellStyle name="Текст предупреждения 2" xfId="908"/>
    <cellStyle name="Текст предупреждения 2 2" xfId="909"/>
    <cellStyle name="Текст предупреждения 2 2 2" xfId="910"/>
    <cellStyle name="Текст предупреждения 2 3" xfId="911"/>
    <cellStyle name="Текст предупреждения 2 4" xfId="912"/>
    <cellStyle name="Текст предупреждения 2 5" xfId="913"/>
    <cellStyle name="Текст предупреждения 2_Электроэнергия" xfId="914"/>
    <cellStyle name="Текст предупреждения 3" xfId="915"/>
    <cellStyle name="Финансовый 2" xfId="2"/>
    <cellStyle name="Финансовый 2 2" xfId="916"/>
    <cellStyle name="Финансовый 2 2 2" xfId="917"/>
    <cellStyle name="Финансовый 2 2 2 2" xfId="1199"/>
    <cellStyle name="Финансовый 2 2 3" xfId="1200"/>
    <cellStyle name="Финансовый 2 2 4" xfId="1223"/>
    <cellStyle name="Финансовый 2 2 5" xfId="1240"/>
    <cellStyle name="Финансовый 2 2 6" xfId="1245"/>
    <cellStyle name="Финансовый 2 3" xfId="918"/>
    <cellStyle name="Финансовый 2 3 2" xfId="919"/>
    <cellStyle name="Финансовый 2 3 2 2" xfId="920"/>
    <cellStyle name="Финансовый 2 3 3" xfId="921"/>
    <cellStyle name="Финансовый 2 3 3 2" xfId="1201"/>
    <cellStyle name="Финансовый 2 3 4" xfId="922"/>
    <cellStyle name="Финансовый 2 3 4 2" xfId="1202"/>
    <cellStyle name="Финансовый 2 4" xfId="923"/>
    <cellStyle name="Финансовый 2 5" xfId="924"/>
    <cellStyle name="Финансовый 2_Р-5" xfId="1465"/>
    <cellStyle name="Финансовый 3" xfId="925"/>
    <cellStyle name="Финансовый 3 2" xfId="926"/>
    <cellStyle name="Финансовый 3 3" xfId="1466"/>
    <cellStyle name="Финансовый 4" xfId="927"/>
    <cellStyle name="Финансовый 4 2" xfId="1203"/>
    <cellStyle name="Финансовый 5" xfId="1204"/>
    <cellStyle name="Финансовый 5 2" xfId="1467"/>
    <cellStyle name="Финансовый 6" xfId="1224"/>
    <cellStyle name="Финансовый 7" xfId="1468"/>
    <cellStyle name="Финансовый 8" xfId="1469"/>
    <cellStyle name="Хороший 2" xfId="928"/>
    <cellStyle name="Хороший 2 2" xfId="929"/>
    <cellStyle name="Хороший 2 2 2" xfId="930"/>
    <cellStyle name="Хороший 2 3" xfId="931"/>
    <cellStyle name="Хороший 2 4" xfId="932"/>
    <cellStyle name="Хороший 2 5" xfId="933"/>
    <cellStyle name="Хороший 2_Электроэнергия" xfId="934"/>
    <cellStyle name="Хороший 3" xfId="935"/>
    <cellStyle name="Хороший 3 2" xfId="936"/>
    <cellStyle name="Хороший 4" xfId="9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88;&#1080;&#1084;&#1072;&#1085;/AppData/Roaming/Microsoft/Excel/&#1055;&#1083;&#1072;&#1085;%20&#1043;&#1047;%20&#1092;&#1080;&#1083;&#1080;&#1072;&#1083;&#1072;%20&#1054;&#1044;&#1057;&#1055;%20&#1040;&#1056;&#1040;&#1051;%20&#1056;&#1043;&#1055;%20&#1050;&#1040;&#1047;&#1042;&#1054;&#1044;&#1061;&#1054;&#1047;%20&#1085;&#1072;%202014%20&#1075;&#1086;&#1076;%2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40;&#1056;&#1056;&#1040;&#1058;&#1040;&#1054;&#1054;&#1055;&#1054;&#1055;&#1056;&#1054;&#1056;&#1055;&#1054;&#1058;&#1050;&#1054;/Downloads/Users/&#1053;&#1072;&#1088;&#1080;&#1084;&#1072;&#1085;/AppData/Roaming/Microsoft/Excel/&#1055;&#1083;&#1072;&#1085;%20&#1043;&#1047;%20&#1092;&#1080;&#1083;&#1080;&#1072;&#1083;&#1072;%20&#1054;&#1044;&#1057;&#1055;%20&#1040;&#1056;&#1040;&#1051;%20&#1056;&#1043;&#1055;%20&#1050;&#1040;&#1047;&#1042;&#1054;&#1044;&#1061;&#1054;&#1047;%20&#1085;&#1072;%202014%20&#1075;&#1086;&#1076;%2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ionateo\Desktop\Quotation\Q%202010\Price%20list%202010\Jan%2010\Oracle%20Technology%20Localizable%20Price%20List%20(RM)-Oc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0"/>
      <sheetData sheetId="1">
        <row r="1">
          <cell r="A1" t="str">
            <v>01 Республиканский бюджет</v>
          </cell>
        </row>
      </sheetData>
      <sheetData sheetId="2">
        <row r="1">
          <cell r="A1" t="str">
            <v>Способ</v>
          </cell>
        </row>
      </sheetData>
      <sheetData sheetId="3"/>
      <sheetData sheetId="4">
        <row r="1">
          <cell r="A1" t="str">
            <v>111 Оплата труда</v>
          </cell>
        </row>
        <row r="2">
          <cell r="A2" t="str">
            <v>112 Дополнительные денежные выплаты</v>
          </cell>
        </row>
        <row r="3">
          <cell r="A3" t="str">
            <v>113 Компенсационные выплаты</v>
          </cell>
        </row>
        <row r="4">
          <cell r="A4" t="str">
            <v>114 Дополнительно установленные обязательные пенсионные взносы</v>
          </cell>
        </row>
        <row r="5">
          <cell r="A5" t="str">
            <v>121 Социальный налог</v>
          </cell>
        </row>
        <row r="6">
          <cell r="A6" t="str">
            <v>122 Социальные отчисления в Государственный фонд социального страхования</v>
          </cell>
        </row>
        <row r="7">
          <cell r="A7" t="str">
            <v>123 Взносы на обязательное страхование</v>
          </cell>
        </row>
        <row r="8">
          <cell r="A8" t="str">
            <v>131 Оплата труда технического персонала</v>
          </cell>
        </row>
        <row r="9">
          <cell r="A9" t="str">
            <v>132 Оплата труда патронатных воспитателей</v>
          </cell>
        </row>
        <row r="10">
          <cell r="A10" t="str">
            <v>133 Возмещение средней заработной платы депутатам маслихата по их основному месту работы</v>
          </cell>
        </row>
        <row r="11">
          <cell r="A11" t="str">
            <v>134 Выплата вознаграждений присяжным заседателям</v>
          </cell>
        </row>
        <row r="12">
          <cell r="A12" t="str">
            <v>135 Взносы работодателей по техническому персоналу</v>
          </cell>
        </row>
        <row r="13">
          <cell r="A13" t="str">
            <v>136 Командировки и служебные разъезды внутри страны технического персонала</v>
          </cell>
        </row>
        <row r="14">
          <cell r="A14" t="str">
            <v>137 Командировочные расходы присяжных заседателей</v>
          </cell>
        </row>
        <row r="15">
          <cell r="A15" t="str">
            <v>141 Приобретение продуктов питания</v>
          </cell>
        </row>
        <row r="16">
          <cell r="A16" t="str">
            <v>142 Приобретение медикаментов и прочих средств медицинского назначения</v>
          </cell>
        </row>
        <row r="17">
          <cell r="A17" t="str">
            <v>143 Приобретение, пошив и ремонт предметов вещевого имущества и другого форменного и специального обмундирования</v>
          </cell>
        </row>
        <row r="18">
          <cell r="A18" t="str">
            <v xml:space="preserve">144 Приобретение топлива, горюче-смазочных материалов </v>
          </cell>
        </row>
        <row r="19">
          <cell r="A19" t="str">
            <v>149 Приобретение прочих запасов</v>
          </cell>
        </row>
        <row r="20">
          <cell r="A20" t="str">
            <v>151 Оплата коммунальных услуг</v>
          </cell>
        </row>
        <row r="21">
          <cell r="A21" t="str">
            <v>152 Оплата услуг связи</v>
          </cell>
        </row>
        <row r="22">
          <cell r="A22" t="str">
            <v>153 Оплата транспортных услуг</v>
          </cell>
        </row>
        <row r="23">
          <cell r="A23" t="str">
            <v>154 Оплата за аренду помещения</v>
          </cell>
        </row>
        <row r="24">
          <cell r="A24" t="str">
            <v>155 Оплата услуг в рамках государственного социального заказа</v>
          </cell>
        </row>
        <row r="25">
          <cell r="A25" t="str">
            <v>156 Оплата консалтинговых услуг и исследований</v>
          </cell>
        </row>
        <row r="26">
          <cell r="A26" t="str">
            <v>159 Оплата прочих услуг и работ</v>
          </cell>
        </row>
        <row r="27">
          <cell r="A27" t="str">
            <v>161 Командировки и служебные разъезды внутри страны</v>
          </cell>
        </row>
        <row r="28">
          <cell r="A28" t="str">
            <v>162 Командировки и служебные разъезды за пределы страны</v>
          </cell>
        </row>
        <row r="29">
          <cell r="A29" t="str">
            <v>163 Затраты Фонда всеобщего обязательного среднего образования</v>
          </cell>
        </row>
        <row r="30">
          <cell r="A30" t="str">
            <v>164 Оплата обучения стипендиатов за рубежом</v>
          </cell>
        </row>
        <row r="31">
          <cell r="A31" t="str">
            <v>165 Исполнение исполнительных документов, суденых актов</v>
          </cell>
        </row>
        <row r="32">
          <cell r="A32" t="str">
            <v>166 Целевой вклад</v>
          </cell>
        </row>
        <row r="33">
          <cell r="A33" t="str">
            <v>167 Особые затраты</v>
          </cell>
        </row>
        <row r="34">
          <cell r="A34" t="str">
            <v>168 Перечисление поставщику суммы НДС, по приобретаемым товарам, услугам и работам</v>
          </cell>
        </row>
        <row r="35">
          <cell r="A35" t="str">
            <v>169 Прочие текущие затраты</v>
          </cell>
        </row>
        <row r="36">
          <cell r="A36" t="str">
            <v>211 Выплаты вознаграждений по внутренним займам Правительства Республики Казахстан</v>
          </cell>
        </row>
        <row r="37">
          <cell r="A37" t="str">
            <v>212 Выплаты вознаграждений по займам, полученным из вышестоящего бюджета местными исполнительными органами</v>
          </cell>
        </row>
        <row r="38">
          <cell r="A38" t="str">
            <v>221 Выплаты вознаграждений по внешним  займам Правительства Республики Казахстан</v>
          </cell>
        </row>
        <row r="39">
          <cell r="A39" t="str">
            <v xml:space="preserve">311  Субсидии юридическим лицам, в том числе крестьянским (фермерским) хозяйствам </v>
          </cell>
        </row>
        <row r="40">
          <cell r="A40" t="str">
            <v>321 Жилищные выплаты сотрудникам специальных государственных органов</v>
          </cell>
        </row>
        <row r="41">
          <cell r="A41" t="str">
            <v>322 Трансферты физическим лицам</v>
          </cell>
        </row>
        <row r="42">
          <cell r="A42" t="str">
            <v>323 Пенсии</v>
          </cell>
        </row>
        <row r="43">
          <cell r="A43" t="str">
            <v>324 Стипендии</v>
          </cell>
        </row>
        <row r="44">
          <cell r="A44" t="str">
            <v>331 Субвенции</v>
          </cell>
        </row>
        <row r="45">
          <cell r="A45" t="str">
            <v>332 Бюджетные изъятия</v>
          </cell>
        </row>
        <row r="46">
          <cell r="A46" t="str">
            <v>339 Текущие трансферты другим уровням государственного управления</v>
          </cell>
        </row>
        <row r="47">
          <cell r="A47" t="str">
            <v>341 Текущие трансферты за границу</v>
          </cell>
        </row>
        <row r="48">
          <cell r="A48" t="str">
            <v>359 Прочие текущие трансферты</v>
          </cell>
        </row>
        <row r="49">
          <cell r="A49" t="str">
            <v>411 Приобретение земли</v>
          </cell>
        </row>
        <row r="50">
          <cell r="A50" t="str">
            <v>412 Приобретение помещений, зданий и сооружений, передаточных устройств</v>
          </cell>
        </row>
        <row r="51">
          <cell r="A51" t="str">
            <v>413 Приобретение транспортных средств</v>
          </cell>
        </row>
        <row r="52">
          <cell r="A52" t="str">
            <v>414 Приобретение машин, оборудования, инструментов, производственного и хозяйственного инвентаря</v>
          </cell>
        </row>
        <row r="53">
          <cell r="A53" t="str">
            <v>416 Приобретение нематериальных активов</v>
          </cell>
        </row>
        <row r="54">
          <cell r="A54" t="str">
            <v>417 Приобретение биологических активов</v>
          </cell>
        </row>
        <row r="55">
          <cell r="A55" t="str">
            <v>418 Материально-техническое оснащение государственных предприятий</v>
          </cell>
        </row>
        <row r="56">
          <cell r="A56" t="str">
            <v>419 Приобретение прочих основных средств</v>
          </cell>
        </row>
        <row r="57">
          <cell r="A57" t="str">
            <v>421 Капитальный ремонт  помещений, зданий, сооружений, передаточных устройств</v>
          </cell>
        </row>
        <row r="58">
          <cell r="A58" t="str">
            <v>422 Капитальный ремонт дорог</v>
          </cell>
        </row>
        <row r="59">
          <cell r="A59" t="str">
            <v>423 Капитальный ремонт помещений, зданий, сооружений государственных предприятий</v>
          </cell>
        </row>
        <row r="60">
          <cell r="A60" t="str">
            <v>429 Капитальный ремонт прочих основных средств</v>
          </cell>
        </row>
        <row r="61">
          <cell r="A61" t="str">
            <v>431 Строительство новых объектов и реконструкция имеющихся объектов</v>
          </cell>
        </row>
        <row r="62">
          <cell r="A62" t="str">
            <v>432 Строительство дорог</v>
          </cell>
        </row>
        <row r="63">
          <cell r="A63" t="str">
            <v xml:space="preserve">433 Строительство и доставка судов </v>
          </cell>
        </row>
        <row r="64">
          <cell r="A64" t="str">
            <v>434 Создание, внедрение и развитие информационных систем</v>
          </cell>
        </row>
        <row r="65">
          <cell r="A65" t="str">
            <v>435 Строительство новых объектов и реконструкция имеющихся объектов государственных предприятий</v>
          </cell>
        </row>
        <row r="66">
          <cell r="A66" t="str">
            <v>436 Реализация концессионных проектов на условии софинансирования из бюджета</v>
          </cell>
        </row>
        <row r="67">
          <cell r="A67" t="str">
            <v>441 Целевые трансферты на развитие другим  уровням государственного управления</v>
          </cell>
        </row>
        <row r="68">
          <cell r="A68" t="str">
            <v>451 Капитальные трансферты международным организациям и правительствам иностранных государств</v>
          </cell>
        </row>
        <row r="69">
          <cell r="A69" t="str">
            <v>511 Бюджетные кредиты местным исполнительным органам, за исключением бюджетных кредитов на реализацию бюджетных инвестиционных проектов</v>
          </cell>
        </row>
        <row r="70">
          <cell r="A70" t="str">
            <v>512 Бюджетные кредиты местным исполнительным органам на реализацию бюджетных инвестиционных проектов</v>
          </cell>
        </row>
        <row r="71">
          <cell r="A71" t="str">
            <v>513 Бюджетные кредиты специализированным организациям</v>
          </cell>
        </row>
        <row r="72">
          <cell r="A72" t="str">
            <v>514 Бюджетные кредиты физическим лицам</v>
          </cell>
        </row>
        <row r="73">
          <cell r="A73" t="str">
            <v>519 Прочие внутренние бюджетные кредиты</v>
          </cell>
        </row>
        <row r="74">
          <cell r="A74" t="str">
            <v>521 Бюджетные кредиты иностранным государствам</v>
          </cell>
        </row>
        <row r="75">
          <cell r="A75" t="str">
            <v>531 Поручительство государства</v>
          </cell>
        </row>
        <row r="76">
          <cell r="A76" t="str">
            <v>541 Государственная гарантия</v>
          </cell>
        </row>
        <row r="77">
          <cell r="A77" t="str">
            <v>611 Приобретение долей участия, ценных бумаг юридических лиц</v>
          </cell>
        </row>
        <row r="78">
          <cell r="A78" t="str">
            <v>612 Формирование и увеличение уставных капиталов субъектов квазигосударственного сектора</v>
          </cell>
        </row>
        <row r="79">
          <cell r="A79" t="str">
            <v>621 Приобретение акций международных организаций</v>
          </cell>
        </row>
        <row r="80">
          <cell r="A80" t="str">
            <v>711 Погашение основного долга перед вышестоящим бюджетом</v>
          </cell>
        </row>
        <row r="81">
          <cell r="A81" t="str">
            <v>712 Погашение основного долга по государственным эмиссионным ценным бумагам, размещенным на внутреннем рынке</v>
          </cell>
        </row>
        <row r="82">
          <cell r="A82" t="str">
            <v>713 Погашение основного долга по внутренним договорам займа</v>
          </cell>
        </row>
        <row r="83">
          <cell r="A83" t="str">
            <v>714 Возврат не использованных сумм бюджетных кредитов</v>
          </cell>
        </row>
        <row r="84">
          <cell r="A84" t="str">
            <v>715 Возврат сумм нецелевого использования бюджетных кредитов</v>
          </cell>
        </row>
        <row r="85">
          <cell r="A85" t="str">
            <v>721 Погашение основного долга по государственным эмиссионным ценным бумагам, размещенным на внешнем рынке</v>
          </cell>
        </row>
        <row r="86">
          <cell r="A86" t="str">
            <v>722 Погашение основного долга по внешним договорам займа</v>
          </cell>
        </row>
        <row r="87">
          <cell r="A87" t="str">
            <v>722 Погашение основного долга по внешним договорам займа</v>
          </cell>
        </row>
      </sheetData>
      <sheetData sheetId="5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6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Аукцион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7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>
        <row r="1">
          <cell r="A1">
            <v>2012</v>
          </cell>
        </row>
      </sheetData>
      <sheetData sheetId="10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>
        <row r="2">
          <cell r="A2" t="str">
            <v>101</v>
          </cell>
          <cell r="B2" t="str">
            <v>001</v>
          </cell>
        </row>
        <row r="3">
          <cell r="A3" t="str">
            <v>102</v>
          </cell>
          <cell r="B3" t="str">
            <v>002</v>
          </cell>
        </row>
        <row r="4">
          <cell r="A4" t="str">
            <v>104</v>
          </cell>
          <cell r="B4" t="str">
            <v>003</v>
          </cell>
        </row>
        <row r="5">
          <cell r="A5" t="str">
            <v>106</v>
          </cell>
          <cell r="B5" t="str">
            <v>004</v>
          </cell>
        </row>
        <row r="6">
          <cell r="A6" t="str">
            <v>110</v>
          </cell>
          <cell r="B6" t="str">
            <v>005</v>
          </cell>
        </row>
        <row r="7">
          <cell r="A7" t="str">
            <v>111</v>
          </cell>
          <cell r="B7" t="str">
            <v>006</v>
          </cell>
        </row>
        <row r="8">
          <cell r="A8" t="str">
            <v>112</v>
          </cell>
          <cell r="B8" t="str">
            <v>007</v>
          </cell>
        </row>
        <row r="9">
          <cell r="A9" t="str">
            <v>120</v>
          </cell>
          <cell r="B9" t="str">
            <v>008</v>
          </cell>
        </row>
        <row r="10">
          <cell r="A10" t="str">
            <v>121</v>
          </cell>
          <cell r="B10" t="str">
            <v>009</v>
          </cell>
        </row>
        <row r="11">
          <cell r="A11" t="str">
            <v>122</v>
          </cell>
          <cell r="B11" t="str">
            <v>010</v>
          </cell>
        </row>
        <row r="12">
          <cell r="A12" t="str">
            <v>123</v>
          </cell>
          <cell r="B12" t="str">
            <v>011</v>
          </cell>
        </row>
        <row r="13">
          <cell r="A13" t="str">
            <v>201</v>
          </cell>
          <cell r="B13" t="str">
            <v>012</v>
          </cell>
        </row>
        <row r="14">
          <cell r="A14" t="str">
            <v>202</v>
          </cell>
          <cell r="B14" t="str">
            <v>013</v>
          </cell>
        </row>
        <row r="15">
          <cell r="A15" t="str">
            <v>203</v>
          </cell>
          <cell r="B15" t="str">
            <v>014</v>
          </cell>
        </row>
        <row r="16">
          <cell r="A16" t="str">
            <v>204</v>
          </cell>
          <cell r="B16" t="str">
            <v>015</v>
          </cell>
        </row>
        <row r="17">
          <cell r="A17" t="str">
            <v>208</v>
          </cell>
          <cell r="B17" t="str">
            <v>016</v>
          </cell>
        </row>
        <row r="18">
          <cell r="A18" t="str">
            <v>212</v>
          </cell>
          <cell r="B18" t="str">
            <v>017</v>
          </cell>
        </row>
        <row r="19">
          <cell r="A19" t="str">
            <v>213</v>
          </cell>
          <cell r="B19" t="str">
            <v>018</v>
          </cell>
        </row>
        <row r="20">
          <cell r="A20" t="str">
            <v>214</v>
          </cell>
          <cell r="B20" t="str">
            <v>019</v>
          </cell>
        </row>
        <row r="21">
          <cell r="A21" t="str">
            <v>215</v>
          </cell>
          <cell r="B21" t="str">
            <v>020</v>
          </cell>
        </row>
        <row r="22">
          <cell r="A22" t="str">
            <v>217</v>
          </cell>
          <cell r="B22" t="str">
            <v>021</v>
          </cell>
        </row>
        <row r="23">
          <cell r="A23" t="str">
            <v>220</v>
          </cell>
          <cell r="B23" t="str">
            <v>022</v>
          </cell>
        </row>
        <row r="24">
          <cell r="A24" t="str">
            <v>221</v>
          </cell>
          <cell r="B24" t="str">
            <v>023</v>
          </cell>
        </row>
        <row r="25">
          <cell r="A25" t="str">
            <v>222</v>
          </cell>
          <cell r="B25" t="str">
            <v>024</v>
          </cell>
        </row>
        <row r="26">
          <cell r="A26" t="str">
            <v>225</v>
          </cell>
          <cell r="B26" t="str">
            <v>025</v>
          </cell>
        </row>
        <row r="27">
          <cell r="A27" t="str">
            <v>226</v>
          </cell>
          <cell r="B27" t="str">
            <v>026</v>
          </cell>
        </row>
        <row r="28">
          <cell r="A28" t="str">
            <v>231</v>
          </cell>
          <cell r="B28" t="str">
            <v>027</v>
          </cell>
        </row>
        <row r="29">
          <cell r="A29" t="str">
            <v>233</v>
          </cell>
          <cell r="B29" t="str">
            <v>028</v>
          </cell>
        </row>
        <row r="30">
          <cell r="A30" t="str">
            <v>234</v>
          </cell>
          <cell r="B30" t="str">
            <v>029</v>
          </cell>
        </row>
        <row r="31">
          <cell r="A31" t="str">
            <v>235</v>
          </cell>
          <cell r="B31" t="str">
            <v>030</v>
          </cell>
        </row>
        <row r="32">
          <cell r="A32" t="str">
            <v>250</v>
          </cell>
          <cell r="B32" t="str">
            <v>031</v>
          </cell>
        </row>
        <row r="33">
          <cell r="A33" t="str">
            <v>251</v>
          </cell>
          <cell r="B33" t="str">
            <v>032</v>
          </cell>
        </row>
        <row r="34">
          <cell r="A34" t="str">
            <v>252</v>
          </cell>
          <cell r="B34" t="str">
            <v>033</v>
          </cell>
        </row>
        <row r="35">
          <cell r="A35" t="str">
            <v>253</v>
          </cell>
          <cell r="B35" t="str">
            <v>034</v>
          </cell>
        </row>
        <row r="36">
          <cell r="A36" t="str">
            <v>254</v>
          </cell>
          <cell r="B36" t="str">
            <v>035</v>
          </cell>
        </row>
        <row r="37">
          <cell r="A37" t="str">
            <v>255</v>
          </cell>
          <cell r="B37" t="str">
            <v>036</v>
          </cell>
        </row>
        <row r="38">
          <cell r="A38" t="str">
            <v>256</v>
          </cell>
          <cell r="B38" t="str">
            <v>037</v>
          </cell>
        </row>
        <row r="39">
          <cell r="A39" t="str">
            <v>257</v>
          </cell>
          <cell r="B39" t="str">
            <v>038</v>
          </cell>
        </row>
        <row r="40">
          <cell r="A40" t="str">
            <v>258</v>
          </cell>
          <cell r="B40" t="str">
            <v>039</v>
          </cell>
        </row>
        <row r="41">
          <cell r="A41" t="str">
            <v>259</v>
          </cell>
          <cell r="B41" t="str">
            <v>040</v>
          </cell>
        </row>
        <row r="42">
          <cell r="A42" t="str">
            <v>260</v>
          </cell>
          <cell r="B42" t="str">
            <v>041</v>
          </cell>
        </row>
        <row r="43">
          <cell r="A43" t="str">
            <v>261</v>
          </cell>
          <cell r="B43" t="str">
            <v>042</v>
          </cell>
        </row>
        <row r="44">
          <cell r="A44" t="str">
            <v>262</v>
          </cell>
          <cell r="B44" t="str">
            <v>043</v>
          </cell>
        </row>
        <row r="45">
          <cell r="A45" t="str">
            <v>263</v>
          </cell>
          <cell r="B45" t="str">
            <v>044</v>
          </cell>
        </row>
        <row r="46">
          <cell r="A46" t="str">
            <v>264</v>
          </cell>
          <cell r="B46" t="str">
            <v>045</v>
          </cell>
        </row>
        <row r="47">
          <cell r="A47" t="str">
            <v>265</v>
          </cell>
          <cell r="B47" t="str">
            <v>046</v>
          </cell>
        </row>
        <row r="48">
          <cell r="A48" t="str">
            <v>268</v>
          </cell>
          <cell r="B48" t="str">
            <v>047</v>
          </cell>
        </row>
        <row r="49">
          <cell r="A49" t="str">
            <v>271</v>
          </cell>
          <cell r="B49" t="str">
            <v>048</v>
          </cell>
        </row>
        <row r="50">
          <cell r="A50" t="str">
            <v>272</v>
          </cell>
          <cell r="B50" t="str">
            <v>049</v>
          </cell>
        </row>
        <row r="51">
          <cell r="A51" t="str">
            <v>279</v>
          </cell>
          <cell r="B51" t="str">
            <v>050</v>
          </cell>
        </row>
        <row r="52">
          <cell r="A52" t="str">
            <v>281</v>
          </cell>
          <cell r="B52" t="str">
            <v>051</v>
          </cell>
        </row>
        <row r="53">
          <cell r="A53" t="str">
            <v>282</v>
          </cell>
          <cell r="B53" t="str">
            <v>052</v>
          </cell>
        </row>
        <row r="54">
          <cell r="A54" t="str">
            <v>283</v>
          </cell>
          <cell r="B54" t="str">
            <v>053</v>
          </cell>
        </row>
        <row r="55">
          <cell r="A55" t="str">
            <v>284</v>
          </cell>
          <cell r="B55" t="str">
            <v>054</v>
          </cell>
        </row>
        <row r="56">
          <cell r="A56" t="str">
            <v>285</v>
          </cell>
          <cell r="B56" t="str">
            <v>055</v>
          </cell>
        </row>
        <row r="57">
          <cell r="A57" t="str">
            <v>350</v>
          </cell>
          <cell r="B57" t="str">
            <v>056</v>
          </cell>
        </row>
        <row r="58">
          <cell r="A58" t="str">
            <v>351</v>
          </cell>
          <cell r="B58" t="str">
            <v>057</v>
          </cell>
        </row>
        <row r="59">
          <cell r="A59" t="str">
            <v>352</v>
          </cell>
          <cell r="B59" t="str">
            <v>058</v>
          </cell>
        </row>
        <row r="60">
          <cell r="A60" t="str">
            <v>353</v>
          </cell>
          <cell r="B60" t="str">
            <v>059</v>
          </cell>
        </row>
        <row r="61">
          <cell r="A61" t="str">
            <v>354</v>
          </cell>
          <cell r="B61" t="str">
            <v>060</v>
          </cell>
        </row>
        <row r="62">
          <cell r="A62" t="str">
            <v>355</v>
          </cell>
          <cell r="B62" t="str">
            <v>061</v>
          </cell>
        </row>
        <row r="63">
          <cell r="A63" t="str">
            <v>356</v>
          </cell>
          <cell r="B63" t="str">
            <v>062</v>
          </cell>
        </row>
        <row r="64">
          <cell r="A64" t="str">
            <v>357</v>
          </cell>
          <cell r="B64" t="str">
            <v>063</v>
          </cell>
        </row>
        <row r="65">
          <cell r="A65" t="str">
            <v>358</v>
          </cell>
          <cell r="B65" t="str">
            <v>064</v>
          </cell>
        </row>
        <row r="66">
          <cell r="A66" t="str">
            <v>359</v>
          </cell>
          <cell r="B66" t="str">
            <v>065</v>
          </cell>
        </row>
        <row r="67">
          <cell r="A67" t="str">
            <v>360</v>
          </cell>
          <cell r="B67" t="str">
            <v>066</v>
          </cell>
        </row>
        <row r="68">
          <cell r="A68" t="str">
            <v>361</v>
          </cell>
          <cell r="B68" t="str">
            <v>067</v>
          </cell>
        </row>
        <row r="69">
          <cell r="A69" t="str">
            <v>362</v>
          </cell>
          <cell r="B69" t="str">
            <v>068</v>
          </cell>
        </row>
        <row r="70">
          <cell r="A70" t="str">
            <v>363</v>
          </cell>
          <cell r="B70" t="str">
            <v>070</v>
          </cell>
        </row>
        <row r="71">
          <cell r="A71" t="str">
            <v>364</v>
          </cell>
          <cell r="B71" t="str">
            <v>071</v>
          </cell>
        </row>
        <row r="72">
          <cell r="A72" t="str">
            <v>365</v>
          </cell>
          <cell r="B72" t="str">
            <v>072</v>
          </cell>
        </row>
        <row r="73">
          <cell r="A73" t="str">
            <v>368</v>
          </cell>
          <cell r="B73" t="str">
            <v>073</v>
          </cell>
        </row>
        <row r="74">
          <cell r="A74" t="str">
            <v>371</v>
          </cell>
          <cell r="B74" t="str">
            <v>074</v>
          </cell>
        </row>
        <row r="75">
          <cell r="A75" t="str">
            <v>372</v>
          </cell>
          <cell r="B75" t="str">
            <v>075</v>
          </cell>
        </row>
        <row r="76">
          <cell r="A76" t="str">
            <v>373</v>
          </cell>
          <cell r="B76" t="str">
            <v>077</v>
          </cell>
        </row>
        <row r="77">
          <cell r="A77" t="str">
            <v>374</v>
          </cell>
          <cell r="B77" t="str">
            <v>078</v>
          </cell>
        </row>
        <row r="78">
          <cell r="A78" t="str">
            <v>375</v>
          </cell>
          <cell r="B78" t="str">
            <v>079</v>
          </cell>
        </row>
        <row r="79">
          <cell r="A79" t="str">
            <v>377</v>
          </cell>
          <cell r="B79" t="str">
            <v>080</v>
          </cell>
        </row>
        <row r="80">
          <cell r="A80" t="str">
            <v>378</v>
          </cell>
          <cell r="B80" t="str">
            <v>081</v>
          </cell>
        </row>
        <row r="81">
          <cell r="A81" t="str">
            <v>379</v>
          </cell>
          <cell r="B81" t="str">
            <v>082</v>
          </cell>
        </row>
        <row r="82">
          <cell r="A82" t="str">
            <v>380</v>
          </cell>
          <cell r="B82" t="str">
            <v>083</v>
          </cell>
        </row>
        <row r="83">
          <cell r="A83" t="str">
            <v>381</v>
          </cell>
          <cell r="B83" t="str">
            <v>084</v>
          </cell>
        </row>
        <row r="84">
          <cell r="A84" t="str">
            <v>382</v>
          </cell>
          <cell r="B84" t="str">
            <v>085</v>
          </cell>
        </row>
        <row r="85">
          <cell r="A85" t="str">
            <v>383</v>
          </cell>
          <cell r="B85" t="str">
            <v>086</v>
          </cell>
        </row>
        <row r="86">
          <cell r="A86" t="str">
            <v>384</v>
          </cell>
          <cell r="B86" t="str">
            <v>087</v>
          </cell>
        </row>
        <row r="87">
          <cell r="A87" t="str">
            <v>385</v>
          </cell>
          <cell r="B87" t="str">
            <v>090</v>
          </cell>
        </row>
        <row r="88">
          <cell r="A88" t="str">
            <v>406</v>
          </cell>
          <cell r="B88" t="str">
            <v>099</v>
          </cell>
        </row>
        <row r="89">
          <cell r="A89" t="str">
            <v>410</v>
          </cell>
          <cell r="B89" t="str">
            <v>100</v>
          </cell>
        </row>
        <row r="90">
          <cell r="A90" t="str">
            <v>411</v>
          </cell>
          <cell r="B90" t="str">
            <v>101</v>
          </cell>
        </row>
        <row r="91">
          <cell r="A91" t="str">
            <v>451</v>
          </cell>
          <cell r="B91" t="str">
            <v>102</v>
          </cell>
        </row>
        <row r="92">
          <cell r="A92" t="str">
            <v>452</v>
          </cell>
          <cell r="B92" t="str">
            <v>103</v>
          </cell>
        </row>
        <row r="93">
          <cell r="A93" t="str">
            <v>453</v>
          </cell>
          <cell r="B93" t="str">
            <v>104</v>
          </cell>
        </row>
        <row r="94">
          <cell r="A94" t="str">
            <v>454</v>
          </cell>
          <cell r="B94" t="str">
            <v>105</v>
          </cell>
        </row>
        <row r="95">
          <cell r="A95" t="str">
            <v>455</v>
          </cell>
          <cell r="B95" t="str">
            <v>106</v>
          </cell>
        </row>
        <row r="96">
          <cell r="A96" t="str">
            <v>456</v>
          </cell>
          <cell r="B96" t="str">
            <v>107</v>
          </cell>
        </row>
        <row r="97">
          <cell r="A97" t="str">
            <v>457</v>
          </cell>
          <cell r="B97" t="str">
            <v>108</v>
          </cell>
        </row>
        <row r="98">
          <cell r="A98" t="str">
            <v>458</v>
          </cell>
          <cell r="B98" t="str">
            <v>109</v>
          </cell>
        </row>
        <row r="99">
          <cell r="A99" t="str">
            <v>459</v>
          </cell>
          <cell r="B99" t="str">
            <v>110</v>
          </cell>
        </row>
        <row r="100">
          <cell r="A100" t="str">
            <v>460</v>
          </cell>
          <cell r="B100" t="str">
            <v>111</v>
          </cell>
        </row>
        <row r="101">
          <cell r="A101" t="str">
            <v>461</v>
          </cell>
          <cell r="B101" t="str">
            <v>112</v>
          </cell>
        </row>
        <row r="102">
          <cell r="A102" t="str">
            <v>462</v>
          </cell>
          <cell r="B102" t="str">
            <v>113</v>
          </cell>
        </row>
        <row r="103">
          <cell r="A103" t="str">
            <v>463</v>
          </cell>
          <cell r="B103" t="str">
            <v>114</v>
          </cell>
        </row>
        <row r="104">
          <cell r="A104" t="str">
            <v>464</v>
          </cell>
          <cell r="B104" t="str">
            <v>115</v>
          </cell>
        </row>
        <row r="105">
          <cell r="A105" t="str">
            <v>465</v>
          </cell>
          <cell r="B105" t="str">
            <v>116</v>
          </cell>
        </row>
        <row r="106">
          <cell r="A106" t="str">
            <v>466</v>
          </cell>
          <cell r="B106" t="str">
            <v>117</v>
          </cell>
        </row>
        <row r="107">
          <cell r="A107" t="str">
            <v>467</v>
          </cell>
          <cell r="B107" t="str">
            <v>120</v>
          </cell>
        </row>
        <row r="108">
          <cell r="A108" t="str">
            <v>468</v>
          </cell>
          <cell r="B108" t="str">
            <v>121</v>
          </cell>
        </row>
        <row r="109">
          <cell r="A109" t="str">
            <v>469</v>
          </cell>
          <cell r="B109" t="str">
            <v>123</v>
          </cell>
        </row>
        <row r="110">
          <cell r="A110" t="str">
            <v>471</v>
          </cell>
          <cell r="B110" t="str">
            <v>124</v>
          </cell>
        </row>
        <row r="111">
          <cell r="A111" t="str">
            <v>472</v>
          </cell>
          <cell r="B111" t="str">
            <v>125</v>
          </cell>
        </row>
        <row r="112">
          <cell r="A112" t="str">
            <v>473</v>
          </cell>
          <cell r="B112" t="str">
            <v>126</v>
          </cell>
        </row>
        <row r="113">
          <cell r="A113" t="str">
            <v>474</v>
          </cell>
          <cell r="B113" t="str">
            <v>127</v>
          </cell>
        </row>
        <row r="114">
          <cell r="A114" t="str">
            <v>475</v>
          </cell>
          <cell r="B114" t="str">
            <v>128</v>
          </cell>
        </row>
        <row r="115">
          <cell r="A115" t="str">
            <v>476</v>
          </cell>
          <cell r="B115" t="str">
            <v>129</v>
          </cell>
        </row>
        <row r="116">
          <cell r="A116" t="str">
            <v>477</v>
          </cell>
          <cell r="B116" t="str">
            <v>130</v>
          </cell>
        </row>
        <row r="117">
          <cell r="A117" t="str">
            <v>478</v>
          </cell>
          <cell r="B117" t="str">
            <v>131</v>
          </cell>
        </row>
        <row r="118">
          <cell r="A118" t="str">
            <v>479</v>
          </cell>
          <cell r="B118" t="str">
            <v>132</v>
          </cell>
        </row>
        <row r="119">
          <cell r="A119" t="str">
            <v>480</v>
          </cell>
          <cell r="B119" t="str">
            <v>133</v>
          </cell>
        </row>
        <row r="120">
          <cell r="A120" t="str">
            <v>501</v>
          </cell>
          <cell r="B120" t="str">
            <v>134</v>
          </cell>
        </row>
        <row r="121">
          <cell r="A121" t="str">
            <v>502</v>
          </cell>
          <cell r="B121" t="str">
            <v>135</v>
          </cell>
        </row>
        <row r="122">
          <cell r="A122" t="str">
            <v>601</v>
          </cell>
          <cell r="B122" t="str">
            <v>140</v>
          </cell>
        </row>
        <row r="123">
          <cell r="A123" t="str">
            <v>602</v>
          </cell>
          <cell r="B123" t="str">
            <v>145</v>
          </cell>
        </row>
        <row r="124">
          <cell r="A124" t="str">
            <v>606</v>
          </cell>
          <cell r="B124" t="str">
            <v>147</v>
          </cell>
        </row>
        <row r="125">
          <cell r="A125" t="str">
            <v>608</v>
          </cell>
          <cell r="B125" t="str">
            <v>200</v>
          </cell>
        </row>
        <row r="126">
          <cell r="A126" t="str">
            <v>614</v>
          </cell>
          <cell r="B126" t="str">
            <v>201</v>
          </cell>
        </row>
        <row r="127">
          <cell r="A127" t="str">
            <v>618</v>
          </cell>
          <cell r="B127" t="str">
            <v>203</v>
          </cell>
        </row>
        <row r="128">
          <cell r="A128" t="str">
            <v>619</v>
          </cell>
          <cell r="B128" t="str">
            <v>207</v>
          </cell>
        </row>
        <row r="129">
          <cell r="A129" t="str">
            <v>637</v>
          </cell>
          <cell r="B129" t="str">
            <v>209</v>
          </cell>
        </row>
        <row r="130">
          <cell r="A130" t="str">
            <v>678</v>
          </cell>
          <cell r="B130" t="str">
            <v>210</v>
          </cell>
        </row>
        <row r="131">
          <cell r="A131" t="str">
            <v>680</v>
          </cell>
          <cell r="B131" t="str">
            <v>211</v>
          </cell>
        </row>
        <row r="132">
          <cell r="A132" t="str">
            <v>690</v>
          </cell>
          <cell r="B132" t="str">
            <v>212</v>
          </cell>
        </row>
        <row r="133">
          <cell r="A133" t="str">
            <v>694</v>
          </cell>
          <cell r="B133" t="str">
            <v>213</v>
          </cell>
        </row>
        <row r="134">
          <cell r="A134" t="str">
            <v>695</v>
          </cell>
          <cell r="B134" t="str">
            <v>214</v>
          </cell>
        </row>
        <row r="135">
          <cell r="A135" t="str">
            <v>696</v>
          </cell>
          <cell r="B135" t="str">
            <v>215</v>
          </cell>
        </row>
        <row r="136">
          <cell r="A136" t="str">
            <v>697</v>
          </cell>
          <cell r="B136" t="str">
            <v>216</v>
          </cell>
        </row>
        <row r="137">
          <cell r="B137" t="str">
            <v>217</v>
          </cell>
        </row>
        <row r="138">
          <cell r="B138" t="str">
            <v>218</v>
          </cell>
        </row>
        <row r="139">
          <cell r="B139" t="str">
            <v>219</v>
          </cell>
        </row>
        <row r="140">
          <cell r="B140" t="str">
            <v>220</v>
          </cell>
        </row>
        <row r="141">
          <cell r="B141" t="str">
            <v>221</v>
          </cell>
        </row>
        <row r="142">
          <cell r="B142" t="str">
            <v>222</v>
          </cell>
        </row>
        <row r="143">
          <cell r="B143" t="str">
            <v>223</v>
          </cell>
        </row>
        <row r="144">
          <cell r="B144" t="str">
            <v>224</v>
          </cell>
        </row>
        <row r="145">
          <cell r="B145" t="str">
            <v>400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0"/>
      <sheetData sheetId="1">
        <row r="1">
          <cell r="A1" t="str">
            <v>01 Республиканский бюджет</v>
          </cell>
        </row>
      </sheetData>
      <sheetData sheetId="2">
        <row r="1">
          <cell r="A1" t="str">
            <v>Способ</v>
          </cell>
        </row>
      </sheetData>
      <sheetData sheetId="3"/>
      <sheetData sheetId="4">
        <row r="1">
          <cell r="A1" t="str">
            <v>111 Оплата труда</v>
          </cell>
        </row>
        <row r="2">
          <cell r="A2" t="str">
            <v>112 Дополнительные денежные выплаты</v>
          </cell>
        </row>
        <row r="3">
          <cell r="A3" t="str">
            <v>113 Компенсационные выплаты</v>
          </cell>
        </row>
        <row r="4">
          <cell r="A4" t="str">
            <v>114 Дополнительно установленные обязательные пенсионные взносы</v>
          </cell>
        </row>
        <row r="5">
          <cell r="A5" t="str">
            <v>121 Социальный налог</v>
          </cell>
        </row>
        <row r="6">
          <cell r="A6" t="str">
            <v>122 Социальные отчисления в Государственный фонд социального страхования</v>
          </cell>
        </row>
        <row r="7">
          <cell r="A7" t="str">
            <v>123 Взносы на обязательное страхование</v>
          </cell>
        </row>
        <row r="8">
          <cell r="A8" t="str">
            <v>131 Оплата труда технического персонала</v>
          </cell>
        </row>
        <row r="9">
          <cell r="A9" t="str">
            <v>132 Оплата труда патронатных воспитателей</v>
          </cell>
        </row>
        <row r="10">
          <cell r="A10" t="str">
            <v>133 Возмещение средней заработной платы депутатам маслихата по их основному месту работы</v>
          </cell>
        </row>
        <row r="11">
          <cell r="A11" t="str">
            <v>134 Выплата вознаграждений присяжным заседателям</v>
          </cell>
        </row>
        <row r="12">
          <cell r="A12" t="str">
            <v>135 Взносы работодателей по техническому персоналу</v>
          </cell>
        </row>
        <row r="13">
          <cell r="A13" t="str">
            <v>136 Командировки и служебные разъезды внутри страны технического персонала</v>
          </cell>
        </row>
        <row r="14">
          <cell r="A14" t="str">
            <v>137 Командировочные расходы присяжных заседателей</v>
          </cell>
        </row>
        <row r="15">
          <cell r="A15" t="str">
            <v>141 Приобретение продуктов питания</v>
          </cell>
        </row>
        <row r="16">
          <cell r="A16" t="str">
            <v>142 Приобретение медикаментов и прочих средств медицинского назначения</v>
          </cell>
        </row>
        <row r="17">
          <cell r="A17" t="str">
            <v>143 Приобретение, пошив и ремонт предметов вещевого имущества и другого форменного и специального обмундирования</v>
          </cell>
        </row>
        <row r="18">
          <cell r="A18" t="str">
            <v xml:space="preserve">144 Приобретение топлива, горюче-смазочных материалов </v>
          </cell>
        </row>
        <row r="19">
          <cell r="A19" t="str">
            <v>149 Приобретение прочих запасов</v>
          </cell>
        </row>
        <row r="20">
          <cell r="A20" t="str">
            <v>151 Оплата коммунальных услуг</v>
          </cell>
        </row>
        <row r="21">
          <cell r="A21" t="str">
            <v>152 Оплата услуг связи</v>
          </cell>
        </row>
        <row r="22">
          <cell r="A22" t="str">
            <v>153 Оплата транспортных услуг</v>
          </cell>
        </row>
        <row r="23">
          <cell r="A23" t="str">
            <v>154 Оплата за аренду помещения</v>
          </cell>
        </row>
        <row r="24">
          <cell r="A24" t="str">
            <v>155 Оплата услуг в рамках государственного социального заказа</v>
          </cell>
        </row>
        <row r="25">
          <cell r="A25" t="str">
            <v>156 Оплата консалтинговых услуг и исследований</v>
          </cell>
        </row>
        <row r="26">
          <cell r="A26" t="str">
            <v>159 Оплата прочих услуг и работ</v>
          </cell>
        </row>
        <row r="27">
          <cell r="A27" t="str">
            <v>161 Командировки и служебные разъезды внутри страны</v>
          </cell>
        </row>
        <row r="28">
          <cell r="A28" t="str">
            <v>162 Командировки и служебные разъезды за пределы страны</v>
          </cell>
        </row>
        <row r="29">
          <cell r="A29" t="str">
            <v>163 Затраты Фонда всеобщего обязательного среднего образования</v>
          </cell>
        </row>
        <row r="30">
          <cell r="A30" t="str">
            <v>164 Оплата обучения стипендиатов за рубежом</v>
          </cell>
        </row>
        <row r="31">
          <cell r="A31" t="str">
            <v>165 Исполнение исполнительных документов, суденых актов</v>
          </cell>
        </row>
        <row r="32">
          <cell r="A32" t="str">
            <v>166 Целевой вклад</v>
          </cell>
        </row>
        <row r="33">
          <cell r="A33" t="str">
            <v>167 Особые затраты</v>
          </cell>
        </row>
        <row r="34">
          <cell r="A34" t="str">
            <v>168 Перечисление поставщику суммы НДС, по приобретаемым товарам, услугам и работам</v>
          </cell>
        </row>
        <row r="35">
          <cell r="A35" t="str">
            <v>169 Прочие текущие затраты</v>
          </cell>
        </row>
        <row r="36">
          <cell r="A36" t="str">
            <v>211 Выплаты вознаграждений по внутренним займам Правительства Республики Казахстан</v>
          </cell>
        </row>
        <row r="37">
          <cell r="A37" t="str">
            <v>212 Выплаты вознаграждений по займам, полученным из вышестоящего бюджета местными исполнительными органами</v>
          </cell>
        </row>
        <row r="38">
          <cell r="A38" t="str">
            <v>221 Выплаты вознаграждений по внешним  займам Правительства Республики Казахстан</v>
          </cell>
        </row>
        <row r="39">
          <cell r="A39" t="str">
            <v xml:space="preserve">311  Субсидии юридическим лицам, в том числе крестьянским (фермерским) хозяйствам </v>
          </cell>
        </row>
        <row r="40">
          <cell r="A40" t="str">
            <v>321 Жилищные выплаты сотрудникам специальных государственных органов</v>
          </cell>
        </row>
        <row r="41">
          <cell r="A41" t="str">
            <v>322 Трансферты физическим лицам</v>
          </cell>
        </row>
        <row r="42">
          <cell r="A42" t="str">
            <v>323 Пенсии</v>
          </cell>
        </row>
        <row r="43">
          <cell r="A43" t="str">
            <v>324 Стипендии</v>
          </cell>
        </row>
        <row r="44">
          <cell r="A44" t="str">
            <v>331 Субвенции</v>
          </cell>
        </row>
        <row r="45">
          <cell r="A45" t="str">
            <v>332 Бюджетные изъятия</v>
          </cell>
        </row>
        <row r="46">
          <cell r="A46" t="str">
            <v>339 Текущие трансферты другим уровням государственного управления</v>
          </cell>
        </row>
        <row r="47">
          <cell r="A47" t="str">
            <v>341 Текущие трансферты за границу</v>
          </cell>
        </row>
        <row r="48">
          <cell r="A48" t="str">
            <v>359 Прочие текущие трансферты</v>
          </cell>
        </row>
        <row r="49">
          <cell r="A49" t="str">
            <v>411 Приобретение земли</v>
          </cell>
        </row>
        <row r="50">
          <cell r="A50" t="str">
            <v>412 Приобретение помещений, зданий и сооружений, передаточных устройств</v>
          </cell>
        </row>
        <row r="51">
          <cell r="A51" t="str">
            <v>413 Приобретение транспортных средств</v>
          </cell>
        </row>
        <row r="52">
          <cell r="A52" t="str">
            <v>414 Приобретение машин, оборудования, инструментов, производственного и хозяйственного инвентаря</v>
          </cell>
        </row>
        <row r="53">
          <cell r="A53" t="str">
            <v>416 Приобретение нематериальных активов</v>
          </cell>
        </row>
        <row r="54">
          <cell r="A54" t="str">
            <v>417 Приобретение биологических активов</v>
          </cell>
        </row>
        <row r="55">
          <cell r="A55" t="str">
            <v>418 Материально-техническое оснащение государственных предприятий</v>
          </cell>
        </row>
        <row r="56">
          <cell r="A56" t="str">
            <v>419 Приобретение прочих основных средств</v>
          </cell>
        </row>
        <row r="57">
          <cell r="A57" t="str">
            <v>421 Капитальный ремонт  помещений, зданий, сооружений, передаточных устройств</v>
          </cell>
        </row>
        <row r="58">
          <cell r="A58" t="str">
            <v>422 Капитальный ремонт дорог</v>
          </cell>
        </row>
        <row r="59">
          <cell r="A59" t="str">
            <v>423 Капитальный ремонт помещений, зданий, сооружений государственных предприятий</v>
          </cell>
        </row>
        <row r="60">
          <cell r="A60" t="str">
            <v>429 Капитальный ремонт прочих основных средств</v>
          </cell>
        </row>
        <row r="61">
          <cell r="A61" t="str">
            <v>431 Строительство новых объектов и реконструкция имеющихся объектов</v>
          </cell>
        </row>
        <row r="62">
          <cell r="A62" t="str">
            <v>432 Строительство дорог</v>
          </cell>
        </row>
        <row r="63">
          <cell r="A63" t="str">
            <v xml:space="preserve">433 Строительство и доставка судов </v>
          </cell>
        </row>
        <row r="64">
          <cell r="A64" t="str">
            <v>434 Создание, внедрение и развитие информационных систем</v>
          </cell>
        </row>
        <row r="65">
          <cell r="A65" t="str">
            <v>435 Строительство новых объектов и реконструкция имеющихся объектов государственных предприятий</v>
          </cell>
        </row>
        <row r="66">
          <cell r="A66" t="str">
            <v>436 Реализация концессионных проектов на условии софинансирования из бюджета</v>
          </cell>
        </row>
        <row r="67">
          <cell r="A67" t="str">
            <v>441 Целевые трансферты на развитие другим  уровням государственного управления</v>
          </cell>
        </row>
        <row r="68">
          <cell r="A68" t="str">
            <v>451 Капитальные трансферты международным организациям и правительствам иностранных государств</v>
          </cell>
        </row>
        <row r="69">
          <cell r="A69" t="str">
            <v>511 Бюджетные кредиты местным исполнительным органам, за исключением бюджетных кредитов на реализацию бюджетных инвестиционных проектов</v>
          </cell>
        </row>
        <row r="70">
          <cell r="A70" t="str">
            <v>512 Бюджетные кредиты местным исполнительным органам на реализацию бюджетных инвестиционных проектов</v>
          </cell>
        </row>
        <row r="71">
          <cell r="A71" t="str">
            <v>513 Бюджетные кредиты специализированным организациям</v>
          </cell>
        </row>
        <row r="72">
          <cell r="A72" t="str">
            <v>514 Бюджетные кредиты физическим лицам</v>
          </cell>
        </row>
        <row r="73">
          <cell r="A73" t="str">
            <v>519 Прочие внутренние бюджетные кредиты</v>
          </cell>
        </row>
        <row r="74">
          <cell r="A74" t="str">
            <v>521 Бюджетные кредиты иностранным государствам</v>
          </cell>
        </row>
        <row r="75">
          <cell r="A75" t="str">
            <v>531 Поручительство государства</v>
          </cell>
        </row>
        <row r="76">
          <cell r="A76" t="str">
            <v>541 Государственная гарантия</v>
          </cell>
        </row>
        <row r="77">
          <cell r="A77" t="str">
            <v>611 Приобретение долей участия, ценных бумаг юридических лиц</v>
          </cell>
        </row>
        <row r="78">
          <cell r="A78" t="str">
            <v>612 Формирование и увеличение уставных капиталов субъектов квазигосударственного сектора</v>
          </cell>
        </row>
        <row r="79">
          <cell r="A79" t="str">
            <v>621 Приобретение акций международных организаций</v>
          </cell>
        </row>
        <row r="80">
          <cell r="A80" t="str">
            <v>711 Погашение основного долга перед вышестоящим бюджетом</v>
          </cell>
        </row>
        <row r="81">
          <cell r="A81" t="str">
            <v>712 Погашение основного долга по государственным эмиссионным ценным бумагам, размещенным на внутреннем рынке</v>
          </cell>
        </row>
        <row r="82">
          <cell r="A82" t="str">
            <v>713 Погашение основного долга по внутренним договорам займа</v>
          </cell>
        </row>
        <row r="83">
          <cell r="A83" t="str">
            <v>714 Возврат не использованных сумм бюджетных кредитов</v>
          </cell>
        </row>
        <row r="84">
          <cell r="A84" t="str">
            <v>715 Возврат сумм нецелевого использования бюджетных кредитов</v>
          </cell>
        </row>
        <row r="85">
          <cell r="A85" t="str">
            <v>721 Погашение основного долга по государственным эмиссионным ценным бумагам, размещенным на внешнем рынке</v>
          </cell>
        </row>
        <row r="86">
          <cell r="A86" t="str">
            <v>722 Погашение основного долга по внешним договорам займа</v>
          </cell>
        </row>
        <row r="87">
          <cell r="A87" t="str">
            <v>722 Погашение основного долга по внешним договорам займа</v>
          </cell>
        </row>
      </sheetData>
      <sheetData sheetId="5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6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Аукцион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7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>
        <row r="1">
          <cell r="A1">
            <v>2012</v>
          </cell>
        </row>
      </sheetData>
      <sheetData sheetId="10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>
        <row r="2">
          <cell r="A2" t="str">
            <v>101</v>
          </cell>
          <cell r="B2" t="str">
            <v>001</v>
          </cell>
        </row>
        <row r="3">
          <cell r="A3" t="str">
            <v>102</v>
          </cell>
          <cell r="B3" t="str">
            <v>002</v>
          </cell>
        </row>
        <row r="4">
          <cell r="A4" t="str">
            <v>104</v>
          </cell>
          <cell r="B4" t="str">
            <v>003</v>
          </cell>
        </row>
        <row r="5">
          <cell r="A5" t="str">
            <v>106</v>
          </cell>
          <cell r="B5" t="str">
            <v>004</v>
          </cell>
        </row>
        <row r="6">
          <cell r="A6" t="str">
            <v>110</v>
          </cell>
          <cell r="B6" t="str">
            <v>005</v>
          </cell>
        </row>
        <row r="7">
          <cell r="A7" t="str">
            <v>111</v>
          </cell>
          <cell r="B7" t="str">
            <v>006</v>
          </cell>
        </row>
        <row r="8">
          <cell r="A8" t="str">
            <v>112</v>
          </cell>
          <cell r="B8" t="str">
            <v>007</v>
          </cell>
        </row>
        <row r="9">
          <cell r="A9" t="str">
            <v>120</v>
          </cell>
          <cell r="B9" t="str">
            <v>008</v>
          </cell>
        </row>
        <row r="10">
          <cell r="A10" t="str">
            <v>121</v>
          </cell>
          <cell r="B10" t="str">
            <v>009</v>
          </cell>
        </row>
        <row r="11">
          <cell r="A11" t="str">
            <v>122</v>
          </cell>
          <cell r="B11" t="str">
            <v>010</v>
          </cell>
        </row>
        <row r="12">
          <cell r="A12" t="str">
            <v>123</v>
          </cell>
          <cell r="B12" t="str">
            <v>011</v>
          </cell>
        </row>
        <row r="13">
          <cell r="A13" t="str">
            <v>201</v>
          </cell>
          <cell r="B13" t="str">
            <v>012</v>
          </cell>
        </row>
        <row r="14">
          <cell r="A14" t="str">
            <v>202</v>
          </cell>
          <cell r="B14" t="str">
            <v>013</v>
          </cell>
        </row>
        <row r="15">
          <cell r="A15" t="str">
            <v>203</v>
          </cell>
          <cell r="B15" t="str">
            <v>014</v>
          </cell>
        </row>
        <row r="16">
          <cell r="A16" t="str">
            <v>204</v>
          </cell>
          <cell r="B16" t="str">
            <v>015</v>
          </cell>
        </row>
        <row r="17">
          <cell r="A17" t="str">
            <v>208</v>
          </cell>
          <cell r="B17" t="str">
            <v>016</v>
          </cell>
        </row>
        <row r="18">
          <cell r="A18" t="str">
            <v>212</v>
          </cell>
          <cell r="B18" t="str">
            <v>017</v>
          </cell>
        </row>
        <row r="19">
          <cell r="A19" t="str">
            <v>213</v>
          </cell>
          <cell r="B19" t="str">
            <v>018</v>
          </cell>
        </row>
        <row r="20">
          <cell r="A20" t="str">
            <v>214</v>
          </cell>
          <cell r="B20" t="str">
            <v>019</v>
          </cell>
        </row>
        <row r="21">
          <cell r="A21" t="str">
            <v>215</v>
          </cell>
          <cell r="B21" t="str">
            <v>020</v>
          </cell>
        </row>
        <row r="22">
          <cell r="A22" t="str">
            <v>217</v>
          </cell>
          <cell r="B22" t="str">
            <v>021</v>
          </cell>
        </row>
        <row r="23">
          <cell r="A23" t="str">
            <v>220</v>
          </cell>
          <cell r="B23" t="str">
            <v>022</v>
          </cell>
        </row>
        <row r="24">
          <cell r="A24" t="str">
            <v>221</v>
          </cell>
          <cell r="B24" t="str">
            <v>023</v>
          </cell>
        </row>
        <row r="25">
          <cell r="A25" t="str">
            <v>222</v>
          </cell>
          <cell r="B25" t="str">
            <v>024</v>
          </cell>
        </row>
        <row r="26">
          <cell r="A26" t="str">
            <v>225</v>
          </cell>
          <cell r="B26" t="str">
            <v>025</v>
          </cell>
        </row>
        <row r="27">
          <cell r="A27" t="str">
            <v>226</v>
          </cell>
          <cell r="B27" t="str">
            <v>026</v>
          </cell>
        </row>
        <row r="28">
          <cell r="A28" t="str">
            <v>231</v>
          </cell>
          <cell r="B28" t="str">
            <v>027</v>
          </cell>
        </row>
        <row r="29">
          <cell r="A29" t="str">
            <v>233</v>
          </cell>
          <cell r="B29" t="str">
            <v>028</v>
          </cell>
        </row>
        <row r="30">
          <cell r="A30" t="str">
            <v>234</v>
          </cell>
          <cell r="B30" t="str">
            <v>029</v>
          </cell>
        </row>
        <row r="31">
          <cell r="A31" t="str">
            <v>235</v>
          </cell>
          <cell r="B31" t="str">
            <v>030</v>
          </cell>
        </row>
        <row r="32">
          <cell r="A32" t="str">
            <v>250</v>
          </cell>
          <cell r="B32" t="str">
            <v>031</v>
          </cell>
        </row>
        <row r="33">
          <cell r="A33" t="str">
            <v>251</v>
          </cell>
          <cell r="B33" t="str">
            <v>032</v>
          </cell>
        </row>
        <row r="34">
          <cell r="A34" t="str">
            <v>252</v>
          </cell>
          <cell r="B34" t="str">
            <v>033</v>
          </cell>
        </row>
        <row r="35">
          <cell r="A35" t="str">
            <v>253</v>
          </cell>
          <cell r="B35" t="str">
            <v>034</v>
          </cell>
        </row>
        <row r="36">
          <cell r="A36" t="str">
            <v>254</v>
          </cell>
          <cell r="B36" t="str">
            <v>035</v>
          </cell>
        </row>
        <row r="37">
          <cell r="A37" t="str">
            <v>255</v>
          </cell>
          <cell r="B37" t="str">
            <v>036</v>
          </cell>
        </row>
        <row r="38">
          <cell r="A38" t="str">
            <v>256</v>
          </cell>
          <cell r="B38" t="str">
            <v>037</v>
          </cell>
        </row>
        <row r="39">
          <cell r="A39" t="str">
            <v>257</v>
          </cell>
          <cell r="B39" t="str">
            <v>038</v>
          </cell>
        </row>
        <row r="40">
          <cell r="A40" t="str">
            <v>258</v>
          </cell>
          <cell r="B40" t="str">
            <v>039</v>
          </cell>
        </row>
        <row r="41">
          <cell r="A41" t="str">
            <v>259</v>
          </cell>
          <cell r="B41" t="str">
            <v>040</v>
          </cell>
        </row>
        <row r="42">
          <cell r="A42" t="str">
            <v>260</v>
          </cell>
          <cell r="B42" t="str">
            <v>041</v>
          </cell>
        </row>
        <row r="43">
          <cell r="A43" t="str">
            <v>261</v>
          </cell>
          <cell r="B43" t="str">
            <v>042</v>
          </cell>
        </row>
        <row r="44">
          <cell r="A44" t="str">
            <v>262</v>
          </cell>
          <cell r="B44" t="str">
            <v>043</v>
          </cell>
        </row>
        <row r="45">
          <cell r="A45" t="str">
            <v>263</v>
          </cell>
          <cell r="B45" t="str">
            <v>044</v>
          </cell>
        </row>
        <row r="46">
          <cell r="A46" t="str">
            <v>264</v>
          </cell>
          <cell r="B46" t="str">
            <v>045</v>
          </cell>
        </row>
        <row r="47">
          <cell r="A47" t="str">
            <v>265</v>
          </cell>
          <cell r="B47" t="str">
            <v>046</v>
          </cell>
        </row>
        <row r="48">
          <cell r="A48" t="str">
            <v>268</v>
          </cell>
          <cell r="B48" t="str">
            <v>047</v>
          </cell>
        </row>
        <row r="49">
          <cell r="A49" t="str">
            <v>271</v>
          </cell>
          <cell r="B49" t="str">
            <v>048</v>
          </cell>
        </row>
        <row r="50">
          <cell r="A50" t="str">
            <v>272</v>
          </cell>
          <cell r="B50" t="str">
            <v>049</v>
          </cell>
        </row>
        <row r="51">
          <cell r="A51" t="str">
            <v>279</v>
          </cell>
          <cell r="B51" t="str">
            <v>050</v>
          </cell>
        </row>
        <row r="52">
          <cell r="A52" t="str">
            <v>281</v>
          </cell>
          <cell r="B52" t="str">
            <v>051</v>
          </cell>
        </row>
        <row r="53">
          <cell r="A53" t="str">
            <v>282</v>
          </cell>
          <cell r="B53" t="str">
            <v>052</v>
          </cell>
        </row>
        <row r="54">
          <cell r="A54" t="str">
            <v>283</v>
          </cell>
          <cell r="B54" t="str">
            <v>053</v>
          </cell>
        </row>
        <row r="55">
          <cell r="A55" t="str">
            <v>284</v>
          </cell>
          <cell r="B55" t="str">
            <v>054</v>
          </cell>
        </row>
        <row r="56">
          <cell r="A56" t="str">
            <v>285</v>
          </cell>
          <cell r="B56" t="str">
            <v>055</v>
          </cell>
        </row>
        <row r="57">
          <cell r="A57" t="str">
            <v>350</v>
          </cell>
          <cell r="B57" t="str">
            <v>056</v>
          </cell>
        </row>
        <row r="58">
          <cell r="A58" t="str">
            <v>351</v>
          </cell>
          <cell r="B58" t="str">
            <v>057</v>
          </cell>
        </row>
        <row r="59">
          <cell r="A59" t="str">
            <v>352</v>
          </cell>
          <cell r="B59" t="str">
            <v>058</v>
          </cell>
        </row>
        <row r="60">
          <cell r="A60" t="str">
            <v>353</v>
          </cell>
          <cell r="B60" t="str">
            <v>059</v>
          </cell>
        </row>
        <row r="61">
          <cell r="A61" t="str">
            <v>354</v>
          </cell>
          <cell r="B61" t="str">
            <v>060</v>
          </cell>
        </row>
        <row r="62">
          <cell r="A62" t="str">
            <v>355</v>
          </cell>
          <cell r="B62" t="str">
            <v>061</v>
          </cell>
        </row>
        <row r="63">
          <cell r="A63" t="str">
            <v>356</v>
          </cell>
          <cell r="B63" t="str">
            <v>062</v>
          </cell>
        </row>
        <row r="64">
          <cell r="A64" t="str">
            <v>357</v>
          </cell>
          <cell r="B64" t="str">
            <v>063</v>
          </cell>
        </row>
        <row r="65">
          <cell r="A65" t="str">
            <v>358</v>
          </cell>
          <cell r="B65" t="str">
            <v>064</v>
          </cell>
        </row>
        <row r="66">
          <cell r="A66" t="str">
            <v>359</v>
          </cell>
          <cell r="B66" t="str">
            <v>065</v>
          </cell>
        </row>
        <row r="67">
          <cell r="A67" t="str">
            <v>360</v>
          </cell>
          <cell r="B67" t="str">
            <v>066</v>
          </cell>
        </row>
        <row r="68">
          <cell r="A68" t="str">
            <v>361</v>
          </cell>
          <cell r="B68" t="str">
            <v>067</v>
          </cell>
        </row>
        <row r="69">
          <cell r="A69" t="str">
            <v>362</v>
          </cell>
          <cell r="B69" t="str">
            <v>068</v>
          </cell>
        </row>
        <row r="70">
          <cell r="A70" t="str">
            <v>363</v>
          </cell>
          <cell r="B70" t="str">
            <v>070</v>
          </cell>
        </row>
        <row r="71">
          <cell r="A71" t="str">
            <v>364</v>
          </cell>
          <cell r="B71" t="str">
            <v>071</v>
          </cell>
        </row>
        <row r="72">
          <cell r="A72" t="str">
            <v>365</v>
          </cell>
          <cell r="B72" t="str">
            <v>072</v>
          </cell>
        </row>
        <row r="73">
          <cell r="A73" t="str">
            <v>368</v>
          </cell>
          <cell r="B73" t="str">
            <v>073</v>
          </cell>
        </row>
        <row r="74">
          <cell r="A74" t="str">
            <v>371</v>
          </cell>
          <cell r="B74" t="str">
            <v>074</v>
          </cell>
        </row>
        <row r="75">
          <cell r="A75" t="str">
            <v>372</v>
          </cell>
          <cell r="B75" t="str">
            <v>075</v>
          </cell>
        </row>
        <row r="76">
          <cell r="A76" t="str">
            <v>373</v>
          </cell>
          <cell r="B76" t="str">
            <v>077</v>
          </cell>
        </row>
        <row r="77">
          <cell r="A77" t="str">
            <v>374</v>
          </cell>
          <cell r="B77" t="str">
            <v>078</v>
          </cell>
        </row>
        <row r="78">
          <cell r="A78" t="str">
            <v>375</v>
          </cell>
          <cell r="B78" t="str">
            <v>079</v>
          </cell>
        </row>
        <row r="79">
          <cell r="A79" t="str">
            <v>377</v>
          </cell>
          <cell r="B79" t="str">
            <v>080</v>
          </cell>
        </row>
        <row r="80">
          <cell r="A80" t="str">
            <v>378</v>
          </cell>
          <cell r="B80" t="str">
            <v>081</v>
          </cell>
        </row>
        <row r="81">
          <cell r="A81" t="str">
            <v>379</v>
          </cell>
          <cell r="B81" t="str">
            <v>082</v>
          </cell>
        </row>
        <row r="82">
          <cell r="A82" t="str">
            <v>380</v>
          </cell>
          <cell r="B82" t="str">
            <v>083</v>
          </cell>
        </row>
        <row r="83">
          <cell r="A83" t="str">
            <v>381</v>
          </cell>
          <cell r="B83" t="str">
            <v>084</v>
          </cell>
        </row>
        <row r="84">
          <cell r="A84" t="str">
            <v>382</v>
          </cell>
          <cell r="B84" t="str">
            <v>085</v>
          </cell>
        </row>
        <row r="85">
          <cell r="A85" t="str">
            <v>383</v>
          </cell>
          <cell r="B85" t="str">
            <v>086</v>
          </cell>
        </row>
        <row r="86">
          <cell r="A86" t="str">
            <v>384</v>
          </cell>
          <cell r="B86" t="str">
            <v>087</v>
          </cell>
        </row>
        <row r="87">
          <cell r="A87" t="str">
            <v>385</v>
          </cell>
          <cell r="B87" t="str">
            <v>090</v>
          </cell>
        </row>
        <row r="88">
          <cell r="A88" t="str">
            <v>406</v>
          </cell>
          <cell r="B88" t="str">
            <v>099</v>
          </cell>
        </row>
        <row r="89">
          <cell r="A89" t="str">
            <v>410</v>
          </cell>
          <cell r="B89" t="str">
            <v>100</v>
          </cell>
        </row>
        <row r="90">
          <cell r="A90" t="str">
            <v>411</v>
          </cell>
          <cell r="B90" t="str">
            <v>101</v>
          </cell>
        </row>
        <row r="91">
          <cell r="A91" t="str">
            <v>451</v>
          </cell>
          <cell r="B91" t="str">
            <v>102</v>
          </cell>
        </row>
        <row r="92">
          <cell r="A92" t="str">
            <v>452</v>
          </cell>
          <cell r="B92" t="str">
            <v>103</v>
          </cell>
        </row>
        <row r="93">
          <cell r="A93" t="str">
            <v>453</v>
          </cell>
          <cell r="B93" t="str">
            <v>104</v>
          </cell>
        </row>
        <row r="94">
          <cell r="A94" t="str">
            <v>454</v>
          </cell>
          <cell r="B94" t="str">
            <v>105</v>
          </cell>
        </row>
        <row r="95">
          <cell r="A95" t="str">
            <v>455</v>
          </cell>
          <cell r="B95" t="str">
            <v>106</v>
          </cell>
        </row>
        <row r="96">
          <cell r="A96" t="str">
            <v>456</v>
          </cell>
          <cell r="B96" t="str">
            <v>107</v>
          </cell>
        </row>
        <row r="97">
          <cell r="A97" t="str">
            <v>457</v>
          </cell>
          <cell r="B97" t="str">
            <v>108</v>
          </cell>
        </row>
        <row r="98">
          <cell r="A98" t="str">
            <v>458</v>
          </cell>
          <cell r="B98" t="str">
            <v>109</v>
          </cell>
        </row>
        <row r="99">
          <cell r="A99" t="str">
            <v>459</v>
          </cell>
          <cell r="B99" t="str">
            <v>110</v>
          </cell>
        </row>
        <row r="100">
          <cell r="A100" t="str">
            <v>460</v>
          </cell>
          <cell r="B100" t="str">
            <v>111</v>
          </cell>
        </row>
        <row r="101">
          <cell r="A101" t="str">
            <v>461</v>
          </cell>
          <cell r="B101" t="str">
            <v>112</v>
          </cell>
        </row>
        <row r="102">
          <cell r="A102" t="str">
            <v>462</v>
          </cell>
          <cell r="B102" t="str">
            <v>113</v>
          </cell>
        </row>
        <row r="103">
          <cell r="A103" t="str">
            <v>463</v>
          </cell>
          <cell r="B103" t="str">
            <v>114</v>
          </cell>
        </row>
        <row r="104">
          <cell r="A104" t="str">
            <v>464</v>
          </cell>
          <cell r="B104" t="str">
            <v>115</v>
          </cell>
        </row>
        <row r="105">
          <cell r="A105" t="str">
            <v>465</v>
          </cell>
          <cell r="B105" t="str">
            <v>116</v>
          </cell>
        </row>
        <row r="106">
          <cell r="A106" t="str">
            <v>466</v>
          </cell>
          <cell r="B106" t="str">
            <v>117</v>
          </cell>
        </row>
        <row r="107">
          <cell r="A107" t="str">
            <v>467</v>
          </cell>
          <cell r="B107" t="str">
            <v>120</v>
          </cell>
        </row>
        <row r="108">
          <cell r="A108" t="str">
            <v>468</v>
          </cell>
          <cell r="B108" t="str">
            <v>121</v>
          </cell>
        </row>
        <row r="109">
          <cell r="A109" t="str">
            <v>469</v>
          </cell>
          <cell r="B109" t="str">
            <v>123</v>
          </cell>
        </row>
        <row r="110">
          <cell r="A110" t="str">
            <v>471</v>
          </cell>
          <cell r="B110" t="str">
            <v>124</v>
          </cell>
        </row>
        <row r="111">
          <cell r="A111" t="str">
            <v>472</v>
          </cell>
          <cell r="B111" t="str">
            <v>125</v>
          </cell>
        </row>
        <row r="112">
          <cell r="A112" t="str">
            <v>473</v>
          </cell>
          <cell r="B112" t="str">
            <v>126</v>
          </cell>
        </row>
        <row r="113">
          <cell r="A113" t="str">
            <v>474</v>
          </cell>
          <cell r="B113" t="str">
            <v>127</v>
          </cell>
        </row>
        <row r="114">
          <cell r="A114" t="str">
            <v>475</v>
          </cell>
          <cell r="B114" t="str">
            <v>128</v>
          </cell>
        </row>
        <row r="115">
          <cell r="A115" t="str">
            <v>476</v>
          </cell>
          <cell r="B115" t="str">
            <v>129</v>
          </cell>
        </row>
        <row r="116">
          <cell r="A116" t="str">
            <v>477</v>
          </cell>
          <cell r="B116" t="str">
            <v>130</v>
          </cell>
        </row>
        <row r="117">
          <cell r="A117" t="str">
            <v>478</v>
          </cell>
          <cell r="B117" t="str">
            <v>131</v>
          </cell>
        </row>
        <row r="118">
          <cell r="A118" t="str">
            <v>479</v>
          </cell>
          <cell r="B118" t="str">
            <v>132</v>
          </cell>
        </row>
        <row r="119">
          <cell r="A119" t="str">
            <v>480</v>
          </cell>
          <cell r="B119" t="str">
            <v>133</v>
          </cell>
        </row>
        <row r="120">
          <cell r="A120" t="str">
            <v>501</v>
          </cell>
          <cell r="B120" t="str">
            <v>134</v>
          </cell>
        </row>
        <row r="121">
          <cell r="A121" t="str">
            <v>502</v>
          </cell>
          <cell r="B121" t="str">
            <v>135</v>
          </cell>
        </row>
        <row r="122">
          <cell r="A122" t="str">
            <v>601</v>
          </cell>
          <cell r="B122" t="str">
            <v>140</v>
          </cell>
        </row>
        <row r="123">
          <cell r="A123" t="str">
            <v>602</v>
          </cell>
          <cell r="B123" t="str">
            <v>145</v>
          </cell>
        </row>
        <row r="124">
          <cell r="A124" t="str">
            <v>606</v>
          </cell>
          <cell r="B124" t="str">
            <v>147</v>
          </cell>
        </row>
        <row r="125">
          <cell r="A125" t="str">
            <v>608</v>
          </cell>
          <cell r="B125" t="str">
            <v>200</v>
          </cell>
        </row>
        <row r="126">
          <cell r="A126" t="str">
            <v>614</v>
          </cell>
          <cell r="B126" t="str">
            <v>201</v>
          </cell>
        </row>
        <row r="127">
          <cell r="A127" t="str">
            <v>618</v>
          </cell>
          <cell r="B127" t="str">
            <v>203</v>
          </cell>
        </row>
        <row r="128">
          <cell r="A128" t="str">
            <v>619</v>
          </cell>
          <cell r="B128" t="str">
            <v>207</v>
          </cell>
        </row>
        <row r="129">
          <cell r="A129" t="str">
            <v>637</v>
          </cell>
          <cell r="B129" t="str">
            <v>209</v>
          </cell>
        </row>
        <row r="130">
          <cell r="A130" t="str">
            <v>678</v>
          </cell>
          <cell r="B130" t="str">
            <v>210</v>
          </cell>
        </row>
        <row r="131">
          <cell r="A131" t="str">
            <v>680</v>
          </cell>
          <cell r="B131" t="str">
            <v>211</v>
          </cell>
        </row>
        <row r="132">
          <cell r="A132" t="str">
            <v>690</v>
          </cell>
          <cell r="B132" t="str">
            <v>212</v>
          </cell>
        </row>
        <row r="133">
          <cell r="A133" t="str">
            <v>694</v>
          </cell>
          <cell r="B133" t="str">
            <v>213</v>
          </cell>
        </row>
        <row r="134">
          <cell r="A134" t="str">
            <v>695</v>
          </cell>
          <cell r="B134" t="str">
            <v>214</v>
          </cell>
        </row>
        <row r="135">
          <cell r="A135" t="str">
            <v>696</v>
          </cell>
          <cell r="B135" t="str">
            <v>215</v>
          </cell>
        </row>
        <row r="136">
          <cell r="A136" t="str">
            <v>697</v>
          </cell>
          <cell r="B136" t="str">
            <v>216</v>
          </cell>
        </row>
        <row r="137">
          <cell r="B137" t="str">
            <v>217</v>
          </cell>
        </row>
        <row r="138">
          <cell r="B138" t="str">
            <v>218</v>
          </cell>
        </row>
        <row r="139">
          <cell r="B139" t="str">
            <v>219</v>
          </cell>
        </row>
        <row r="140">
          <cell r="B140" t="str">
            <v>220</v>
          </cell>
        </row>
        <row r="141">
          <cell r="B141" t="str">
            <v>221</v>
          </cell>
        </row>
        <row r="142">
          <cell r="B142" t="str">
            <v>222</v>
          </cell>
        </row>
        <row r="143">
          <cell r="B143" t="str">
            <v>223</v>
          </cell>
        </row>
        <row r="144">
          <cell r="B144" t="str">
            <v>224</v>
          </cell>
        </row>
        <row r="145">
          <cell r="B145" t="str">
            <v>400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figure"/>
      <sheetName val="Exchange Rate Link Sheet"/>
      <sheetName val="Technology PL"/>
    </sheetNames>
    <sheetDataSet>
      <sheetData sheetId="0">
        <row r="1">
          <cell r="D1">
            <v>0.1</v>
          </cell>
        </row>
      </sheetData>
      <sheetData sheetId="1">
        <row r="10">
          <cell r="I10">
            <v>3.5255000000000001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gp_sarkan@mail.ru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rgp_sarkan@mail.ru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gp_sarkan@mail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gp_sarkan@mail.ru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rgp_sarkan@mail.ru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rgp_sarkan@mail.ru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rgp_sarkan@mail.ru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rgp_sarkan@mail.ru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rgp_sarkan@mail.ru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rgp_sarkan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opLeftCell="A12" workbookViewId="0">
      <selection activeCell="I23" sqref="I23"/>
    </sheetView>
  </sheetViews>
  <sheetFormatPr defaultRowHeight="15.75"/>
  <cols>
    <col min="1" max="1" width="7.42578125" style="229" customWidth="1"/>
    <col min="2" max="2" width="49.42578125" style="230" customWidth="1"/>
    <col min="3" max="3" width="14.5703125" style="229" customWidth="1"/>
    <col min="4" max="4" width="20" style="205" customWidth="1"/>
    <col min="5" max="5" width="20.5703125" style="206" customWidth="1"/>
    <col min="6" max="6" width="16.42578125" style="244" customWidth="1"/>
    <col min="7" max="7" width="17" style="231" customWidth="1"/>
    <col min="8" max="8" width="9.140625" style="48"/>
    <col min="9" max="9" width="10.140625" style="48" bestFit="1" customWidth="1"/>
    <col min="10" max="16384" width="9.140625" style="48"/>
  </cols>
  <sheetData>
    <row r="1" spans="1:7" ht="15" customHeight="1">
      <c r="A1" s="523" t="s">
        <v>373</v>
      </c>
      <c r="B1" s="523"/>
      <c r="C1" s="523"/>
      <c r="D1" s="523"/>
      <c r="E1" s="523"/>
      <c r="F1" s="523"/>
      <c r="G1" s="523"/>
    </row>
    <row r="2" spans="1:7" ht="15" customHeight="1">
      <c r="A2" s="523" t="s">
        <v>374</v>
      </c>
      <c r="B2" s="523"/>
      <c r="C2" s="523"/>
      <c r="D2" s="523"/>
      <c r="E2" s="523"/>
      <c r="F2" s="523"/>
      <c r="G2" s="523"/>
    </row>
    <row r="3" spans="1:7" ht="15" customHeight="1">
      <c r="A3" s="523" t="s">
        <v>399</v>
      </c>
      <c r="B3" s="523"/>
      <c r="C3" s="523"/>
      <c r="D3" s="523"/>
      <c r="E3" s="523"/>
      <c r="F3" s="523"/>
      <c r="G3" s="523"/>
    </row>
    <row r="4" spans="1:7">
      <c r="A4" s="522"/>
      <c r="B4" s="522"/>
      <c r="C4" s="522"/>
      <c r="F4" s="239"/>
      <c r="G4" s="207"/>
    </row>
    <row r="5" spans="1:7" s="211" customFormat="1" ht="68.25" customHeight="1">
      <c r="A5" s="208" t="s">
        <v>0</v>
      </c>
      <c r="B5" s="208" t="s">
        <v>81</v>
      </c>
      <c r="C5" s="208" t="s">
        <v>244</v>
      </c>
      <c r="D5" s="209" t="s">
        <v>375</v>
      </c>
      <c r="E5" s="209" t="s">
        <v>376</v>
      </c>
      <c r="F5" s="240" t="s">
        <v>377</v>
      </c>
      <c r="G5" s="210" t="s">
        <v>378</v>
      </c>
    </row>
    <row r="6" spans="1:7" ht="36.75" customHeight="1">
      <c r="A6" s="212" t="s">
        <v>36</v>
      </c>
      <c r="B6" s="213" t="s">
        <v>37</v>
      </c>
      <c r="C6" s="212" t="s">
        <v>38</v>
      </c>
      <c r="D6" s="212">
        <f t="shared" ref="D6" si="0">D7+D12+D17+D18</f>
        <v>80593.66</v>
      </c>
      <c r="E6" s="212">
        <f>E7+E12+E17+E18</f>
        <v>68855.459999999992</v>
      </c>
      <c r="F6" s="219">
        <f>((E6*100)/D6)-100</f>
        <v>-14.564669230805521</v>
      </c>
      <c r="G6" s="515" t="s">
        <v>400</v>
      </c>
    </row>
    <row r="7" spans="1:7" ht="18" customHeight="1">
      <c r="A7" s="212" t="s">
        <v>39</v>
      </c>
      <c r="B7" s="213" t="s">
        <v>40</v>
      </c>
      <c r="C7" s="212" t="s">
        <v>38</v>
      </c>
      <c r="D7" s="212">
        <f>SUM(D8:D11)</f>
        <v>20641.93</v>
      </c>
      <c r="E7" s="212">
        <f>SUM(E8:E11)</f>
        <v>16901.8</v>
      </c>
      <c r="F7" s="241">
        <f t="shared" ref="F7" si="1">E7*100/D7-100</f>
        <v>-18.119090608290989</v>
      </c>
      <c r="G7" s="516"/>
    </row>
    <row r="8" spans="1:7">
      <c r="A8" s="215" t="s">
        <v>3</v>
      </c>
      <c r="B8" s="216" t="s">
        <v>200</v>
      </c>
      <c r="C8" s="215" t="s">
        <v>38</v>
      </c>
      <c r="D8" s="215">
        <v>1649</v>
      </c>
      <c r="E8" s="217">
        <v>1464.59</v>
      </c>
      <c r="F8" s="242">
        <f t="shared" ref="F8:F56" si="2">((E8*100)/D8)-100</f>
        <v>-11.183141297756222</v>
      </c>
      <c r="G8" s="516"/>
    </row>
    <row r="9" spans="1:7">
      <c r="A9" s="215" t="s">
        <v>4</v>
      </c>
      <c r="B9" s="216" t="s">
        <v>5</v>
      </c>
      <c r="C9" s="215" t="s">
        <v>38</v>
      </c>
      <c r="D9" s="215">
        <v>10799.97</v>
      </c>
      <c r="E9" s="217">
        <v>9307.9500000000007</v>
      </c>
      <c r="F9" s="242">
        <f t="shared" si="2"/>
        <v>-13.815038375106582</v>
      </c>
      <c r="G9" s="516"/>
    </row>
    <row r="10" spans="1:7">
      <c r="A10" s="215" t="s">
        <v>6</v>
      </c>
      <c r="B10" s="218" t="s">
        <v>201</v>
      </c>
      <c r="C10" s="215" t="s">
        <v>38</v>
      </c>
      <c r="D10" s="215">
        <v>7139.97</v>
      </c>
      <c r="E10" s="217">
        <v>5436.3</v>
      </c>
      <c r="F10" s="242">
        <f t="shared" si="2"/>
        <v>-23.861024626153892</v>
      </c>
      <c r="G10" s="516"/>
    </row>
    <row r="11" spans="1:7">
      <c r="A11" s="215" t="s">
        <v>7</v>
      </c>
      <c r="B11" s="216" t="s">
        <v>202</v>
      </c>
      <c r="C11" s="215" t="s">
        <v>38</v>
      </c>
      <c r="D11" s="215">
        <v>1052.99</v>
      </c>
      <c r="E11" s="217">
        <v>692.96</v>
      </c>
      <c r="F11" s="242">
        <f t="shared" si="2"/>
        <v>-34.191207893712189</v>
      </c>
      <c r="G11" s="516"/>
    </row>
    <row r="12" spans="1:7">
      <c r="A12" s="219">
        <v>2</v>
      </c>
      <c r="B12" s="213" t="s">
        <v>44</v>
      </c>
      <c r="C12" s="212" t="s">
        <v>38</v>
      </c>
      <c r="D12" s="220">
        <f t="shared" ref="D12:E12" si="3">SUM(D13:D16)</f>
        <v>23470.59</v>
      </c>
      <c r="E12" s="220">
        <f t="shared" si="3"/>
        <v>18450.09</v>
      </c>
      <c r="F12" s="241">
        <f t="shared" si="2"/>
        <v>-21.390599895443614</v>
      </c>
      <c r="G12" s="516"/>
    </row>
    <row r="13" spans="1:7">
      <c r="A13" s="215" t="s">
        <v>9</v>
      </c>
      <c r="B13" s="216" t="s">
        <v>45</v>
      </c>
      <c r="C13" s="215" t="s">
        <v>38</v>
      </c>
      <c r="D13" s="215">
        <v>21245.71</v>
      </c>
      <c r="E13" s="217">
        <v>16718.66</v>
      </c>
      <c r="F13" s="242">
        <f t="shared" si="2"/>
        <v>-21.308066428469559</v>
      </c>
      <c r="G13" s="516"/>
    </row>
    <row r="14" spans="1:7">
      <c r="A14" s="215" t="s">
        <v>10</v>
      </c>
      <c r="B14" s="216" t="s">
        <v>46</v>
      </c>
      <c r="C14" s="215" t="s">
        <v>38</v>
      </c>
      <c r="D14" s="215">
        <v>1146.2</v>
      </c>
      <c r="E14" s="217">
        <v>901.74</v>
      </c>
      <c r="F14" s="242">
        <f t="shared" si="2"/>
        <v>-21.327865991973482</v>
      </c>
      <c r="G14" s="516"/>
    </row>
    <row r="15" spans="1:7">
      <c r="A15" s="215" t="s">
        <v>11</v>
      </c>
      <c r="B15" s="216" t="s">
        <v>47</v>
      </c>
      <c r="C15" s="215" t="s">
        <v>38</v>
      </c>
      <c r="D15" s="215">
        <v>956.06</v>
      </c>
      <c r="E15" s="217">
        <v>752.34</v>
      </c>
      <c r="F15" s="242">
        <f t="shared" si="2"/>
        <v>-21.308286090831118</v>
      </c>
      <c r="G15" s="516"/>
    </row>
    <row r="16" spans="1:7" ht="36" customHeight="1">
      <c r="A16" s="215" t="s">
        <v>34</v>
      </c>
      <c r="B16" s="216" t="s">
        <v>203</v>
      </c>
      <c r="C16" s="215" t="s">
        <v>38</v>
      </c>
      <c r="D16" s="215">
        <v>122.62</v>
      </c>
      <c r="E16" s="217">
        <v>77.349999999999994</v>
      </c>
      <c r="F16" s="242">
        <f t="shared" si="2"/>
        <v>-36.918936551949123</v>
      </c>
      <c r="G16" s="516"/>
    </row>
    <row r="17" spans="1:7" ht="31.5">
      <c r="A17" s="219">
        <v>3</v>
      </c>
      <c r="B17" s="213" t="s">
        <v>48</v>
      </c>
      <c r="C17" s="212" t="s">
        <v>38</v>
      </c>
      <c r="D17" s="212">
        <v>31161.03</v>
      </c>
      <c r="E17" s="221">
        <v>28564</v>
      </c>
      <c r="F17" s="241">
        <f t="shared" si="2"/>
        <v>-8.3342238687231998</v>
      </c>
      <c r="G17" s="516"/>
    </row>
    <row r="18" spans="1:7">
      <c r="A18" s="219">
        <v>4</v>
      </c>
      <c r="B18" s="213" t="s">
        <v>126</v>
      </c>
      <c r="C18" s="212" t="s">
        <v>38</v>
      </c>
      <c r="D18" s="117">
        <f>SUM(D19:D25)</f>
        <v>5320.1100000000006</v>
      </c>
      <c r="E18" s="117">
        <f>SUM(E19:E25)</f>
        <v>4939.57</v>
      </c>
      <c r="F18" s="241">
        <f t="shared" si="2"/>
        <v>-7.1528596213236284</v>
      </c>
      <c r="G18" s="516"/>
    </row>
    <row r="19" spans="1:7">
      <c r="A19" s="215" t="s">
        <v>12</v>
      </c>
      <c r="B19" s="216" t="s">
        <v>204</v>
      </c>
      <c r="C19" s="215" t="s">
        <v>38</v>
      </c>
      <c r="D19" s="215">
        <v>1420.6</v>
      </c>
      <c r="E19" s="217">
        <v>1106.1600000000001</v>
      </c>
      <c r="F19" s="242">
        <f t="shared" si="2"/>
        <v>-22.134309446712635</v>
      </c>
      <c r="G19" s="516"/>
    </row>
    <row r="20" spans="1:7">
      <c r="A20" s="215" t="s">
        <v>205</v>
      </c>
      <c r="B20" s="216" t="s">
        <v>119</v>
      </c>
      <c r="C20" s="215" t="s">
        <v>38</v>
      </c>
      <c r="D20" s="215">
        <v>123.1</v>
      </c>
      <c r="E20" s="217">
        <v>123.1</v>
      </c>
      <c r="F20" s="242">
        <f t="shared" si="2"/>
        <v>0</v>
      </c>
      <c r="G20" s="516"/>
    </row>
    <row r="21" spans="1:7">
      <c r="A21" s="215" t="s">
        <v>206</v>
      </c>
      <c r="B21" s="218" t="s">
        <v>207</v>
      </c>
      <c r="C21" s="215" t="s">
        <v>38</v>
      </c>
      <c r="D21" s="215">
        <v>2654.31</v>
      </c>
      <c r="E21" s="217">
        <v>2658.14</v>
      </c>
      <c r="F21" s="242">
        <f t="shared" si="2"/>
        <v>0.14429362056429795</v>
      </c>
      <c r="G21" s="516"/>
    </row>
    <row r="22" spans="1:7">
      <c r="A22" s="215" t="s">
        <v>208</v>
      </c>
      <c r="B22" s="218" t="s">
        <v>209</v>
      </c>
      <c r="C22" s="215" t="s">
        <v>38</v>
      </c>
      <c r="D22" s="215">
        <v>315.68</v>
      </c>
      <c r="E22" s="217">
        <v>315.68</v>
      </c>
      <c r="F22" s="242">
        <f t="shared" si="2"/>
        <v>0</v>
      </c>
      <c r="G22" s="516"/>
    </row>
    <row r="23" spans="1:7">
      <c r="A23" s="215" t="s">
        <v>210</v>
      </c>
      <c r="B23" s="218" t="s">
        <v>211</v>
      </c>
      <c r="C23" s="215" t="s">
        <v>38</v>
      </c>
      <c r="D23" s="215">
        <v>63</v>
      </c>
      <c r="E23" s="217">
        <v>63</v>
      </c>
      <c r="F23" s="242">
        <f t="shared" si="2"/>
        <v>0</v>
      </c>
      <c r="G23" s="516"/>
    </row>
    <row r="24" spans="1:7" ht="31.5">
      <c r="A24" s="215" t="s">
        <v>212</v>
      </c>
      <c r="B24" s="216" t="s">
        <v>214</v>
      </c>
      <c r="C24" s="215" t="s">
        <v>38</v>
      </c>
      <c r="D24" s="215">
        <v>604.04</v>
      </c>
      <c r="E24" s="217">
        <v>549.71</v>
      </c>
      <c r="F24" s="242">
        <f t="shared" si="2"/>
        <v>-8.9944374544732142</v>
      </c>
      <c r="G24" s="516"/>
    </row>
    <row r="25" spans="1:7" ht="31.5">
      <c r="A25" s="215" t="s">
        <v>213</v>
      </c>
      <c r="B25" s="216" t="s">
        <v>215</v>
      </c>
      <c r="C25" s="212" t="s">
        <v>38</v>
      </c>
      <c r="D25" s="215">
        <v>139.38</v>
      </c>
      <c r="E25" s="217">
        <v>123.78</v>
      </c>
      <c r="F25" s="242">
        <f t="shared" si="2"/>
        <v>-11.192423590185101</v>
      </c>
      <c r="G25" s="516"/>
    </row>
    <row r="26" spans="1:7">
      <c r="A26" s="212" t="s">
        <v>58</v>
      </c>
      <c r="B26" s="213" t="s">
        <v>59</v>
      </c>
      <c r="C26" s="212" t="s">
        <v>38</v>
      </c>
      <c r="D26" s="117">
        <f>+D27</f>
        <v>23671.319999999996</v>
      </c>
      <c r="E26" s="117">
        <f>+E27</f>
        <v>20400.370000000003</v>
      </c>
      <c r="F26" s="241">
        <f t="shared" si="2"/>
        <v>-13.818198562648789</v>
      </c>
      <c r="G26" s="516"/>
    </row>
    <row r="27" spans="1:7">
      <c r="A27" s="212" t="s">
        <v>114</v>
      </c>
      <c r="B27" s="213" t="s">
        <v>216</v>
      </c>
      <c r="C27" s="212" t="s">
        <v>38</v>
      </c>
      <c r="D27" s="212">
        <f>+D29+D34+D35+D36+D44</f>
        <v>23671.319999999996</v>
      </c>
      <c r="E27" s="212">
        <f>+E29+E34+E35+E36+E44</f>
        <v>20400.370000000003</v>
      </c>
      <c r="F27" s="242">
        <f t="shared" si="2"/>
        <v>-13.818198562648789</v>
      </c>
      <c r="G27" s="516"/>
    </row>
    <row r="28" spans="1:7">
      <c r="A28" s="215"/>
      <c r="B28" s="216" t="s">
        <v>217</v>
      </c>
      <c r="C28" s="215" t="s">
        <v>38</v>
      </c>
      <c r="D28" s="212"/>
      <c r="E28" s="221"/>
      <c r="F28" s="242"/>
      <c r="G28" s="516"/>
    </row>
    <row r="29" spans="1:7">
      <c r="A29" s="212" t="s">
        <v>13</v>
      </c>
      <c r="B29" s="213" t="s">
        <v>44</v>
      </c>
      <c r="C29" s="212" t="s">
        <v>38</v>
      </c>
      <c r="D29" s="117">
        <f t="shared" ref="D29:E29" si="4">SUM(D30:D33)</f>
        <v>15192.569999999998</v>
      </c>
      <c r="E29" s="117">
        <f t="shared" si="4"/>
        <v>12412.240000000002</v>
      </c>
      <c r="F29" s="241">
        <f t="shared" si="2"/>
        <v>-18.300590354363976</v>
      </c>
      <c r="G29" s="516"/>
    </row>
    <row r="30" spans="1:7">
      <c r="A30" s="215" t="s">
        <v>218</v>
      </c>
      <c r="B30" s="216" t="s">
        <v>125</v>
      </c>
      <c r="C30" s="215" t="s">
        <v>38</v>
      </c>
      <c r="D30" s="215">
        <v>13757.05</v>
      </c>
      <c r="E30" s="217">
        <v>11268.2</v>
      </c>
      <c r="F30" s="242">
        <f t="shared" si="2"/>
        <v>-18.091451292246518</v>
      </c>
      <c r="G30" s="516"/>
    </row>
    <row r="31" spans="1:7">
      <c r="A31" s="215" t="s">
        <v>219</v>
      </c>
      <c r="B31" s="216" t="s">
        <v>220</v>
      </c>
      <c r="C31" s="215" t="s">
        <v>38</v>
      </c>
      <c r="D31" s="215">
        <v>742.88</v>
      </c>
      <c r="E31" s="217">
        <v>601.41</v>
      </c>
      <c r="F31" s="242">
        <f t="shared" si="2"/>
        <v>-19.043452509153568</v>
      </c>
      <c r="G31" s="516"/>
    </row>
    <row r="32" spans="1:7">
      <c r="A32" s="215" t="s">
        <v>221</v>
      </c>
      <c r="B32" s="216" t="s">
        <v>222</v>
      </c>
      <c r="C32" s="215" t="s">
        <v>38</v>
      </c>
      <c r="D32" s="215">
        <v>619.07000000000005</v>
      </c>
      <c r="E32" s="217">
        <v>496.34</v>
      </c>
      <c r="F32" s="242">
        <f t="shared" si="2"/>
        <v>-19.824898638280004</v>
      </c>
      <c r="G32" s="516"/>
    </row>
    <row r="33" spans="1:7" ht="31.5">
      <c r="A33" s="215" t="s">
        <v>223</v>
      </c>
      <c r="B33" s="216" t="s">
        <v>203</v>
      </c>
      <c r="C33" s="215" t="s">
        <v>38</v>
      </c>
      <c r="D33" s="215">
        <v>73.569999999999993</v>
      </c>
      <c r="E33" s="217">
        <v>46.29</v>
      </c>
      <c r="F33" s="242">
        <f t="shared" si="2"/>
        <v>-37.080331656925374</v>
      </c>
      <c r="G33" s="516"/>
    </row>
    <row r="34" spans="1:7">
      <c r="A34" s="222" t="s">
        <v>14</v>
      </c>
      <c r="B34" s="213" t="s">
        <v>65</v>
      </c>
      <c r="C34" s="212" t="s">
        <v>38</v>
      </c>
      <c r="D34" s="212">
        <v>128.49799999999999</v>
      </c>
      <c r="E34" s="221">
        <v>112.94</v>
      </c>
      <c r="F34" s="241">
        <f t="shared" si="2"/>
        <v>-12.107581440956267</v>
      </c>
      <c r="G34" s="516"/>
    </row>
    <row r="35" spans="1:7">
      <c r="A35" s="222" t="s">
        <v>53</v>
      </c>
      <c r="B35" s="213" t="s">
        <v>224</v>
      </c>
      <c r="C35" s="212" t="s">
        <v>38</v>
      </c>
      <c r="D35" s="212">
        <v>85.402000000000001</v>
      </c>
      <c r="E35" s="221">
        <v>78.209999999999994</v>
      </c>
      <c r="F35" s="241">
        <f t="shared" si="2"/>
        <v>-8.4213484461722317</v>
      </c>
      <c r="G35" s="516"/>
    </row>
    <row r="36" spans="1:7" ht="31.5">
      <c r="A36" s="222" t="s">
        <v>15</v>
      </c>
      <c r="B36" s="213" t="s">
        <v>396</v>
      </c>
      <c r="C36" s="212" t="s">
        <v>38</v>
      </c>
      <c r="D36" s="117">
        <f t="shared" ref="D36:E36" si="5">SUM(D37:D43)</f>
        <v>4596.26</v>
      </c>
      <c r="E36" s="117">
        <f t="shared" si="5"/>
        <v>4530.17</v>
      </c>
      <c r="F36" s="241">
        <f t="shared" si="2"/>
        <v>-1.4379082123291624</v>
      </c>
      <c r="G36" s="516"/>
    </row>
    <row r="37" spans="1:7">
      <c r="A37" s="223" t="s">
        <v>225</v>
      </c>
      <c r="B37" s="216" t="s">
        <v>16</v>
      </c>
      <c r="C37" s="215" t="s">
        <v>38</v>
      </c>
      <c r="D37" s="215">
        <v>4057.61</v>
      </c>
      <c r="E37" s="217">
        <v>4025.76</v>
      </c>
      <c r="F37" s="242">
        <f t="shared" si="2"/>
        <v>-0.78494483205631127</v>
      </c>
      <c r="G37" s="516"/>
    </row>
    <row r="38" spans="1:7">
      <c r="A38" s="223" t="s">
        <v>226</v>
      </c>
      <c r="B38" s="216" t="s">
        <v>54</v>
      </c>
      <c r="C38" s="215" t="s">
        <v>38</v>
      </c>
      <c r="D38" s="215">
        <v>113.11</v>
      </c>
      <c r="E38" s="217">
        <v>81.2</v>
      </c>
      <c r="F38" s="242">
        <f t="shared" si="2"/>
        <v>-28.211475554769692</v>
      </c>
      <c r="G38" s="516"/>
    </row>
    <row r="39" spans="1:7">
      <c r="A39" s="223" t="s">
        <v>227</v>
      </c>
      <c r="B39" s="216" t="s">
        <v>228</v>
      </c>
      <c r="C39" s="215" t="s">
        <v>38</v>
      </c>
      <c r="D39" s="215">
        <v>42.17</v>
      </c>
      <c r="E39" s="217">
        <v>42.17</v>
      </c>
      <c r="F39" s="242">
        <f t="shared" si="2"/>
        <v>0</v>
      </c>
      <c r="G39" s="516"/>
    </row>
    <row r="40" spans="1:7">
      <c r="A40" s="223" t="s">
        <v>229</v>
      </c>
      <c r="B40" s="216" t="s">
        <v>230</v>
      </c>
      <c r="C40" s="215" t="s">
        <v>38</v>
      </c>
      <c r="D40" s="215">
        <v>4.66</v>
      </c>
      <c r="E40" s="217">
        <v>2.33</v>
      </c>
      <c r="F40" s="242">
        <f t="shared" si="2"/>
        <v>-50</v>
      </c>
      <c r="G40" s="516"/>
    </row>
    <row r="41" spans="1:7">
      <c r="A41" s="223" t="s">
        <v>231</v>
      </c>
      <c r="B41" s="216" t="s">
        <v>394</v>
      </c>
      <c r="C41" s="215" t="s">
        <v>38</v>
      </c>
      <c r="D41" s="215">
        <v>10.33</v>
      </c>
      <c r="E41" s="217">
        <v>10.33</v>
      </c>
      <c r="F41" s="242">
        <f t="shared" si="2"/>
        <v>0</v>
      </c>
      <c r="G41" s="516"/>
    </row>
    <row r="42" spans="1:7">
      <c r="A42" s="223" t="s">
        <v>232</v>
      </c>
      <c r="B42" s="216" t="s">
        <v>98</v>
      </c>
      <c r="C42" s="215" t="s">
        <v>38</v>
      </c>
      <c r="D42" s="215">
        <v>65.150000000000006</v>
      </c>
      <c r="E42" s="217">
        <v>65.150000000000006</v>
      </c>
      <c r="F42" s="242">
        <f t="shared" si="2"/>
        <v>0</v>
      </c>
      <c r="G42" s="516"/>
    </row>
    <row r="43" spans="1:7">
      <c r="A43" s="223" t="s">
        <v>233</v>
      </c>
      <c r="B43" s="216" t="s">
        <v>395</v>
      </c>
      <c r="C43" s="215" t="s">
        <v>38</v>
      </c>
      <c r="D43" s="215">
        <v>303.23</v>
      </c>
      <c r="E43" s="217">
        <v>303.23</v>
      </c>
      <c r="F43" s="242">
        <f t="shared" si="2"/>
        <v>0</v>
      </c>
      <c r="G43" s="516"/>
    </row>
    <row r="44" spans="1:7" ht="21" customHeight="1">
      <c r="A44" s="222" t="s">
        <v>55</v>
      </c>
      <c r="B44" s="213" t="s">
        <v>73</v>
      </c>
      <c r="C44" s="212" t="s">
        <v>38</v>
      </c>
      <c r="D44" s="117">
        <f t="shared" ref="D44:E44" si="6">SUM(D45:D49)</f>
        <v>3668.59</v>
      </c>
      <c r="E44" s="117">
        <f t="shared" si="6"/>
        <v>3266.8099999999995</v>
      </c>
      <c r="F44" s="241">
        <f t="shared" si="2"/>
        <v>-10.951891598679623</v>
      </c>
      <c r="G44" s="516"/>
    </row>
    <row r="45" spans="1:7" ht="19.5" customHeight="1">
      <c r="A45" s="223" t="s">
        <v>234</v>
      </c>
      <c r="B45" s="216" t="s">
        <v>235</v>
      </c>
      <c r="C45" s="215" t="s">
        <v>38</v>
      </c>
      <c r="D45" s="215">
        <v>1125.8699999999999</v>
      </c>
      <c r="E45" s="217">
        <v>1125.8699999999999</v>
      </c>
      <c r="F45" s="242">
        <f t="shared" si="2"/>
        <v>0</v>
      </c>
      <c r="G45" s="516"/>
    </row>
    <row r="46" spans="1:7" ht="23.25" customHeight="1">
      <c r="A46" s="223" t="s">
        <v>236</v>
      </c>
      <c r="B46" s="216" t="s">
        <v>153</v>
      </c>
      <c r="C46" s="215" t="s">
        <v>38</v>
      </c>
      <c r="D46" s="215">
        <v>404.25</v>
      </c>
      <c r="E46" s="217">
        <v>328.74</v>
      </c>
      <c r="F46" s="242">
        <f t="shared" si="2"/>
        <v>-18.679035250463826</v>
      </c>
      <c r="G46" s="516"/>
    </row>
    <row r="47" spans="1:7" ht="39" customHeight="1">
      <c r="A47" s="223" t="s">
        <v>237</v>
      </c>
      <c r="B47" s="216" t="s">
        <v>238</v>
      </c>
      <c r="C47" s="215" t="s">
        <v>38</v>
      </c>
      <c r="D47" s="215">
        <v>215.83</v>
      </c>
      <c r="E47" s="217">
        <v>215.46</v>
      </c>
      <c r="F47" s="242">
        <f t="shared" si="2"/>
        <v>-0.17143121901497693</v>
      </c>
      <c r="G47" s="516"/>
    </row>
    <row r="48" spans="1:7" ht="21" customHeight="1">
      <c r="A48" s="223" t="s">
        <v>239</v>
      </c>
      <c r="B48" s="216" t="s">
        <v>240</v>
      </c>
      <c r="C48" s="215" t="s">
        <v>38</v>
      </c>
      <c r="D48" s="215">
        <v>654.65</v>
      </c>
      <c r="E48" s="217">
        <v>481.75</v>
      </c>
      <c r="F48" s="242">
        <f t="shared" si="2"/>
        <v>-26.411059344687999</v>
      </c>
      <c r="G48" s="516"/>
    </row>
    <row r="49" spans="1:9" ht="21" customHeight="1">
      <c r="A49" s="223" t="s">
        <v>241</v>
      </c>
      <c r="B49" s="216" t="s">
        <v>131</v>
      </c>
      <c r="C49" s="215" t="s">
        <v>38</v>
      </c>
      <c r="D49" s="215">
        <v>1267.99</v>
      </c>
      <c r="E49" s="217">
        <v>1114.99</v>
      </c>
      <c r="F49" s="242">
        <f t="shared" si="2"/>
        <v>-12.066341217202023</v>
      </c>
      <c r="G49" s="516"/>
    </row>
    <row r="50" spans="1:9" ht="21.75" customHeight="1">
      <c r="A50" s="212" t="s">
        <v>26</v>
      </c>
      <c r="B50" s="213" t="s">
        <v>27</v>
      </c>
      <c r="C50" s="212" t="s">
        <v>38</v>
      </c>
      <c r="D50" s="117">
        <f>D6+D26</f>
        <v>104264.98</v>
      </c>
      <c r="E50" s="117">
        <f>E6+E26</f>
        <v>89255.829999999987</v>
      </c>
      <c r="F50" s="242">
        <f t="shared" si="2"/>
        <v>-14.39519769725176</v>
      </c>
      <c r="G50" s="517"/>
      <c r="I50" s="231"/>
    </row>
    <row r="51" spans="1:9" ht="23.25" customHeight="1">
      <c r="A51" s="212" t="s">
        <v>28</v>
      </c>
      <c r="B51" s="213" t="s">
        <v>242</v>
      </c>
      <c r="C51" s="212" t="s">
        <v>38</v>
      </c>
      <c r="D51" s="220">
        <f>+D52-D50</f>
        <v>0</v>
      </c>
      <c r="E51" s="221">
        <f>E52-E50</f>
        <v>12406.290000000008</v>
      </c>
      <c r="F51" s="243"/>
      <c r="G51" s="224"/>
      <c r="I51" s="231"/>
    </row>
    <row r="52" spans="1:9" ht="23.25" customHeight="1">
      <c r="A52" s="212" t="s">
        <v>29</v>
      </c>
      <c r="B52" s="213" t="s">
        <v>398</v>
      </c>
      <c r="C52" s="212" t="s">
        <v>38</v>
      </c>
      <c r="D52" s="212">
        <v>104264.98</v>
      </c>
      <c r="E52" s="221">
        <v>101662.12</v>
      </c>
      <c r="F52" s="241">
        <f t="shared" si="2"/>
        <v>-2.4963894876304522</v>
      </c>
      <c r="G52" s="214"/>
      <c r="I52" s="231"/>
    </row>
    <row r="53" spans="1:9" ht="22.5" customHeight="1">
      <c r="A53" s="225" t="s">
        <v>31</v>
      </c>
      <c r="B53" s="213" t="s">
        <v>32</v>
      </c>
      <c r="C53" s="212" t="s">
        <v>391</v>
      </c>
      <c r="D53" s="212">
        <v>379297.84</v>
      </c>
      <c r="E53" s="221">
        <v>379297.84</v>
      </c>
      <c r="F53" s="241">
        <f t="shared" si="2"/>
        <v>0</v>
      </c>
      <c r="G53" s="214"/>
    </row>
    <row r="54" spans="1:9">
      <c r="A54" s="518" t="s">
        <v>33</v>
      </c>
      <c r="B54" s="520" t="s">
        <v>166</v>
      </c>
      <c r="C54" s="212" t="s">
        <v>79</v>
      </c>
      <c r="D54" s="261">
        <v>14</v>
      </c>
      <c r="E54" s="241">
        <v>14</v>
      </c>
      <c r="F54" s="243">
        <f t="shared" si="2"/>
        <v>0</v>
      </c>
      <c r="G54" s="243"/>
    </row>
    <row r="55" spans="1:9" ht="18.75">
      <c r="A55" s="519"/>
      <c r="B55" s="521"/>
      <c r="C55" s="212" t="s">
        <v>391</v>
      </c>
      <c r="D55" s="220">
        <f>(D53/0.86)-D53</f>
        <v>61746.160000000033</v>
      </c>
      <c r="E55" s="221">
        <f>(E53/0.86)-E53</f>
        <v>61746.160000000033</v>
      </c>
      <c r="F55" s="262">
        <f t="shared" si="2"/>
        <v>0</v>
      </c>
      <c r="G55" s="263"/>
    </row>
    <row r="56" spans="1:9" ht="18.75">
      <c r="A56" s="212" t="s">
        <v>167</v>
      </c>
      <c r="B56" s="226" t="s">
        <v>243</v>
      </c>
      <c r="C56" s="212" t="s">
        <v>392</v>
      </c>
      <c r="D56" s="220">
        <v>0.27</v>
      </c>
      <c r="E56" s="227">
        <f>+E52/E53</f>
        <v>0.26802715248787073</v>
      </c>
      <c r="F56" s="241">
        <f t="shared" si="2"/>
        <v>-0.73068426375158424</v>
      </c>
      <c r="G56" s="228"/>
    </row>
    <row r="58" spans="1:9">
      <c r="B58" s="235" t="s">
        <v>379</v>
      </c>
      <c r="C58" s="238" t="s">
        <v>380</v>
      </c>
      <c r="D58" s="236"/>
      <c r="E58" s="235"/>
    </row>
    <row r="59" spans="1:9">
      <c r="B59" s="235" t="s">
        <v>381</v>
      </c>
      <c r="C59" s="238" t="s">
        <v>382</v>
      </c>
      <c r="D59" s="236"/>
      <c r="E59" s="235"/>
    </row>
    <row r="60" spans="1:9">
      <c r="B60" s="235" t="s">
        <v>383</v>
      </c>
      <c r="C60" s="238" t="s">
        <v>384</v>
      </c>
      <c r="D60" s="236"/>
      <c r="E60" s="235"/>
    </row>
    <row r="61" spans="1:9" s="112" customFormat="1">
      <c r="A61" s="206"/>
      <c r="B61" s="235" t="s">
        <v>385</v>
      </c>
      <c r="C61" s="232" t="s">
        <v>386</v>
      </c>
      <c r="D61" s="235"/>
      <c r="E61" s="235"/>
      <c r="F61" s="245"/>
      <c r="G61" s="139"/>
    </row>
    <row r="62" spans="1:9" s="112" customFormat="1" ht="24.75" customHeight="1">
      <c r="A62" s="206"/>
      <c r="B62" s="235" t="s">
        <v>387</v>
      </c>
      <c r="C62" s="233" t="s">
        <v>388</v>
      </c>
      <c r="D62" s="235"/>
      <c r="E62" s="235"/>
      <c r="F62" s="245"/>
      <c r="G62" s="139"/>
    </row>
    <row r="63" spans="1:9" s="112" customFormat="1" ht="28.5" customHeight="1">
      <c r="A63" s="206"/>
      <c r="B63" s="235" t="s">
        <v>301</v>
      </c>
      <c r="C63" s="233" t="s">
        <v>393</v>
      </c>
      <c r="D63" s="237"/>
      <c r="E63" s="237"/>
      <c r="F63" s="245"/>
      <c r="G63" s="139"/>
    </row>
    <row r="64" spans="1:9" s="112" customFormat="1">
      <c r="A64" s="206"/>
      <c r="B64" s="235"/>
      <c r="C64" s="235"/>
      <c r="D64" s="235"/>
      <c r="E64" s="235"/>
      <c r="F64" s="245"/>
      <c r="G64" s="139"/>
    </row>
    <row r="65" spans="1:7" s="112" customFormat="1">
      <c r="A65" s="206"/>
      <c r="B65" s="235" t="s">
        <v>390</v>
      </c>
      <c r="C65" s="235"/>
      <c r="D65" s="235"/>
      <c r="E65" s="235"/>
      <c r="F65" s="245"/>
      <c r="G65" s="139"/>
    </row>
    <row r="66" spans="1:7" s="112" customFormat="1">
      <c r="A66" s="206"/>
      <c r="B66" s="235"/>
      <c r="C66" s="235"/>
      <c r="D66" s="235"/>
      <c r="E66" s="235"/>
      <c r="F66" s="245"/>
      <c r="G66" s="139"/>
    </row>
    <row r="67" spans="1:7" s="112" customFormat="1">
      <c r="A67" s="206"/>
      <c r="B67" s="234" t="s">
        <v>389</v>
      </c>
      <c r="C67" s="235"/>
      <c r="D67" s="235"/>
      <c r="E67" s="235"/>
      <c r="F67" s="245"/>
      <c r="G67" s="139"/>
    </row>
    <row r="68" spans="1:7" s="112" customFormat="1">
      <c r="A68" s="206"/>
      <c r="B68" s="204"/>
      <c r="C68" s="206"/>
      <c r="D68" s="203"/>
      <c r="E68" s="206"/>
      <c r="F68" s="245"/>
      <c r="G68" s="139"/>
    </row>
    <row r="69" spans="1:7" s="112" customFormat="1">
      <c r="A69" s="206"/>
      <c r="B69" s="204"/>
      <c r="C69" s="206"/>
      <c r="D69" s="206"/>
      <c r="E69" s="206"/>
      <c r="F69" s="245"/>
      <c r="G69" s="139"/>
    </row>
    <row r="70" spans="1:7" s="112" customFormat="1">
      <c r="A70" s="206"/>
      <c r="B70" s="230"/>
      <c r="C70" s="206"/>
      <c r="D70" s="206"/>
      <c r="E70" s="206"/>
      <c r="F70" s="245"/>
      <c r="G70" s="139"/>
    </row>
  </sheetData>
  <mergeCells count="7">
    <mergeCell ref="G6:G50"/>
    <mergeCell ref="A54:A55"/>
    <mergeCell ref="B54:B55"/>
    <mergeCell ref="A4:C4"/>
    <mergeCell ref="A1:G1"/>
    <mergeCell ref="A2:G2"/>
    <mergeCell ref="A3:G3"/>
  </mergeCells>
  <hyperlinks>
    <hyperlink ref="C61" r:id="rId1"/>
  </hyperlinks>
  <pageMargins left="0.39370078740157483" right="0.19685039370078741" top="0.59055118110236227" bottom="0.39370078740157483" header="0.19685039370078741" footer="0.19685039370078741"/>
  <pageSetup paperSize="9" scale="97" fitToHeight="0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9"/>
  <sheetViews>
    <sheetView topLeftCell="A31" workbookViewId="0">
      <selection activeCell="I38" sqref="I38"/>
    </sheetView>
  </sheetViews>
  <sheetFormatPr defaultRowHeight="15"/>
  <cols>
    <col min="1" max="1" width="5.85546875" style="440" customWidth="1"/>
    <col min="2" max="2" width="39.7109375" style="441" customWidth="1"/>
    <col min="3" max="3" width="12.42578125" style="440" customWidth="1"/>
    <col min="4" max="4" width="20.7109375" style="440" customWidth="1"/>
    <col min="5" max="5" width="20" style="440" customWidth="1"/>
    <col min="6" max="6" width="15.5703125" style="448" customWidth="1"/>
    <col min="7" max="7" width="16.140625" style="440" customWidth="1"/>
    <col min="8" max="8" width="17.140625" style="426" customWidth="1"/>
    <col min="9" max="9" width="14.7109375" style="426" customWidth="1"/>
    <col min="10" max="16384" width="9.140625" style="426"/>
  </cols>
  <sheetData>
    <row r="1" spans="1:9" ht="15.75">
      <c r="A1" s="523" t="s">
        <v>373</v>
      </c>
      <c r="B1" s="523"/>
      <c r="C1" s="523"/>
      <c r="D1" s="523"/>
      <c r="E1" s="523"/>
      <c r="F1" s="523"/>
      <c r="G1" s="523"/>
    </row>
    <row r="2" spans="1:9" ht="15.75">
      <c r="A2" s="523" t="s">
        <v>450</v>
      </c>
      <c r="B2" s="523"/>
      <c r="C2" s="523"/>
      <c r="D2" s="523"/>
      <c r="E2" s="523"/>
      <c r="F2" s="523"/>
      <c r="G2" s="523"/>
    </row>
    <row r="3" spans="1:9" ht="15.75">
      <c r="A3" s="523" t="s">
        <v>399</v>
      </c>
      <c r="B3" s="523"/>
      <c r="C3" s="523"/>
      <c r="D3" s="523"/>
      <c r="E3" s="523"/>
      <c r="F3" s="523"/>
      <c r="G3" s="523"/>
    </row>
    <row r="5" spans="1:9" ht="66" customHeight="1">
      <c r="A5" s="325" t="s">
        <v>0</v>
      </c>
      <c r="B5" s="325" t="s">
        <v>81</v>
      </c>
      <c r="C5" s="325" t="s">
        <v>244</v>
      </c>
      <c r="D5" s="326" t="s">
        <v>375</v>
      </c>
      <c r="E5" s="326" t="s">
        <v>376</v>
      </c>
      <c r="F5" s="327" t="s">
        <v>377</v>
      </c>
      <c r="G5" s="210" t="s">
        <v>378</v>
      </c>
    </row>
    <row r="6" spans="1:9" ht="28.5" customHeight="1">
      <c r="A6" s="194" t="s">
        <v>1</v>
      </c>
      <c r="B6" s="427" t="s">
        <v>302</v>
      </c>
      <c r="C6" s="108" t="s">
        <v>2</v>
      </c>
      <c r="D6" s="102">
        <f>D7+D12+D16+D17+D19</f>
        <v>34968.429999999993</v>
      </c>
      <c r="E6" s="102">
        <f>E7+E12+E16+E17+E19</f>
        <v>21130.168999999998</v>
      </c>
      <c r="F6" s="107">
        <f t="shared" ref="F6:F56" si="0">((E6*100)/D6)-100</f>
        <v>-39.573583944146179</v>
      </c>
      <c r="G6" s="577" t="s">
        <v>459</v>
      </c>
      <c r="H6" s="433"/>
    </row>
    <row r="7" spans="1:9" ht="25.5" customHeight="1">
      <c r="A7" s="428">
        <v>1</v>
      </c>
      <c r="B7" s="429" t="s">
        <v>303</v>
      </c>
      <c r="C7" s="108" t="s">
        <v>2</v>
      </c>
      <c r="D7" s="102">
        <f>SUM(D8:D11)</f>
        <v>1423.8500000000001</v>
      </c>
      <c r="E7" s="102">
        <f>SUM(E8:E11)</f>
        <v>715.98099999999999</v>
      </c>
      <c r="F7" s="107">
        <f t="shared" si="0"/>
        <v>-49.715138532851071</v>
      </c>
      <c r="G7" s="578"/>
    </row>
    <row r="8" spans="1:9" ht="17.25" customHeight="1">
      <c r="A8" s="430">
        <v>42736</v>
      </c>
      <c r="B8" s="431" t="s">
        <v>105</v>
      </c>
      <c r="C8" s="110" t="s">
        <v>38</v>
      </c>
      <c r="D8" s="103">
        <v>783.29</v>
      </c>
      <c r="E8" s="103">
        <v>511.83</v>
      </c>
      <c r="F8" s="109">
        <f t="shared" si="0"/>
        <v>-34.656385246843442</v>
      </c>
      <c r="G8" s="578"/>
    </row>
    <row r="9" spans="1:9" ht="17.25" customHeight="1">
      <c r="A9" s="430">
        <v>42401</v>
      </c>
      <c r="B9" s="431" t="s">
        <v>452</v>
      </c>
      <c r="C9" s="110" t="s">
        <v>38</v>
      </c>
      <c r="D9" s="103">
        <v>82.2</v>
      </c>
      <c r="E9" s="103"/>
      <c r="F9" s="109">
        <f t="shared" si="0"/>
        <v>-100</v>
      </c>
      <c r="G9" s="578"/>
    </row>
    <row r="10" spans="1:9" ht="17.25" customHeight="1">
      <c r="A10" s="430">
        <v>42430</v>
      </c>
      <c r="B10" s="431" t="s">
        <v>172</v>
      </c>
      <c r="C10" s="110" t="s">
        <v>38</v>
      </c>
      <c r="D10" s="103">
        <v>172.37</v>
      </c>
      <c r="E10" s="103">
        <v>204.15100000000001</v>
      </c>
      <c r="F10" s="109">
        <f t="shared" si="0"/>
        <v>18.437663166444281</v>
      </c>
      <c r="G10" s="578"/>
    </row>
    <row r="11" spans="1:9" ht="17.25" customHeight="1">
      <c r="A11" s="430">
        <v>42461</v>
      </c>
      <c r="B11" s="431" t="s">
        <v>108</v>
      </c>
      <c r="C11" s="110" t="s">
        <v>38</v>
      </c>
      <c r="D11" s="103">
        <v>385.99</v>
      </c>
      <c r="E11" s="103"/>
      <c r="F11" s="109">
        <f t="shared" si="0"/>
        <v>-100</v>
      </c>
      <c r="G11" s="578"/>
    </row>
    <row r="12" spans="1:9" ht="20.25" customHeight="1">
      <c r="A12" s="96">
        <v>2</v>
      </c>
      <c r="B12" s="432" t="s">
        <v>304</v>
      </c>
      <c r="C12" s="108" t="s">
        <v>38</v>
      </c>
      <c r="D12" s="444">
        <f>SUM(D13:D15)</f>
        <v>29558.85</v>
      </c>
      <c r="E12" s="102">
        <f>SUM(E13:E15)</f>
        <v>12502.725</v>
      </c>
      <c r="F12" s="107">
        <f t="shared" si="0"/>
        <v>-57.702261759168572</v>
      </c>
      <c r="G12" s="578"/>
    </row>
    <row r="13" spans="1:9" ht="19.5" customHeight="1">
      <c r="A13" s="430">
        <v>42371</v>
      </c>
      <c r="B13" s="431" t="s">
        <v>402</v>
      </c>
      <c r="C13" s="110" t="s">
        <v>38</v>
      </c>
      <c r="D13" s="442">
        <f>26896.1+0.03</f>
        <v>26896.129999999997</v>
      </c>
      <c r="E13" s="104">
        <v>11285.941000000001</v>
      </c>
      <c r="F13" s="109">
        <f t="shared" si="0"/>
        <v>-58.038792197985352</v>
      </c>
      <c r="G13" s="578"/>
      <c r="H13" s="433"/>
      <c r="I13" s="433"/>
    </row>
    <row r="14" spans="1:9" ht="18" customHeight="1">
      <c r="A14" s="430">
        <v>42768</v>
      </c>
      <c r="B14" s="431" t="s">
        <v>419</v>
      </c>
      <c r="C14" s="110" t="s">
        <v>38</v>
      </c>
      <c r="D14" s="443">
        <f>1452.4+1210.3+0.02</f>
        <v>2662.72</v>
      </c>
      <c r="E14" s="103">
        <f>79.746+111.063+376.316+596.843</f>
        <v>1163.9679999999998</v>
      </c>
      <c r="F14" s="109">
        <f t="shared" si="0"/>
        <v>-56.286504025958422</v>
      </c>
      <c r="G14" s="578"/>
      <c r="H14" s="433"/>
      <c r="I14" s="433"/>
    </row>
    <row r="15" spans="1:9" ht="18" customHeight="1">
      <c r="A15" s="430">
        <v>42796</v>
      </c>
      <c r="B15" s="431" t="s">
        <v>453</v>
      </c>
      <c r="C15" s="110" t="s">
        <v>38</v>
      </c>
      <c r="D15" s="103"/>
      <c r="E15" s="103">
        <f>36.822+15.994</f>
        <v>52.816000000000003</v>
      </c>
      <c r="F15" s="109"/>
      <c r="G15" s="578"/>
      <c r="H15" s="433"/>
      <c r="I15" s="433"/>
    </row>
    <row r="16" spans="1:9" ht="17.25" customHeight="1">
      <c r="A16" s="108">
        <v>3</v>
      </c>
      <c r="B16" s="432" t="s">
        <v>111</v>
      </c>
      <c r="C16" s="108" t="s">
        <v>38</v>
      </c>
      <c r="D16" s="102">
        <v>1716.3</v>
      </c>
      <c r="E16" s="102">
        <v>1573</v>
      </c>
      <c r="F16" s="107">
        <f t="shared" si="0"/>
        <v>-8.3493561731632013</v>
      </c>
      <c r="G16" s="578"/>
      <c r="H16" s="433"/>
      <c r="I16" s="433"/>
    </row>
    <row r="17" spans="1:9" ht="20.25" customHeight="1">
      <c r="A17" s="108">
        <v>4</v>
      </c>
      <c r="B17" s="432" t="s">
        <v>298</v>
      </c>
      <c r="C17" s="108" t="s">
        <v>38</v>
      </c>
      <c r="D17" s="102">
        <f>D18</f>
        <v>1569.37</v>
      </c>
      <c r="E17" s="102">
        <f>E18</f>
        <v>5957.4660000000003</v>
      </c>
      <c r="F17" s="107">
        <f t="shared" si="0"/>
        <v>279.6087602031389</v>
      </c>
      <c r="G17" s="578"/>
      <c r="H17" s="433"/>
      <c r="I17" s="433"/>
    </row>
    <row r="18" spans="1:9" ht="17.25" customHeight="1">
      <c r="A18" s="434" t="s">
        <v>12</v>
      </c>
      <c r="B18" s="431" t="s">
        <v>416</v>
      </c>
      <c r="C18" s="110" t="s">
        <v>38</v>
      </c>
      <c r="D18" s="103">
        <v>1569.37</v>
      </c>
      <c r="E18" s="103">
        <v>5957.4660000000003</v>
      </c>
      <c r="F18" s="109">
        <f t="shared" si="0"/>
        <v>279.6087602031389</v>
      </c>
      <c r="G18" s="578"/>
      <c r="H18" s="433"/>
    </row>
    <row r="19" spans="1:9" ht="17.25" customHeight="1">
      <c r="A19" s="108">
        <v>5</v>
      </c>
      <c r="B19" s="432" t="s">
        <v>306</v>
      </c>
      <c r="C19" s="108" t="s">
        <v>38</v>
      </c>
      <c r="D19" s="102">
        <f>SUM(D20:D26)</f>
        <v>700.06</v>
      </c>
      <c r="E19" s="102">
        <f>SUM(E20:E26)</f>
        <v>380.99700000000001</v>
      </c>
      <c r="F19" s="107">
        <f t="shared" si="0"/>
        <v>-45.576522012398925</v>
      </c>
      <c r="G19" s="578"/>
      <c r="H19" s="433"/>
      <c r="I19" s="433"/>
    </row>
    <row r="20" spans="1:9" ht="18" customHeight="1">
      <c r="A20" s="434" t="s">
        <v>13</v>
      </c>
      <c r="B20" s="431" t="s">
        <v>454</v>
      </c>
      <c r="C20" s="110" t="s">
        <v>38</v>
      </c>
      <c r="D20" s="103">
        <v>247</v>
      </c>
      <c r="E20" s="103"/>
      <c r="F20" s="109">
        <f t="shared" si="0"/>
        <v>-100</v>
      </c>
      <c r="G20" s="578"/>
    </row>
    <row r="21" spans="1:9" ht="29.25" customHeight="1">
      <c r="A21" s="434" t="s">
        <v>14</v>
      </c>
      <c r="B21" s="431" t="s">
        <v>424</v>
      </c>
      <c r="C21" s="110" t="s">
        <v>38</v>
      </c>
      <c r="D21" s="103">
        <v>8.5299999999999994</v>
      </c>
      <c r="E21" s="103">
        <v>22.43</v>
      </c>
      <c r="F21" s="109">
        <f t="shared" si="0"/>
        <v>162.95427901524033</v>
      </c>
      <c r="G21" s="578"/>
      <c r="H21" s="433"/>
      <c r="I21" s="433"/>
    </row>
    <row r="22" spans="1:9" ht="18" customHeight="1">
      <c r="A22" s="434" t="s">
        <v>53</v>
      </c>
      <c r="B22" s="431" t="s">
        <v>307</v>
      </c>
      <c r="C22" s="110" t="s">
        <v>308</v>
      </c>
      <c r="D22" s="103">
        <v>22.46</v>
      </c>
      <c r="E22" s="103"/>
      <c r="F22" s="109">
        <f t="shared" si="0"/>
        <v>-100</v>
      </c>
      <c r="G22" s="578"/>
    </row>
    <row r="23" spans="1:9" ht="18" customHeight="1">
      <c r="A23" s="434" t="s">
        <v>15</v>
      </c>
      <c r="B23" s="431" t="s">
        <v>128</v>
      </c>
      <c r="C23" s="110" t="s">
        <v>2</v>
      </c>
      <c r="D23" s="103">
        <v>210.13</v>
      </c>
      <c r="E23" s="103">
        <v>32.69</v>
      </c>
      <c r="F23" s="109">
        <f t="shared" si="0"/>
        <v>-84.442963879503168</v>
      </c>
      <c r="G23" s="578"/>
    </row>
    <row r="24" spans="1:9" ht="18" customHeight="1">
      <c r="A24" s="434" t="s">
        <v>55</v>
      </c>
      <c r="B24" s="431" t="s">
        <v>151</v>
      </c>
      <c r="C24" s="110" t="s">
        <v>309</v>
      </c>
      <c r="D24" s="103">
        <v>211.94</v>
      </c>
      <c r="E24" s="103">
        <v>245.983</v>
      </c>
      <c r="F24" s="109">
        <f t="shared" si="0"/>
        <v>16.062564876851937</v>
      </c>
      <c r="G24" s="578"/>
    </row>
    <row r="25" spans="1:9" ht="18" customHeight="1">
      <c r="A25" s="434" t="s">
        <v>17</v>
      </c>
      <c r="B25" s="431" t="s">
        <v>310</v>
      </c>
      <c r="C25" s="110" t="s">
        <v>309</v>
      </c>
      <c r="D25" s="103"/>
      <c r="E25" s="103">
        <v>22.974</v>
      </c>
      <c r="F25" s="109"/>
      <c r="G25" s="578"/>
    </row>
    <row r="26" spans="1:9" ht="18.75" customHeight="1">
      <c r="A26" s="434" t="s">
        <v>18</v>
      </c>
      <c r="B26" s="431" t="s">
        <v>120</v>
      </c>
      <c r="C26" s="110" t="s">
        <v>38</v>
      </c>
      <c r="D26" s="103"/>
      <c r="E26" s="103">
        <v>56.92</v>
      </c>
      <c r="F26" s="109"/>
      <c r="G26" s="578"/>
    </row>
    <row r="27" spans="1:9">
      <c r="A27" s="194" t="s">
        <v>123</v>
      </c>
      <c r="B27" s="432" t="s">
        <v>311</v>
      </c>
      <c r="C27" s="108" t="s">
        <v>38</v>
      </c>
      <c r="D27" s="102">
        <f>+D28+D32+D41</f>
        <v>9175.5400000000009</v>
      </c>
      <c r="E27" s="102">
        <f>+E28+E32+E41</f>
        <v>9336.2729999999992</v>
      </c>
      <c r="F27" s="107">
        <f t="shared" si="0"/>
        <v>1.7517552100475626</v>
      </c>
      <c r="G27" s="578"/>
      <c r="I27" s="433"/>
    </row>
    <row r="28" spans="1:9" ht="15" customHeight="1">
      <c r="A28" s="108">
        <v>6</v>
      </c>
      <c r="B28" s="432" t="s">
        <v>312</v>
      </c>
      <c r="C28" s="108" t="s">
        <v>38</v>
      </c>
      <c r="D28" s="102">
        <f>SUM(D29:D31)</f>
        <v>7385.8</v>
      </c>
      <c r="E28" s="102">
        <f>SUM(E29:E31)</f>
        <v>5117.1509999999989</v>
      </c>
      <c r="F28" s="107">
        <f t="shared" si="0"/>
        <v>-30.716361125402813</v>
      </c>
      <c r="G28" s="578"/>
    </row>
    <row r="29" spans="1:9" ht="16.5" customHeight="1">
      <c r="A29" s="434" t="s">
        <v>21</v>
      </c>
      <c r="B29" s="431" t="s">
        <v>271</v>
      </c>
      <c r="C29" s="110" t="s">
        <v>38</v>
      </c>
      <c r="D29" s="103">
        <v>6720.5</v>
      </c>
      <c r="E29" s="103">
        <v>4619.5069999999996</v>
      </c>
      <c r="F29" s="109">
        <f t="shared" si="0"/>
        <v>-31.262450710512624</v>
      </c>
      <c r="G29" s="578"/>
    </row>
    <row r="30" spans="1:9">
      <c r="A30" s="434" t="s">
        <v>22</v>
      </c>
      <c r="B30" s="431" t="s">
        <v>419</v>
      </c>
      <c r="C30" s="110" t="s">
        <v>38</v>
      </c>
      <c r="D30" s="103">
        <f>362.9+302.4</f>
        <v>665.3</v>
      </c>
      <c r="E30" s="103">
        <f>33.003+71.533+113.084+264.834</f>
        <v>482.45400000000001</v>
      </c>
      <c r="F30" s="109">
        <f t="shared" si="0"/>
        <v>-27.483240643318794</v>
      </c>
      <c r="G30" s="578"/>
    </row>
    <row r="31" spans="1:9">
      <c r="A31" s="434" t="s">
        <v>23</v>
      </c>
      <c r="B31" s="431" t="s">
        <v>305</v>
      </c>
      <c r="C31" s="110" t="s">
        <v>2</v>
      </c>
      <c r="D31" s="103"/>
      <c r="E31" s="103">
        <f>6.356+8.834</f>
        <v>15.19</v>
      </c>
      <c r="F31" s="109"/>
      <c r="G31" s="578"/>
    </row>
    <row r="32" spans="1:9" ht="28.5" customHeight="1">
      <c r="A32" s="435" t="s">
        <v>180</v>
      </c>
      <c r="B32" s="432" t="s">
        <v>313</v>
      </c>
      <c r="C32" s="108" t="s">
        <v>38</v>
      </c>
      <c r="D32" s="102">
        <f>SUM(D33:D40)</f>
        <v>1239.31</v>
      </c>
      <c r="E32" s="102">
        <f>SUM(E33:E40)</f>
        <v>931.00399999999991</v>
      </c>
      <c r="F32" s="107">
        <f t="shared" si="0"/>
        <v>-24.877230071572086</v>
      </c>
      <c r="G32" s="578"/>
    </row>
    <row r="33" spans="1:7" ht="24" customHeight="1">
      <c r="A33" s="434" t="s">
        <v>127</v>
      </c>
      <c r="B33" s="94" t="s">
        <v>143</v>
      </c>
      <c r="C33" s="95" t="s">
        <v>2</v>
      </c>
      <c r="D33" s="103">
        <v>102.8</v>
      </c>
      <c r="E33" s="103">
        <v>108.889</v>
      </c>
      <c r="F33" s="109">
        <f t="shared" si="0"/>
        <v>5.9231517509727638</v>
      </c>
      <c r="G33" s="578"/>
    </row>
    <row r="34" spans="1:7">
      <c r="A34" s="434" t="s">
        <v>129</v>
      </c>
      <c r="B34" s="94" t="s">
        <v>228</v>
      </c>
      <c r="C34" s="95" t="s">
        <v>2</v>
      </c>
      <c r="D34" s="104"/>
      <c r="E34" s="103">
        <v>2.2690000000000001</v>
      </c>
      <c r="F34" s="109"/>
      <c r="G34" s="578"/>
    </row>
    <row r="35" spans="1:7" ht="29.25" customHeight="1">
      <c r="A35" s="434" t="s">
        <v>130</v>
      </c>
      <c r="B35" s="94" t="s">
        <v>455</v>
      </c>
      <c r="C35" s="95" t="s">
        <v>2</v>
      </c>
      <c r="D35" s="103"/>
      <c r="E35" s="103">
        <v>61.298999999999999</v>
      </c>
      <c r="F35" s="109"/>
      <c r="G35" s="578"/>
    </row>
    <row r="36" spans="1:7">
      <c r="A36" s="434" t="s">
        <v>132</v>
      </c>
      <c r="B36" s="94" t="s">
        <v>137</v>
      </c>
      <c r="C36" s="95" t="s">
        <v>2</v>
      </c>
      <c r="D36" s="103">
        <v>80.650000000000006</v>
      </c>
      <c r="E36" s="103">
        <v>36.944000000000003</v>
      </c>
      <c r="F36" s="109">
        <f t="shared" si="0"/>
        <v>-54.192188468691882</v>
      </c>
      <c r="G36" s="578"/>
    </row>
    <row r="37" spans="1:7">
      <c r="A37" s="434" t="s">
        <v>134</v>
      </c>
      <c r="B37" s="94" t="s">
        <v>141</v>
      </c>
      <c r="C37" s="95" t="s">
        <v>2</v>
      </c>
      <c r="D37" s="103"/>
      <c r="E37" s="103">
        <v>19.14</v>
      </c>
      <c r="F37" s="109"/>
      <c r="G37" s="578"/>
    </row>
    <row r="38" spans="1:7">
      <c r="A38" s="434" t="s">
        <v>136</v>
      </c>
      <c r="B38" s="94" t="s">
        <v>407</v>
      </c>
      <c r="C38" s="95" t="s">
        <v>2</v>
      </c>
      <c r="D38" s="103">
        <v>25.6</v>
      </c>
      <c r="E38" s="103">
        <v>12.76</v>
      </c>
      <c r="F38" s="109">
        <f t="shared" si="0"/>
        <v>-50.15625</v>
      </c>
      <c r="G38" s="578"/>
    </row>
    <row r="39" spans="1:7">
      <c r="A39" s="434" t="s">
        <v>138</v>
      </c>
      <c r="B39" s="105" t="s">
        <v>54</v>
      </c>
      <c r="C39" s="95" t="s">
        <v>2</v>
      </c>
      <c r="D39" s="103">
        <v>61.84</v>
      </c>
      <c r="E39" s="103">
        <v>9.3550000000000004</v>
      </c>
      <c r="F39" s="109">
        <f t="shared" si="0"/>
        <v>-84.872250970245801</v>
      </c>
      <c r="G39" s="578"/>
    </row>
    <row r="40" spans="1:7">
      <c r="A40" s="434" t="s">
        <v>140</v>
      </c>
      <c r="B40" s="94" t="s">
        <v>16</v>
      </c>
      <c r="C40" s="95" t="s">
        <v>2</v>
      </c>
      <c r="D40" s="103">
        <v>968.42</v>
      </c>
      <c r="E40" s="103">
        <v>680.34799999999996</v>
      </c>
      <c r="F40" s="109">
        <f t="shared" si="0"/>
        <v>-29.746597550649525</v>
      </c>
      <c r="G40" s="578"/>
    </row>
    <row r="41" spans="1:7" s="436" customFormat="1">
      <c r="A41" s="435" t="s">
        <v>277</v>
      </c>
      <c r="B41" s="195" t="s">
        <v>306</v>
      </c>
      <c r="C41" s="194"/>
      <c r="D41" s="102">
        <f>SUM(D42:D50)</f>
        <v>550.42999999999995</v>
      </c>
      <c r="E41" s="102">
        <f>SUM(E42:E50)</f>
        <v>3288.1179999999999</v>
      </c>
      <c r="F41" s="107"/>
      <c r="G41" s="578"/>
    </row>
    <row r="42" spans="1:7" s="445" customFormat="1">
      <c r="A42" s="434" t="s">
        <v>168</v>
      </c>
      <c r="B42" s="431" t="s">
        <v>456</v>
      </c>
      <c r="C42" s="110" t="s">
        <v>38</v>
      </c>
      <c r="D42" s="103">
        <v>29.53</v>
      </c>
      <c r="E42" s="103">
        <v>18.957000000000001</v>
      </c>
      <c r="F42" s="109">
        <f t="shared" si="0"/>
        <v>-35.804266847273965</v>
      </c>
      <c r="G42" s="578"/>
    </row>
    <row r="43" spans="1:7" s="445" customFormat="1">
      <c r="A43" s="434" t="s">
        <v>169</v>
      </c>
      <c r="B43" s="431" t="s">
        <v>406</v>
      </c>
      <c r="C43" s="110" t="s">
        <v>309</v>
      </c>
      <c r="D43" s="103">
        <v>183.5</v>
      </c>
      <c r="E43" s="103">
        <f>16.936+7.367</f>
        <v>24.303000000000001</v>
      </c>
      <c r="F43" s="109">
        <f t="shared" si="0"/>
        <v>-86.755858310626706</v>
      </c>
      <c r="G43" s="578"/>
    </row>
    <row r="44" spans="1:7" s="445" customFormat="1">
      <c r="A44" s="434" t="s">
        <v>183</v>
      </c>
      <c r="B44" s="431" t="s">
        <v>193</v>
      </c>
      <c r="C44" s="110" t="s">
        <v>38</v>
      </c>
      <c r="D44" s="103">
        <v>32</v>
      </c>
      <c r="E44" s="103">
        <v>7</v>
      </c>
      <c r="F44" s="109">
        <f t="shared" si="0"/>
        <v>-78.125</v>
      </c>
      <c r="G44" s="578"/>
    </row>
    <row r="45" spans="1:7" s="445" customFormat="1">
      <c r="A45" s="434" t="s">
        <v>185</v>
      </c>
      <c r="B45" s="431" t="s">
        <v>131</v>
      </c>
      <c r="C45" s="110" t="s">
        <v>38</v>
      </c>
      <c r="D45" s="103">
        <v>79</v>
      </c>
      <c r="E45" s="103">
        <v>79.691999999999993</v>
      </c>
      <c r="F45" s="109">
        <f t="shared" si="0"/>
        <v>0.8759493670885945</v>
      </c>
      <c r="G45" s="578"/>
    </row>
    <row r="46" spans="1:7" s="445" customFormat="1">
      <c r="A46" s="434" t="s">
        <v>186</v>
      </c>
      <c r="B46" s="431" t="s">
        <v>457</v>
      </c>
      <c r="C46" s="110" t="s">
        <v>38</v>
      </c>
      <c r="D46" s="103">
        <v>37.4</v>
      </c>
      <c r="E46" s="103">
        <v>33.9</v>
      </c>
      <c r="F46" s="109">
        <f t="shared" si="0"/>
        <v>-9.3582887700534769</v>
      </c>
      <c r="G46" s="578"/>
    </row>
    <row r="47" spans="1:7" s="445" customFormat="1">
      <c r="A47" s="434" t="s">
        <v>188</v>
      </c>
      <c r="B47" s="431" t="s">
        <v>128</v>
      </c>
      <c r="C47" s="110" t="s">
        <v>38</v>
      </c>
      <c r="D47" s="103"/>
      <c r="E47" s="103">
        <v>258.666</v>
      </c>
      <c r="F47" s="109"/>
      <c r="G47" s="578"/>
    </row>
    <row r="48" spans="1:7">
      <c r="A48" s="434" t="s">
        <v>192</v>
      </c>
      <c r="B48" s="431" t="s">
        <v>153</v>
      </c>
      <c r="C48" s="110" t="s">
        <v>38</v>
      </c>
      <c r="D48" s="103">
        <v>189</v>
      </c>
      <c r="E48" s="103">
        <f>79.706-2.73</f>
        <v>76.975999999999999</v>
      </c>
      <c r="F48" s="109">
        <f t="shared" si="0"/>
        <v>-59.271957671957672</v>
      </c>
      <c r="G48" s="578"/>
    </row>
    <row r="49" spans="1:8" s="445" customFormat="1" ht="27" customHeight="1">
      <c r="A49" s="434" t="s">
        <v>194</v>
      </c>
      <c r="B49" s="431" t="s">
        <v>120</v>
      </c>
      <c r="C49" s="110" t="s">
        <v>38</v>
      </c>
      <c r="D49" s="103"/>
      <c r="E49" s="103">
        <f>1.157</f>
        <v>1.157</v>
      </c>
      <c r="F49" s="109"/>
      <c r="G49" s="578"/>
    </row>
    <row r="50" spans="1:8" s="445" customFormat="1">
      <c r="A50" s="434" t="s">
        <v>279</v>
      </c>
      <c r="B50" s="431" t="s">
        <v>320</v>
      </c>
      <c r="C50" s="110" t="s">
        <v>2</v>
      </c>
      <c r="D50" s="103"/>
      <c r="E50" s="103">
        <v>2787.4670000000001</v>
      </c>
      <c r="F50" s="109"/>
      <c r="G50" s="578"/>
    </row>
    <row r="51" spans="1:8">
      <c r="A51" s="437" t="s">
        <v>26</v>
      </c>
      <c r="B51" s="432" t="s">
        <v>27</v>
      </c>
      <c r="C51" s="108" t="s">
        <v>38</v>
      </c>
      <c r="D51" s="102">
        <f>+D27+D6</f>
        <v>44143.969999999994</v>
      </c>
      <c r="E51" s="102">
        <f>E6+E27</f>
        <v>30466.441999999995</v>
      </c>
      <c r="F51" s="107">
        <f t="shared" si="0"/>
        <v>-30.983910146731247</v>
      </c>
      <c r="G51" s="578"/>
      <c r="H51" s="433"/>
    </row>
    <row r="52" spans="1:8">
      <c r="A52" s="437" t="s">
        <v>28</v>
      </c>
      <c r="B52" s="432" t="s">
        <v>162</v>
      </c>
      <c r="C52" s="108" t="s">
        <v>38</v>
      </c>
      <c r="D52" s="102">
        <f>D53-D51</f>
        <v>-215.49999999999272</v>
      </c>
      <c r="E52" s="102">
        <f>E53-E51</f>
        <v>4603.2720000000045</v>
      </c>
      <c r="F52" s="107"/>
      <c r="G52" s="578"/>
      <c r="H52" s="438"/>
    </row>
    <row r="53" spans="1:8">
      <c r="A53" s="437" t="s">
        <v>29</v>
      </c>
      <c r="B53" s="432" t="s">
        <v>30</v>
      </c>
      <c r="C53" s="108" t="s">
        <v>38</v>
      </c>
      <c r="D53" s="102">
        <v>43928.47</v>
      </c>
      <c r="E53" s="106">
        <v>35069.714</v>
      </c>
      <c r="F53" s="107">
        <f t="shared" si="0"/>
        <v>-20.166320384024303</v>
      </c>
      <c r="G53" s="578"/>
    </row>
    <row r="54" spans="1:8" ht="15.75">
      <c r="A54" s="437" t="s">
        <v>31</v>
      </c>
      <c r="B54" s="432" t="s">
        <v>451</v>
      </c>
      <c r="C54" s="108" t="s">
        <v>321</v>
      </c>
      <c r="D54" s="102">
        <v>80000</v>
      </c>
      <c r="E54" s="102">
        <v>64004.906000000003</v>
      </c>
      <c r="F54" s="107">
        <f t="shared" si="0"/>
        <v>-19.993867499999993</v>
      </c>
      <c r="G54" s="578"/>
    </row>
    <row r="55" spans="1:8" ht="15.75">
      <c r="A55" s="573" t="s">
        <v>33</v>
      </c>
      <c r="B55" s="575" t="s">
        <v>322</v>
      </c>
      <c r="C55" s="108" t="s">
        <v>321</v>
      </c>
      <c r="D55" s="107">
        <v>25263</v>
      </c>
      <c r="E55" s="102">
        <v>12010.423000000001</v>
      </c>
      <c r="F55" s="107">
        <f t="shared" si="0"/>
        <v>-52.458445156948898</v>
      </c>
      <c r="G55" s="578"/>
    </row>
    <row r="56" spans="1:8">
      <c r="A56" s="574"/>
      <c r="B56" s="576"/>
      <c r="C56" s="108" t="s">
        <v>79</v>
      </c>
      <c r="D56" s="107">
        <v>24</v>
      </c>
      <c r="E56" s="107">
        <v>16</v>
      </c>
      <c r="F56" s="107">
        <f t="shared" si="0"/>
        <v>-33.333333333333329</v>
      </c>
      <c r="G56" s="578"/>
    </row>
    <row r="57" spans="1:8" ht="15.75">
      <c r="A57" s="437" t="s">
        <v>287</v>
      </c>
      <c r="B57" s="432" t="s">
        <v>323</v>
      </c>
      <c r="C57" s="108" t="s">
        <v>324</v>
      </c>
      <c r="D57" s="446">
        <v>0.54900000000000004</v>
      </c>
      <c r="E57" s="447">
        <f>+E53/E54</f>
        <v>0.54792227958275574</v>
      </c>
      <c r="F57" s="439"/>
      <c r="G57" s="579"/>
    </row>
    <row r="59" spans="1:8" ht="15.75">
      <c r="A59" s="229"/>
      <c r="B59" s="233" t="s">
        <v>379</v>
      </c>
      <c r="C59" s="238" t="s">
        <v>380</v>
      </c>
      <c r="D59" s="385"/>
      <c r="E59" s="386"/>
      <c r="F59" s="390"/>
      <c r="G59" s="47"/>
    </row>
    <row r="60" spans="1:8" ht="15.75">
      <c r="A60" s="229"/>
      <c r="B60" s="233" t="s">
        <v>381</v>
      </c>
      <c r="C60" s="238" t="s">
        <v>382</v>
      </c>
      <c r="D60" s="385"/>
      <c r="E60" s="386"/>
      <c r="F60" s="390"/>
      <c r="G60" s="47"/>
    </row>
    <row r="61" spans="1:8" ht="15.75">
      <c r="A61" s="229"/>
      <c r="B61" s="233" t="s">
        <v>383</v>
      </c>
      <c r="C61" s="238" t="s">
        <v>384</v>
      </c>
      <c r="D61" s="385"/>
      <c r="E61" s="386"/>
      <c r="F61" s="390"/>
      <c r="G61" s="47"/>
    </row>
    <row r="62" spans="1:8" ht="23.25" customHeight="1">
      <c r="A62" s="206"/>
      <c r="B62" s="233" t="s">
        <v>385</v>
      </c>
      <c r="C62" s="232" t="s">
        <v>386</v>
      </c>
      <c r="D62" s="386"/>
      <c r="E62" s="386"/>
      <c r="F62" s="393"/>
      <c r="G62" s="47"/>
    </row>
    <row r="63" spans="1:8" ht="23.25" customHeight="1">
      <c r="A63" s="206"/>
      <c r="B63" s="233" t="s">
        <v>387</v>
      </c>
      <c r="C63" s="233" t="s">
        <v>388</v>
      </c>
      <c r="D63" s="386"/>
      <c r="E63" s="386"/>
      <c r="F63" s="393"/>
      <c r="G63" s="22"/>
    </row>
    <row r="64" spans="1:8" ht="29.25" customHeight="1">
      <c r="A64" s="206"/>
      <c r="B64" s="233" t="s">
        <v>301</v>
      </c>
      <c r="C64" s="233" t="s">
        <v>393</v>
      </c>
      <c r="D64" s="387"/>
      <c r="E64" s="387"/>
      <c r="F64" s="393"/>
      <c r="G64" s="22"/>
    </row>
    <row r="65" spans="1:7" ht="15.75">
      <c r="A65" s="206"/>
      <c r="B65" s="235"/>
      <c r="C65" s="235"/>
      <c r="D65" s="386"/>
      <c r="E65" s="386"/>
      <c r="F65" s="393"/>
      <c r="G65" s="22"/>
    </row>
    <row r="66" spans="1:7" ht="15.75">
      <c r="A66" s="206"/>
      <c r="B66" s="235" t="s">
        <v>390</v>
      </c>
      <c r="C66" s="235"/>
      <c r="D66" s="386"/>
      <c r="E66" s="386"/>
      <c r="F66" s="393"/>
      <c r="G66" s="22"/>
    </row>
    <row r="67" spans="1:7" ht="15.75">
      <c r="A67" s="206"/>
      <c r="B67" s="235"/>
      <c r="C67" s="235"/>
      <c r="D67" s="386"/>
      <c r="E67" s="386"/>
      <c r="F67" s="393"/>
      <c r="G67" s="22"/>
    </row>
    <row r="68" spans="1:7" ht="15.75">
      <c r="A68" s="206"/>
      <c r="B68" s="234" t="s">
        <v>389</v>
      </c>
      <c r="C68" s="235"/>
      <c r="D68" s="386"/>
      <c r="E68" s="386"/>
      <c r="F68" s="393"/>
      <c r="G68" s="22"/>
    </row>
    <row r="69" spans="1:7" ht="15.75">
      <c r="A69" s="48"/>
      <c r="B69" s="48"/>
      <c r="C69" s="48"/>
      <c r="D69" s="231"/>
      <c r="E69" s="172"/>
      <c r="F69" s="425"/>
      <c r="G69" s="22"/>
    </row>
  </sheetData>
  <mergeCells count="6">
    <mergeCell ref="A1:G1"/>
    <mergeCell ref="A55:A56"/>
    <mergeCell ref="B55:B56"/>
    <mergeCell ref="A2:G2"/>
    <mergeCell ref="A3:G3"/>
    <mergeCell ref="G6:G57"/>
  </mergeCells>
  <hyperlinks>
    <hyperlink ref="C62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Y88"/>
  <sheetViews>
    <sheetView topLeftCell="C1" zoomScale="85" zoomScaleNormal="85" workbookViewId="0">
      <selection activeCell="K8" sqref="K8"/>
    </sheetView>
  </sheetViews>
  <sheetFormatPr defaultRowHeight="15"/>
  <cols>
    <col min="1" max="1" width="6.7109375" style="12" customWidth="1"/>
    <col min="2" max="2" width="41.5703125" style="189" customWidth="1"/>
    <col min="3" max="3" width="10.140625" style="12" customWidth="1"/>
    <col min="4" max="4" width="16.7109375" style="12" customWidth="1"/>
    <col min="5" max="5" width="16" style="12" customWidth="1"/>
    <col min="6" max="7" width="14.7109375" style="12" customWidth="1"/>
    <col min="8" max="8" width="13.7109375" style="12" customWidth="1"/>
    <col min="9" max="9" width="15.7109375" style="12" customWidth="1"/>
    <col min="10" max="10" width="17.42578125" style="260" customWidth="1"/>
    <col min="11" max="11" width="18.7109375" style="260" customWidth="1"/>
    <col min="12" max="12" width="16.28515625" style="12" customWidth="1"/>
    <col min="13" max="13" width="11.28515625" style="12" customWidth="1"/>
    <col min="14" max="15" width="11.42578125" style="12" customWidth="1"/>
    <col min="16" max="16" width="15.7109375" style="12" customWidth="1"/>
    <col min="17" max="17" width="16.42578125" style="12" customWidth="1"/>
    <col min="18" max="18" width="14.5703125" style="12" customWidth="1"/>
    <col min="19" max="19" width="14" style="12" customWidth="1"/>
    <col min="20" max="20" width="19.42578125" style="246" customWidth="1"/>
    <col min="21" max="21" width="20.7109375" style="246" customWidth="1"/>
    <col min="22" max="23" width="16.42578125" style="477" customWidth="1"/>
    <col min="24" max="24" width="16.42578125" style="485" customWidth="1"/>
    <col min="25" max="25" width="15.7109375" style="485" customWidth="1"/>
    <col min="26" max="37" width="9.140625" style="4"/>
    <col min="38" max="51" width="9.140625" style="10"/>
    <col min="52" max="16384" width="9.140625" style="11"/>
  </cols>
  <sheetData>
    <row r="1" spans="1:51" s="174" customFormat="1" ht="15" customHeight="1">
      <c r="B1" s="513"/>
      <c r="C1" s="513"/>
      <c r="D1" s="580" t="s">
        <v>462</v>
      </c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13"/>
      <c r="R1" s="513"/>
      <c r="S1" s="513"/>
      <c r="T1" s="513"/>
      <c r="U1" s="513"/>
      <c r="V1" s="513"/>
      <c r="W1" s="513"/>
      <c r="X1" s="513"/>
      <c r="Y1" s="513"/>
    </row>
    <row r="2" spans="1:51" s="174" customFormat="1" ht="15" customHeight="1">
      <c r="B2" s="513"/>
      <c r="C2" s="513"/>
      <c r="D2" s="580" t="s">
        <v>472</v>
      </c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13"/>
      <c r="R2" s="513"/>
      <c r="S2" s="513"/>
      <c r="T2" s="513"/>
      <c r="U2" s="513"/>
      <c r="V2" s="513"/>
      <c r="W2" s="513"/>
      <c r="X2" s="513"/>
      <c r="Y2" s="513"/>
    </row>
    <row r="3" spans="1:51" s="174" customFormat="1" ht="15" customHeight="1">
      <c r="B3" s="513"/>
      <c r="C3" s="513"/>
      <c r="D3" s="580" t="s">
        <v>473</v>
      </c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13"/>
      <c r="R3" s="513"/>
      <c r="S3" s="513"/>
      <c r="T3" s="513"/>
      <c r="U3" s="513"/>
      <c r="V3" s="513"/>
      <c r="W3" s="513"/>
      <c r="X3" s="513"/>
      <c r="Y3" s="513"/>
    </row>
    <row r="4" spans="1:51" ht="15" customHeight="1">
      <c r="A4" s="514"/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514"/>
      <c r="Q4" s="291"/>
      <c r="R4" s="291"/>
      <c r="S4" s="291"/>
      <c r="U4" s="475"/>
      <c r="W4" s="483"/>
      <c r="X4" s="491"/>
    </row>
    <row r="5" spans="1:51" ht="15" customHeight="1">
      <c r="A5" s="585" t="s">
        <v>0</v>
      </c>
      <c r="B5" s="585" t="s">
        <v>81</v>
      </c>
      <c r="C5" s="585" t="s">
        <v>244</v>
      </c>
      <c r="D5" s="588" t="s">
        <v>93</v>
      </c>
      <c r="E5" s="588"/>
      <c r="F5" s="589" t="s">
        <v>82</v>
      </c>
      <c r="G5" s="590"/>
      <c r="H5" s="590"/>
      <c r="I5" s="590"/>
      <c r="J5" s="590"/>
      <c r="K5" s="590"/>
      <c r="L5" s="590"/>
      <c r="M5" s="590"/>
      <c r="N5" s="590"/>
      <c r="O5" s="590"/>
      <c r="P5" s="590"/>
      <c r="Q5" s="590"/>
      <c r="R5" s="590"/>
      <c r="S5" s="590"/>
      <c r="T5" s="590"/>
      <c r="U5" s="590"/>
      <c r="V5" s="590"/>
      <c r="W5" s="590"/>
      <c r="X5" s="590"/>
      <c r="Y5" s="591"/>
    </row>
    <row r="6" spans="1:51" ht="33.75" customHeight="1">
      <c r="A6" s="586"/>
      <c r="B6" s="586"/>
      <c r="C6" s="586"/>
      <c r="D6" s="588"/>
      <c r="E6" s="588"/>
      <c r="F6" s="592" t="s">
        <v>83</v>
      </c>
      <c r="G6" s="593"/>
      <c r="H6" s="594" t="s">
        <v>84</v>
      </c>
      <c r="I6" s="595"/>
      <c r="J6" s="583" t="s">
        <v>85</v>
      </c>
      <c r="K6" s="584"/>
      <c r="L6" s="583" t="s">
        <v>86</v>
      </c>
      <c r="M6" s="584"/>
      <c r="N6" s="583" t="s">
        <v>87</v>
      </c>
      <c r="O6" s="584"/>
      <c r="P6" s="583" t="s">
        <v>88</v>
      </c>
      <c r="Q6" s="584"/>
      <c r="R6" s="596" t="s">
        <v>89</v>
      </c>
      <c r="S6" s="597"/>
      <c r="T6" s="596" t="s">
        <v>90</v>
      </c>
      <c r="U6" s="597"/>
      <c r="V6" s="596" t="s">
        <v>91</v>
      </c>
      <c r="W6" s="597"/>
      <c r="X6" s="596" t="s">
        <v>92</v>
      </c>
      <c r="Y6" s="597"/>
    </row>
    <row r="7" spans="1:51" s="500" customFormat="1" ht="56.25" customHeight="1">
      <c r="A7" s="587"/>
      <c r="B7" s="587"/>
      <c r="C7" s="587"/>
      <c r="D7" s="495" t="s">
        <v>375</v>
      </c>
      <c r="E7" s="496" t="s">
        <v>376</v>
      </c>
      <c r="F7" s="495" t="s">
        <v>375</v>
      </c>
      <c r="G7" s="496" t="s">
        <v>376</v>
      </c>
      <c r="H7" s="495" t="s">
        <v>375</v>
      </c>
      <c r="I7" s="496" t="s">
        <v>376</v>
      </c>
      <c r="J7" s="495" t="s">
        <v>375</v>
      </c>
      <c r="K7" s="496" t="s">
        <v>376</v>
      </c>
      <c r="L7" s="495" t="s">
        <v>375</v>
      </c>
      <c r="M7" s="496" t="s">
        <v>376</v>
      </c>
      <c r="N7" s="495" t="s">
        <v>375</v>
      </c>
      <c r="O7" s="496" t="s">
        <v>376</v>
      </c>
      <c r="P7" s="495" t="s">
        <v>375</v>
      </c>
      <c r="Q7" s="496" t="s">
        <v>376</v>
      </c>
      <c r="R7" s="495" t="s">
        <v>375</v>
      </c>
      <c r="S7" s="496" t="s">
        <v>376</v>
      </c>
      <c r="T7" s="495" t="s">
        <v>375</v>
      </c>
      <c r="U7" s="496" t="s">
        <v>376</v>
      </c>
      <c r="V7" s="495" t="s">
        <v>375</v>
      </c>
      <c r="W7" s="496" t="s">
        <v>376</v>
      </c>
      <c r="X7" s="497" t="s">
        <v>375</v>
      </c>
      <c r="Y7" s="497" t="s">
        <v>376</v>
      </c>
      <c r="Z7" s="498"/>
      <c r="AA7" s="498"/>
      <c r="AB7" s="498"/>
      <c r="AC7" s="498"/>
      <c r="AD7" s="498"/>
      <c r="AE7" s="498"/>
      <c r="AF7" s="498"/>
      <c r="AG7" s="498"/>
      <c r="AH7" s="498"/>
      <c r="AI7" s="498"/>
      <c r="AJ7" s="498"/>
      <c r="AK7" s="498"/>
      <c r="AL7" s="499"/>
      <c r="AM7" s="499"/>
      <c r="AN7" s="499"/>
      <c r="AO7" s="499"/>
      <c r="AP7" s="499"/>
      <c r="AQ7" s="499"/>
      <c r="AR7" s="499"/>
      <c r="AS7" s="499"/>
      <c r="AT7" s="499"/>
      <c r="AU7" s="499"/>
      <c r="AV7" s="499"/>
      <c r="AW7" s="499"/>
      <c r="AX7" s="499"/>
      <c r="AY7" s="499"/>
    </row>
    <row r="8" spans="1:51" s="9" customFormat="1" ht="24.75" customHeight="1">
      <c r="A8" s="175" t="s">
        <v>36</v>
      </c>
      <c r="B8" s="193" t="s">
        <v>37</v>
      </c>
      <c r="C8" s="175" t="s">
        <v>38</v>
      </c>
      <c r="D8" s="6">
        <f t="shared" ref="D8:Y8" si="0">D9+D18+D22+D23+D25</f>
        <v>299987.40500000003</v>
      </c>
      <c r="E8" s="6">
        <f t="shared" si="0"/>
        <v>238747.63699999999</v>
      </c>
      <c r="F8" s="252">
        <f t="shared" si="0"/>
        <v>80593.66</v>
      </c>
      <c r="G8" s="252">
        <f t="shared" si="0"/>
        <v>68855.459999999992</v>
      </c>
      <c r="H8" s="247">
        <f t="shared" si="0"/>
        <v>17754.789000000001</v>
      </c>
      <c r="I8" s="247">
        <f t="shared" si="0"/>
        <v>11862.852999999999</v>
      </c>
      <c r="J8" s="252">
        <f t="shared" si="0"/>
        <v>603.90999999999985</v>
      </c>
      <c r="K8" s="252">
        <f t="shared" si="0"/>
        <v>503.55000000000007</v>
      </c>
      <c r="L8" s="252">
        <f t="shared" si="0"/>
        <v>241.18</v>
      </c>
      <c r="M8" s="252">
        <f t="shared" si="0"/>
        <v>299.17</v>
      </c>
      <c r="N8" s="252">
        <f>N9+N18+N22+N23+N25</f>
        <v>30996.579999999998</v>
      </c>
      <c r="O8" s="252">
        <f t="shared" si="0"/>
        <v>25304.146999999997</v>
      </c>
      <c r="P8" s="252">
        <f t="shared" si="0"/>
        <v>42240.55</v>
      </c>
      <c r="Q8" s="252">
        <f t="shared" si="0"/>
        <v>44618.790999999997</v>
      </c>
      <c r="R8" s="252">
        <f t="shared" si="0"/>
        <v>44835.362999999998</v>
      </c>
      <c r="S8" s="252">
        <f t="shared" si="0"/>
        <v>27857.022000000001</v>
      </c>
      <c r="T8" s="252">
        <f t="shared" si="0"/>
        <v>33293.733</v>
      </c>
      <c r="U8" s="247">
        <f t="shared" si="0"/>
        <v>26432.27</v>
      </c>
      <c r="V8" s="252">
        <f t="shared" si="0"/>
        <v>14591.33</v>
      </c>
      <c r="W8" s="252">
        <f t="shared" si="0"/>
        <v>11884.205</v>
      </c>
      <c r="X8" s="252">
        <f t="shared" si="0"/>
        <v>34968.429999999993</v>
      </c>
      <c r="Y8" s="252">
        <f t="shared" si="0"/>
        <v>21130.168999999998</v>
      </c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76" customFormat="1" ht="15" customHeight="1">
      <c r="A9" s="175" t="s">
        <v>39</v>
      </c>
      <c r="B9" s="193" t="s">
        <v>40</v>
      </c>
      <c r="C9" s="175" t="s">
        <v>38</v>
      </c>
      <c r="D9" s="6">
        <f t="shared" ref="D9:Y9" si="1">SUM(D10:D17)</f>
        <v>31877.611000000001</v>
      </c>
      <c r="E9" s="6">
        <f t="shared" si="1"/>
        <v>25094.062000000002</v>
      </c>
      <c r="F9" s="252">
        <f t="shared" si="1"/>
        <v>20641.93</v>
      </c>
      <c r="G9" s="252">
        <f t="shared" si="1"/>
        <v>16901.8</v>
      </c>
      <c r="H9" s="247">
        <f t="shared" si="1"/>
        <v>596.02099999999996</v>
      </c>
      <c r="I9" s="247">
        <f t="shared" si="1"/>
        <v>433.70699999999999</v>
      </c>
      <c r="J9" s="252">
        <f t="shared" si="1"/>
        <v>22.15</v>
      </c>
      <c r="K9" s="252">
        <f t="shared" si="1"/>
        <v>0</v>
      </c>
      <c r="L9" s="252">
        <f t="shared" si="1"/>
        <v>0</v>
      </c>
      <c r="M9" s="252">
        <f t="shared" si="1"/>
        <v>0</v>
      </c>
      <c r="N9" s="252">
        <f>SUM(N10:N17)</f>
        <v>564.70000000000005</v>
      </c>
      <c r="O9" s="252">
        <f>SUM(O10:O17)</f>
        <v>704.51100000000008</v>
      </c>
      <c r="P9" s="252">
        <f t="shared" si="1"/>
        <v>3282.53</v>
      </c>
      <c r="Q9" s="252">
        <f t="shared" si="1"/>
        <v>3247.7359999999999</v>
      </c>
      <c r="R9" s="252">
        <f t="shared" si="1"/>
        <v>3205.1</v>
      </c>
      <c r="S9" s="252">
        <f t="shared" si="1"/>
        <v>1268.807</v>
      </c>
      <c r="T9" s="252">
        <f t="shared" si="1"/>
        <v>1713.4</v>
      </c>
      <c r="U9" s="252">
        <f t="shared" si="1"/>
        <v>1282.5490000000002</v>
      </c>
      <c r="V9" s="252">
        <f t="shared" si="1"/>
        <v>427.93</v>
      </c>
      <c r="W9" s="252">
        <f t="shared" si="1"/>
        <v>538.971</v>
      </c>
      <c r="X9" s="252">
        <f t="shared" si="1"/>
        <v>1423.85</v>
      </c>
      <c r="Y9" s="252">
        <f t="shared" si="1"/>
        <v>715.98099999999999</v>
      </c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</row>
    <row r="10" spans="1:51" ht="15" customHeight="1">
      <c r="A10" s="177" t="s">
        <v>3</v>
      </c>
      <c r="B10" s="173" t="s">
        <v>413</v>
      </c>
      <c r="C10" s="177" t="s">
        <v>38</v>
      </c>
      <c r="D10" s="178">
        <f>F10+H10+J10+L10+N10+P10+R10+T10+V10+X10</f>
        <v>1722.49</v>
      </c>
      <c r="E10" s="178">
        <f>G10+I10+K10+M10+O10+Q10+S10+U10+W10+Y10</f>
        <v>1467.24</v>
      </c>
      <c r="F10" s="490">
        <f>+'Панфилов ПУ'!D8</f>
        <v>1649</v>
      </c>
      <c r="G10" s="490">
        <f>+'Панфилов ПУ'!E8</f>
        <v>1464.59</v>
      </c>
      <c r="H10" s="249">
        <f>+'Каратальский ПУ'!D8</f>
        <v>73.489999999999995</v>
      </c>
      <c r="I10" s="249">
        <f>+'Каратальский ПУ'!E8</f>
        <v>2.65</v>
      </c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248"/>
      <c r="U10" s="249"/>
      <c r="V10" s="478"/>
      <c r="W10" s="478"/>
      <c r="X10" s="486"/>
      <c r="Y10" s="486"/>
    </row>
    <row r="11" spans="1:51" ht="15" customHeight="1">
      <c r="A11" s="177" t="s">
        <v>4</v>
      </c>
      <c r="B11" s="173" t="s">
        <v>5</v>
      </c>
      <c r="C11" s="177" t="s">
        <v>38</v>
      </c>
      <c r="D11" s="178">
        <f t="shared" ref="D11:E17" si="2">F11+H11+J11+L11+N11+P11+R11+T11+V11+X11</f>
        <v>16606.79</v>
      </c>
      <c r="E11" s="178">
        <f t="shared" si="2"/>
        <v>14368.880999999999</v>
      </c>
      <c r="F11" s="490">
        <f>+'Панфилов ПУ'!D9</f>
        <v>10799.97</v>
      </c>
      <c r="G11" s="490">
        <f>+'Панфилов ПУ'!E9</f>
        <v>9307.9500000000007</v>
      </c>
      <c r="H11" s="249">
        <f>+'Каратальский ПУ'!D9</f>
        <v>265.57</v>
      </c>
      <c r="I11" s="249">
        <f>+'Каратальский ПУ'!E9</f>
        <v>240.036</v>
      </c>
      <c r="J11" s="81">
        <f>+'Алмалы, Ащыбулак'!D8</f>
        <v>22.15</v>
      </c>
      <c r="K11" s="81">
        <f>+'Алмалы, Ащыбулак'!E8</f>
        <v>0</v>
      </c>
      <c r="L11" s="81"/>
      <c r="M11" s="81"/>
      <c r="N11" s="81">
        <f>Аксу!D8</f>
        <v>338.2</v>
      </c>
      <c r="O11" s="81">
        <f>Аксу!E8</f>
        <v>595.92200000000003</v>
      </c>
      <c r="P11" s="81">
        <f>+Алаколь!D9</f>
        <v>1306.5</v>
      </c>
      <c r="Q11" s="81">
        <f>+Алаколь!E9</f>
        <v>1243.75</v>
      </c>
      <c r="R11" s="81">
        <f>+Коксу!D8</f>
        <v>1875</v>
      </c>
      <c r="S11" s="81">
        <f>+Коксу!E8</f>
        <v>1025.82</v>
      </c>
      <c r="T11" s="250">
        <f>Ескелді!D8</f>
        <v>1049.68</v>
      </c>
      <c r="U11" s="250">
        <f>Ескелді!E8</f>
        <v>1107.2380000000001</v>
      </c>
      <c r="V11" s="478">
        <f>+Талдык!D7</f>
        <v>166.43</v>
      </c>
      <c r="W11" s="478">
        <f>+Талдык!E7</f>
        <v>336.33499999999998</v>
      </c>
      <c r="X11" s="487">
        <f>+Уйгур!D8</f>
        <v>783.29</v>
      </c>
      <c r="Y11" s="487">
        <f>+Уйгур!E8</f>
        <v>511.83</v>
      </c>
    </row>
    <row r="12" spans="1:51" ht="15" customHeight="1">
      <c r="A12" s="177" t="s">
        <v>6</v>
      </c>
      <c r="B12" s="173" t="s">
        <v>463</v>
      </c>
      <c r="C12" s="177" t="s">
        <v>38</v>
      </c>
      <c r="D12" s="178">
        <f t="shared" si="2"/>
        <v>149.4</v>
      </c>
      <c r="E12" s="178">
        <f t="shared" si="2"/>
        <v>74.423000000000002</v>
      </c>
      <c r="F12" s="256"/>
      <c r="G12" s="256"/>
      <c r="H12" s="249"/>
      <c r="I12" s="249"/>
      <c r="J12" s="81"/>
      <c r="K12" s="81"/>
      <c r="L12" s="81"/>
      <c r="M12" s="81"/>
      <c r="N12" s="81">
        <f>Аксу!D11</f>
        <v>67.2</v>
      </c>
      <c r="O12" s="81">
        <f>Аксу!E11</f>
        <v>31.052</v>
      </c>
      <c r="P12" s="81"/>
      <c r="Q12" s="81"/>
      <c r="R12" s="81"/>
      <c r="S12" s="81"/>
      <c r="T12" s="250">
        <f>+Ескелді!D9</f>
        <v>82.2</v>
      </c>
      <c r="U12" s="250">
        <f>+Ескелді!E9</f>
        <v>43.371000000000002</v>
      </c>
      <c r="V12" s="478"/>
      <c r="W12" s="478"/>
      <c r="X12" s="486"/>
      <c r="Y12" s="486"/>
    </row>
    <row r="13" spans="1:51" ht="15" customHeight="1">
      <c r="A13" s="177" t="s">
        <v>7</v>
      </c>
      <c r="B13" s="173" t="s">
        <v>452</v>
      </c>
      <c r="C13" s="177" t="s">
        <v>38</v>
      </c>
      <c r="D13" s="178">
        <f>F13+H13+J13+L13+N13+P13+R13+T13+V13+X13</f>
        <v>164.2</v>
      </c>
      <c r="E13" s="178">
        <f t="shared" si="2"/>
        <v>0</v>
      </c>
      <c r="F13" s="256"/>
      <c r="G13" s="256"/>
      <c r="H13" s="249"/>
      <c r="I13" s="249"/>
      <c r="J13" s="81"/>
      <c r="K13" s="81"/>
      <c r="L13" s="81"/>
      <c r="M13" s="81"/>
      <c r="N13" s="81"/>
      <c r="O13" s="81"/>
      <c r="P13" s="81"/>
      <c r="Q13" s="81"/>
      <c r="R13" s="81">
        <f>+Коксу!D9</f>
        <v>82</v>
      </c>
      <c r="S13" s="81">
        <f>+Коксу!E9</f>
        <v>0</v>
      </c>
      <c r="T13" s="250"/>
      <c r="U13" s="250"/>
      <c r="V13" s="478"/>
      <c r="W13" s="478"/>
      <c r="X13" s="487">
        <f>+Уйгур!D9</f>
        <v>82.2</v>
      </c>
      <c r="Y13" s="487">
        <f>+Уйгур!E9</f>
        <v>0</v>
      </c>
    </row>
    <row r="14" spans="1:51" ht="15" customHeight="1">
      <c r="A14" s="177" t="s">
        <v>8</v>
      </c>
      <c r="B14" s="179" t="s">
        <v>201</v>
      </c>
      <c r="C14" s="177" t="s">
        <v>38</v>
      </c>
      <c r="D14" s="178">
        <f t="shared" si="2"/>
        <v>10452.396000000001</v>
      </c>
      <c r="E14" s="178">
        <f t="shared" si="2"/>
        <v>5760.2080000000005</v>
      </c>
      <c r="F14" s="490">
        <f>+'Панфилов ПУ'!D10</f>
        <v>7139.97</v>
      </c>
      <c r="G14" s="490">
        <f>+'Панфилов ПУ'!E10</f>
        <v>5436.3</v>
      </c>
      <c r="H14" s="249">
        <f>+'Каратальский ПУ'!D10</f>
        <v>73.995999999999995</v>
      </c>
      <c r="I14" s="249">
        <f>+'Каратальский ПУ'!E10</f>
        <v>0</v>
      </c>
      <c r="J14" s="81"/>
      <c r="K14" s="81"/>
      <c r="L14" s="81"/>
      <c r="M14" s="81"/>
      <c r="N14" s="81">
        <f>Аксу!D9</f>
        <v>128.80000000000001</v>
      </c>
      <c r="O14" s="81">
        <f>Аксу!E9</f>
        <v>0</v>
      </c>
      <c r="P14" s="81">
        <f>+Алаколь!D10</f>
        <v>1056.79</v>
      </c>
      <c r="Q14" s="81">
        <f>+Алаколь!E10</f>
        <v>199.291</v>
      </c>
      <c r="R14" s="81">
        <f>+Коксу!D11</f>
        <v>1000.1</v>
      </c>
      <c r="S14" s="81">
        <f>+Коксу!E11</f>
        <v>0</v>
      </c>
      <c r="T14" s="250">
        <f>Ескелді!D10</f>
        <v>500</v>
      </c>
      <c r="U14" s="250">
        <f>Ескелді!E10</f>
        <v>7.5880000000000001</v>
      </c>
      <c r="V14" s="478">
        <f>+Талдык!D9</f>
        <v>166.75</v>
      </c>
      <c r="W14" s="478">
        <f>+Талдык!E9</f>
        <v>117.029</v>
      </c>
      <c r="X14" s="478">
        <f>+Уйгур!D11</f>
        <v>385.99</v>
      </c>
      <c r="Y14" s="478">
        <f>+Уйгур!E11</f>
        <v>0</v>
      </c>
    </row>
    <row r="15" spans="1:51" ht="15" customHeight="1">
      <c r="A15" s="177" t="s">
        <v>357</v>
      </c>
      <c r="B15" s="173" t="s">
        <v>172</v>
      </c>
      <c r="C15" s="177" t="s">
        <v>38</v>
      </c>
      <c r="D15" s="178">
        <f t="shared" si="2"/>
        <v>691.43999999999994</v>
      </c>
      <c r="E15" s="178">
        <f t="shared" si="2"/>
        <v>788.02099999999996</v>
      </c>
      <c r="F15" s="490"/>
      <c r="G15" s="490"/>
      <c r="H15" s="249"/>
      <c r="I15" s="249"/>
      <c r="J15" s="81"/>
      <c r="K15" s="81"/>
      <c r="L15" s="81"/>
      <c r="M15" s="81"/>
      <c r="N15" s="81">
        <f>Аксу!D10</f>
        <v>30.5</v>
      </c>
      <c r="O15" s="81">
        <f>Аксу!E10</f>
        <v>77.537000000000006</v>
      </c>
      <c r="P15" s="81">
        <f>+Алаколь!D11</f>
        <v>64.3</v>
      </c>
      <c r="Q15" s="81">
        <f>+Алаколь!E11</f>
        <v>64.478999999999999</v>
      </c>
      <c r="R15" s="81">
        <f>+Коксу!D10</f>
        <v>248</v>
      </c>
      <c r="S15" s="81">
        <f>+Коксу!E10</f>
        <v>242.98699999999999</v>
      </c>
      <c r="T15" s="81">
        <f>Ескелді!D12</f>
        <v>81.52</v>
      </c>
      <c r="U15" s="81">
        <f>Ескелді!E12</f>
        <v>113.26</v>
      </c>
      <c r="V15" s="478">
        <f>+Талдык!D8</f>
        <v>94.75</v>
      </c>
      <c r="W15" s="478">
        <f>+Талдык!E8</f>
        <v>85.606999999999999</v>
      </c>
      <c r="X15" s="487">
        <f>+Уйгур!D10</f>
        <v>172.37</v>
      </c>
      <c r="Y15" s="487">
        <f>+Уйгур!E10</f>
        <v>204.15100000000001</v>
      </c>
    </row>
    <row r="16" spans="1:51" ht="15" customHeight="1">
      <c r="A16" s="177" t="s">
        <v>100</v>
      </c>
      <c r="B16" s="173" t="s">
        <v>202</v>
      </c>
      <c r="C16" s="177" t="s">
        <v>38</v>
      </c>
      <c r="D16" s="178">
        <f t="shared" si="2"/>
        <v>1235.9549999999999</v>
      </c>
      <c r="E16" s="178">
        <f t="shared" si="2"/>
        <v>895.07299999999998</v>
      </c>
      <c r="F16" s="490">
        <f>+'Панфилов ПУ'!D11</f>
        <v>1052.99</v>
      </c>
      <c r="G16" s="490">
        <f>+'Панфилов ПУ'!E11</f>
        <v>692.96</v>
      </c>
      <c r="H16" s="249">
        <f>+'Каратальский ПУ'!D11</f>
        <v>182.965</v>
      </c>
      <c r="I16" s="249">
        <f>+'Каратальский ПУ'!E11</f>
        <v>191.02099999999999</v>
      </c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>
        <f>Ескелді!D11</f>
        <v>0</v>
      </c>
      <c r="U16" s="81">
        <f>Ескелді!E11</f>
        <v>11.092000000000001</v>
      </c>
      <c r="V16" s="478"/>
      <c r="W16" s="478"/>
      <c r="X16" s="487"/>
      <c r="Y16" s="487"/>
    </row>
    <row r="17" spans="1:51" ht="15" customHeight="1">
      <c r="A17" s="177" t="s">
        <v>101</v>
      </c>
      <c r="B17" s="173" t="s">
        <v>434</v>
      </c>
      <c r="C17" s="177" t="s">
        <v>38</v>
      </c>
      <c r="D17" s="178">
        <f t="shared" si="2"/>
        <v>854.94</v>
      </c>
      <c r="E17" s="178">
        <f t="shared" si="2"/>
        <v>1740.2159999999999</v>
      </c>
      <c r="F17" s="490"/>
      <c r="G17" s="490"/>
      <c r="H17" s="249"/>
      <c r="I17" s="249"/>
      <c r="J17" s="81"/>
      <c r="K17" s="81"/>
      <c r="L17" s="81"/>
      <c r="M17" s="81"/>
      <c r="N17" s="81"/>
      <c r="O17" s="81"/>
      <c r="P17" s="81">
        <f>+Алаколь!D12</f>
        <v>854.94</v>
      </c>
      <c r="Q17" s="81">
        <f>+Алаколь!E12</f>
        <v>1740.2159999999999</v>
      </c>
      <c r="R17" s="81"/>
      <c r="S17" s="81"/>
      <c r="T17" s="81"/>
      <c r="U17" s="81"/>
      <c r="V17" s="478"/>
      <c r="W17" s="478"/>
      <c r="X17" s="487"/>
      <c r="Y17" s="487"/>
    </row>
    <row r="18" spans="1:51" s="9" customFormat="1" ht="15" customHeight="1">
      <c r="A18" s="175">
        <v>2</v>
      </c>
      <c r="B18" s="193" t="s">
        <v>44</v>
      </c>
      <c r="C18" s="175" t="s">
        <v>38</v>
      </c>
      <c r="D18" s="6">
        <f t="shared" ref="D18:Y18" si="3">SUM(D19:D21)</f>
        <v>199926.74399999998</v>
      </c>
      <c r="E18" s="6">
        <f t="shared" si="3"/>
        <v>152637.864</v>
      </c>
      <c r="F18" s="252">
        <f t="shared" si="3"/>
        <v>23470.59</v>
      </c>
      <c r="G18" s="252">
        <f t="shared" si="3"/>
        <v>18450.089999999997</v>
      </c>
      <c r="H18" s="247">
        <f t="shared" si="3"/>
        <v>11308.268</v>
      </c>
      <c r="I18" s="247">
        <f t="shared" si="3"/>
        <v>10823.366</v>
      </c>
      <c r="J18" s="252">
        <f t="shared" si="3"/>
        <v>246.08999999999997</v>
      </c>
      <c r="K18" s="252">
        <f t="shared" si="3"/>
        <v>228.20000000000002</v>
      </c>
      <c r="L18" s="252">
        <f t="shared" si="3"/>
        <v>103.55</v>
      </c>
      <c r="M18" s="252">
        <f t="shared" si="3"/>
        <v>111.76</v>
      </c>
      <c r="N18" s="252">
        <f>SUM(N19:N21)</f>
        <v>26363.3</v>
      </c>
      <c r="O18" s="252">
        <f>SUM(O19:O21)</f>
        <v>22289.010999999999</v>
      </c>
      <c r="P18" s="252">
        <f t="shared" si="3"/>
        <v>32345.899999999998</v>
      </c>
      <c r="Q18" s="252">
        <f t="shared" si="3"/>
        <v>31572.440999999999</v>
      </c>
      <c r="R18" s="252">
        <f t="shared" si="3"/>
        <v>35786.913</v>
      </c>
      <c r="S18" s="252">
        <f t="shared" si="3"/>
        <v>23643.216</v>
      </c>
      <c r="T18" s="252">
        <f t="shared" si="3"/>
        <v>27961.083000000002</v>
      </c>
      <c r="U18" s="252">
        <f t="shared" si="3"/>
        <v>22690.809000000001</v>
      </c>
      <c r="V18" s="252">
        <f t="shared" si="3"/>
        <v>12782.2</v>
      </c>
      <c r="W18" s="252">
        <f t="shared" si="3"/>
        <v>10326.245999999999</v>
      </c>
      <c r="X18" s="252">
        <f t="shared" si="3"/>
        <v>29558.85</v>
      </c>
      <c r="Y18" s="252">
        <f t="shared" si="3"/>
        <v>12502.725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</row>
    <row r="19" spans="1:51" ht="14.25" customHeight="1">
      <c r="A19" s="177" t="s">
        <v>9</v>
      </c>
      <c r="B19" s="173" t="s">
        <v>415</v>
      </c>
      <c r="C19" s="177" t="s">
        <v>38</v>
      </c>
      <c r="D19" s="178">
        <f>F19+H19+J19+L19+N19+P19+R19+T19+V19+X19</f>
        <v>181754.86499999999</v>
      </c>
      <c r="E19" s="178">
        <f t="shared" ref="E19:E22" si="4">G19+I19+K19+M19+O19+Q19+S19+U19+W19+Y19</f>
        <v>137965.967</v>
      </c>
      <c r="F19" s="490">
        <f>+'Панфилов ПУ'!D13</f>
        <v>21245.71</v>
      </c>
      <c r="G19" s="490">
        <f>+'Панфилов ПУ'!E13</f>
        <v>16718.66</v>
      </c>
      <c r="H19" s="249">
        <f>'Каратальский ПУ'!D13</f>
        <v>10239.322</v>
      </c>
      <c r="I19" s="249">
        <v>9777.2080000000005</v>
      </c>
      <c r="J19" s="81">
        <f>+'Алмалы, Ащыбулак'!D11</f>
        <v>223.92</v>
      </c>
      <c r="K19" s="81">
        <f>+'Алмалы, Ащыбулак'!E11</f>
        <v>206.93</v>
      </c>
      <c r="L19" s="81">
        <f>+Акешки!D10</f>
        <v>92.97</v>
      </c>
      <c r="M19" s="81">
        <f>+Акешки!E10</f>
        <v>100.76</v>
      </c>
      <c r="N19" s="81">
        <f>Аксу!D13</f>
        <v>23988.44</v>
      </c>
      <c r="O19" s="81">
        <f>+Аксу!E13</f>
        <v>20142.478999999999</v>
      </c>
      <c r="P19" s="81">
        <f>+Алаколь!D14</f>
        <v>29432.12</v>
      </c>
      <c r="Q19" s="81">
        <f>+Алаколь!E14</f>
        <v>28529.811000000002</v>
      </c>
      <c r="R19" s="81">
        <f>+Коксу!D13</f>
        <v>32563.200000000001</v>
      </c>
      <c r="S19" s="81">
        <f>+Коксу!E13</f>
        <v>21357.56</v>
      </c>
      <c r="T19" s="81">
        <f>+Ескелді!D14</f>
        <v>25442.293000000001</v>
      </c>
      <c r="U19" s="81">
        <f>+Ескелді!E14</f>
        <v>20510.246000000003</v>
      </c>
      <c r="V19" s="478">
        <f>Талдык!D11</f>
        <v>11630.76</v>
      </c>
      <c r="W19" s="478">
        <f>Талдык!E11</f>
        <v>9336.3719999999994</v>
      </c>
      <c r="X19" s="487">
        <f>+Уйгур!D13</f>
        <v>26896.129999999997</v>
      </c>
      <c r="Y19" s="487">
        <f>+Уйгур!E13</f>
        <v>11285.941000000001</v>
      </c>
    </row>
    <row r="20" spans="1:51" ht="15" customHeight="1">
      <c r="A20" s="177" t="s">
        <v>10</v>
      </c>
      <c r="B20" s="173" t="s">
        <v>419</v>
      </c>
      <c r="C20" s="177" t="s">
        <v>38</v>
      </c>
      <c r="D20" s="178">
        <f>F20+H20+J20+L20+N20+P20+R20+T20+V20+X20</f>
        <v>17994.006000000001</v>
      </c>
      <c r="E20" s="178">
        <f t="shared" si="4"/>
        <v>14017.931</v>
      </c>
      <c r="F20" s="490">
        <f>+'Панфилов ПУ'!D14+'Панфилов ПУ'!D15</f>
        <v>2102.2600000000002</v>
      </c>
      <c r="G20" s="490">
        <f>+'Панфилов ПУ'!E14+'Панфилов ПУ'!E15</f>
        <v>1654.08</v>
      </c>
      <c r="H20" s="249">
        <f>'Каратальский ПУ'!D14</f>
        <v>1013.693</v>
      </c>
      <c r="I20" s="249">
        <v>998.43</v>
      </c>
      <c r="J20" s="81">
        <f>+'Алмалы, Ащыбулак'!D12</f>
        <v>22.17</v>
      </c>
      <c r="K20" s="81">
        <f>+'Алмалы, Ащыбулак'!E12</f>
        <v>21.27</v>
      </c>
      <c r="L20" s="81">
        <f>+Акешки!D11</f>
        <v>10.579999999999998</v>
      </c>
      <c r="M20" s="81">
        <f>+Акешки!E11</f>
        <v>11</v>
      </c>
      <c r="N20" s="81">
        <f>Аксу!D14</f>
        <v>2374.86</v>
      </c>
      <c r="O20" s="81">
        <f>+Аксу!E14</f>
        <v>2050.89</v>
      </c>
      <c r="P20" s="81">
        <f>+Алаколь!D15</f>
        <v>2913.7799999999997</v>
      </c>
      <c r="Q20" s="81">
        <f>+Алаколь!E15</f>
        <v>2898.6149999999998</v>
      </c>
      <c r="R20" s="81">
        <f>+Коксу!D14</f>
        <v>3223.7129999999997</v>
      </c>
      <c r="S20" s="81">
        <f>+Коксу!E14</f>
        <v>2177.4549999999999</v>
      </c>
      <c r="T20" s="474">
        <f>+Ескелді!D15</f>
        <v>2518.7900000000004</v>
      </c>
      <c r="U20" s="474">
        <f>+Ескелді!E15</f>
        <v>2094.029</v>
      </c>
      <c r="V20" s="478">
        <f>Талдык!D12</f>
        <v>1151.44</v>
      </c>
      <c r="W20" s="478">
        <f>Талдык!E12</f>
        <v>948.19399999999996</v>
      </c>
      <c r="X20" s="487">
        <f>+Уйгур!D14</f>
        <v>2662.72</v>
      </c>
      <c r="Y20" s="487">
        <f>+Уйгур!E14</f>
        <v>1163.9679999999998</v>
      </c>
    </row>
    <row r="21" spans="1:51" ht="15" customHeight="1">
      <c r="A21" s="177" t="s">
        <v>11</v>
      </c>
      <c r="B21" s="173" t="s">
        <v>174</v>
      </c>
      <c r="C21" s="177" t="s">
        <v>38</v>
      </c>
      <c r="D21" s="178">
        <f>F21+H21+J21+L21+N21+P21+R21+T21+V21+X21</f>
        <v>177.87299999999999</v>
      </c>
      <c r="E21" s="178">
        <f t="shared" si="4"/>
        <v>653.96600000000001</v>
      </c>
      <c r="F21" s="490">
        <f>+'Панфилов ПУ'!D16</f>
        <v>122.62</v>
      </c>
      <c r="G21" s="490">
        <f>+'Панфилов ПУ'!E16</f>
        <v>77.349999999999994</v>
      </c>
      <c r="H21" s="249">
        <f>'Каратальский ПУ'!D15</f>
        <v>55.253</v>
      </c>
      <c r="I21" s="249">
        <v>47.728000000000002</v>
      </c>
      <c r="J21" s="81"/>
      <c r="K21" s="81"/>
      <c r="L21" s="81"/>
      <c r="M21" s="81"/>
      <c r="N21" s="81">
        <f>Аксу!D15</f>
        <v>0</v>
      </c>
      <c r="O21" s="81">
        <f>+Аксу!E15</f>
        <v>95.641999999999996</v>
      </c>
      <c r="P21" s="81">
        <f>+Алаколь!D16</f>
        <v>0</v>
      </c>
      <c r="Q21" s="81">
        <f>+Алаколь!E16</f>
        <v>144.01500000000001</v>
      </c>
      <c r="R21" s="81">
        <f>+Коксу!D15</f>
        <v>0</v>
      </c>
      <c r="S21" s="81">
        <f>+Коксу!E15</f>
        <v>108.20099999999999</v>
      </c>
      <c r="T21" s="81">
        <f>+Ескелді!D16</f>
        <v>0</v>
      </c>
      <c r="U21" s="81">
        <f>+Ескелді!E16</f>
        <v>86.533999999999992</v>
      </c>
      <c r="V21" s="478">
        <f>Талдык!D13</f>
        <v>0</v>
      </c>
      <c r="W21" s="478">
        <f>Талдык!E13</f>
        <v>41.68</v>
      </c>
      <c r="X21" s="487">
        <f>+Уйгур!D15</f>
        <v>0</v>
      </c>
      <c r="Y21" s="487">
        <f>+Уйгур!E15</f>
        <v>52.816000000000003</v>
      </c>
    </row>
    <row r="22" spans="1:51" s="9" customFormat="1" ht="32.25" customHeight="1">
      <c r="A22" s="175">
        <v>3</v>
      </c>
      <c r="B22" s="193" t="s">
        <v>48</v>
      </c>
      <c r="C22" s="175" t="s">
        <v>38</v>
      </c>
      <c r="D22" s="178">
        <f>F22+H22+J22+L22+N22+P22+R22+T22+V22+X22</f>
        <v>46667.75</v>
      </c>
      <c r="E22" s="178">
        <f t="shared" si="4"/>
        <v>38576.747000000003</v>
      </c>
      <c r="F22" s="258">
        <f>+'Панфилов ПУ'!D17</f>
        <v>31161.03</v>
      </c>
      <c r="G22" s="258">
        <f>+'Панфилов ПУ'!E17</f>
        <v>28564</v>
      </c>
      <c r="H22" s="247">
        <f>'Каратальский ПУ'!D16</f>
        <v>4869.6000000000004</v>
      </c>
      <c r="I22" s="247">
        <v>40.656999999999996</v>
      </c>
      <c r="J22" s="258">
        <f>+'Алмалы, Ащыбулак'!D16</f>
        <v>180</v>
      </c>
      <c r="K22" s="258">
        <f>+'Алмалы, Ащыбулак'!E16</f>
        <v>183</v>
      </c>
      <c r="L22" s="258">
        <f>+Акешки!D12</f>
        <v>137.63</v>
      </c>
      <c r="M22" s="258">
        <f>+Акешки!E12</f>
        <v>154.96</v>
      </c>
      <c r="N22" s="258">
        <f>Аксу!D16</f>
        <v>845.6</v>
      </c>
      <c r="O22" s="258">
        <f>Аксу!E16</f>
        <v>775.13</v>
      </c>
      <c r="P22" s="252">
        <f>+Алаколь!D17</f>
        <v>3929.84</v>
      </c>
      <c r="Q22" s="252">
        <f>+Алаколь!E17</f>
        <v>3602</v>
      </c>
      <c r="R22" s="252">
        <f>+Коксу!D16</f>
        <v>3064.65</v>
      </c>
      <c r="S22" s="252">
        <f>+Коксу!E16</f>
        <v>2809</v>
      </c>
      <c r="T22" s="252">
        <f>+Ескелді!D17</f>
        <v>763.1</v>
      </c>
      <c r="U22" s="252">
        <f>+Ескелді!E17</f>
        <v>700</v>
      </c>
      <c r="V22" s="479">
        <f>+Талдык!D14</f>
        <v>0</v>
      </c>
      <c r="W22" s="479">
        <f>+Талдык!E14</f>
        <v>175</v>
      </c>
      <c r="X22" s="488">
        <f>+Уйгур!D16</f>
        <v>1716.3</v>
      </c>
      <c r="Y22" s="488">
        <f>+Уйгур!E16</f>
        <v>1573</v>
      </c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</row>
    <row r="23" spans="1:51" s="9" customFormat="1" ht="15" customHeight="1">
      <c r="A23" s="175">
        <v>4</v>
      </c>
      <c r="B23" s="193" t="s">
        <v>49</v>
      </c>
      <c r="C23" s="175" t="s">
        <v>38</v>
      </c>
      <c r="D23" s="6">
        <f>D24</f>
        <v>9725.59</v>
      </c>
      <c r="E23" s="6">
        <f t="shared" ref="E23:Y23" si="5">E24</f>
        <v>11800.86</v>
      </c>
      <c r="F23" s="252">
        <f t="shared" si="5"/>
        <v>0</v>
      </c>
      <c r="G23" s="252">
        <f t="shared" si="5"/>
        <v>0</v>
      </c>
      <c r="H23" s="247">
        <f t="shared" si="5"/>
        <v>555.87</v>
      </c>
      <c r="I23" s="247">
        <f t="shared" si="5"/>
        <v>216.68799999999999</v>
      </c>
      <c r="J23" s="252">
        <f t="shared" si="5"/>
        <v>155.36000000000001</v>
      </c>
      <c r="K23" s="252">
        <f t="shared" si="5"/>
        <v>0</v>
      </c>
      <c r="L23" s="252">
        <f t="shared" si="5"/>
        <v>0</v>
      </c>
      <c r="M23" s="252">
        <f t="shared" si="5"/>
        <v>0</v>
      </c>
      <c r="N23" s="252">
        <f>Аксу!D17</f>
        <v>1885.76</v>
      </c>
      <c r="O23" s="252">
        <f>Аксу!E17</f>
        <v>0</v>
      </c>
      <c r="P23" s="252">
        <f t="shared" si="5"/>
        <v>762.52</v>
      </c>
      <c r="Q23" s="252">
        <f t="shared" si="5"/>
        <v>3844.7089999999998</v>
      </c>
      <c r="R23" s="252">
        <f t="shared" si="5"/>
        <v>1284</v>
      </c>
      <c r="S23" s="252">
        <f t="shared" si="5"/>
        <v>0</v>
      </c>
      <c r="T23" s="252">
        <f t="shared" si="5"/>
        <v>2500</v>
      </c>
      <c r="U23" s="252">
        <f t="shared" si="5"/>
        <v>1445.173</v>
      </c>
      <c r="V23" s="252">
        <f t="shared" si="5"/>
        <v>1012.71</v>
      </c>
      <c r="W23" s="252">
        <f t="shared" si="5"/>
        <v>336.82400000000001</v>
      </c>
      <c r="X23" s="252">
        <f t="shared" si="5"/>
        <v>1569.37</v>
      </c>
      <c r="Y23" s="252">
        <f t="shared" si="5"/>
        <v>5957.4660000000003</v>
      </c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</row>
    <row r="24" spans="1:51" ht="15" customHeight="1">
      <c r="A24" s="181" t="s">
        <v>12</v>
      </c>
      <c r="B24" s="173" t="s">
        <v>416</v>
      </c>
      <c r="C24" s="177" t="s">
        <v>38</v>
      </c>
      <c r="D24" s="178">
        <f>F24+H24+J24+L24+N24+P24+R24+T24+V24+X24</f>
        <v>9725.59</v>
      </c>
      <c r="E24" s="178">
        <f>G24+I24+K24+M24+O24+Q24+S24+U24+W24+Y24</f>
        <v>11800.86</v>
      </c>
      <c r="F24" s="81"/>
      <c r="G24" s="81"/>
      <c r="H24" s="249">
        <f>'Каратальский ПУ'!D18</f>
        <v>555.87</v>
      </c>
      <c r="I24" s="249">
        <v>216.68799999999999</v>
      </c>
      <c r="J24" s="81">
        <f>+'Алмалы, Ащыбулак'!D18</f>
        <v>155.36000000000001</v>
      </c>
      <c r="K24" s="81">
        <f>+'Алмалы, Ащыбулак'!E18</f>
        <v>0</v>
      </c>
      <c r="L24" s="81"/>
      <c r="M24" s="81"/>
      <c r="N24" s="81">
        <f>Аксу!D18</f>
        <v>1885.76</v>
      </c>
      <c r="O24" s="81">
        <f>Аксу!E18</f>
        <v>0</v>
      </c>
      <c r="P24" s="81">
        <f>+Алаколь!D19</f>
        <v>762.52</v>
      </c>
      <c r="Q24" s="81">
        <f>+Алаколь!E19</f>
        <v>3844.7089999999998</v>
      </c>
      <c r="R24" s="81">
        <f>+Коксу!D18</f>
        <v>1284</v>
      </c>
      <c r="S24" s="81">
        <f>+Коксу!E18</f>
        <v>0</v>
      </c>
      <c r="T24" s="81">
        <f>+Ескелді!D19</f>
        <v>2500</v>
      </c>
      <c r="U24" s="81">
        <f>+Ескелді!E19</f>
        <v>1445.173</v>
      </c>
      <c r="V24" s="478">
        <f>Талдык!D16</f>
        <v>1012.71</v>
      </c>
      <c r="W24" s="478">
        <f>+Талдык!E16</f>
        <v>336.82400000000001</v>
      </c>
      <c r="X24" s="487">
        <f>+Уйгур!D18</f>
        <v>1569.37</v>
      </c>
      <c r="Y24" s="487">
        <f>+Уйгур!E18</f>
        <v>5957.4660000000003</v>
      </c>
    </row>
    <row r="25" spans="1:51" s="9" customFormat="1" ht="15" customHeight="1">
      <c r="A25" s="175">
        <v>5</v>
      </c>
      <c r="B25" s="193" t="s">
        <v>50</v>
      </c>
      <c r="C25" s="175" t="s">
        <v>38</v>
      </c>
      <c r="D25" s="6">
        <f t="shared" ref="D25:E25" si="6">SUM(D26:D36)</f>
        <v>11789.710000000001</v>
      </c>
      <c r="E25" s="6">
        <f t="shared" si="6"/>
        <v>10638.103999999999</v>
      </c>
      <c r="F25" s="252">
        <f>SUM(F26:F38)</f>
        <v>5320.1100000000006</v>
      </c>
      <c r="G25" s="252">
        <f t="shared" ref="G25:Y25" si="7">SUM(G26:G38)</f>
        <v>4939.57</v>
      </c>
      <c r="H25" s="252">
        <f t="shared" si="7"/>
        <v>425.03</v>
      </c>
      <c r="I25" s="252">
        <f t="shared" si="7"/>
        <v>348.435</v>
      </c>
      <c r="J25" s="252">
        <f t="shared" si="7"/>
        <v>0.31</v>
      </c>
      <c r="K25" s="252">
        <f t="shared" si="7"/>
        <v>92.35</v>
      </c>
      <c r="L25" s="252">
        <f t="shared" si="7"/>
        <v>0</v>
      </c>
      <c r="M25" s="252">
        <f t="shared" si="7"/>
        <v>32.450000000000003</v>
      </c>
      <c r="N25" s="252">
        <f t="shared" si="7"/>
        <v>1337.2199999999998</v>
      </c>
      <c r="O25" s="252">
        <f t="shared" si="7"/>
        <v>1535.4949999999999</v>
      </c>
      <c r="P25" s="252">
        <f t="shared" si="7"/>
        <v>1919.7599999999998</v>
      </c>
      <c r="Q25" s="252">
        <f t="shared" si="7"/>
        <v>2351.9049999999997</v>
      </c>
      <c r="R25" s="252">
        <f t="shared" si="7"/>
        <v>1494.7</v>
      </c>
      <c r="S25" s="252">
        <f t="shared" si="7"/>
        <v>135.999</v>
      </c>
      <c r="T25" s="252">
        <f t="shared" si="7"/>
        <v>356.15</v>
      </c>
      <c r="U25" s="252">
        <f t="shared" si="7"/>
        <v>313.73900000000003</v>
      </c>
      <c r="V25" s="252">
        <f t="shared" si="7"/>
        <v>368.48999999999995</v>
      </c>
      <c r="W25" s="252">
        <f t="shared" si="7"/>
        <v>507.16399999999999</v>
      </c>
      <c r="X25" s="252">
        <f t="shared" si="7"/>
        <v>700.06</v>
      </c>
      <c r="Y25" s="252">
        <f t="shared" si="7"/>
        <v>380.99700000000001</v>
      </c>
      <c r="Z25" s="7"/>
      <c r="AA25" s="7"/>
      <c r="AB25" s="7"/>
      <c r="AC25" s="72"/>
      <c r="AD25" s="7"/>
      <c r="AE25" s="7"/>
      <c r="AF25" s="7"/>
      <c r="AG25" s="7"/>
      <c r="AH25" s="7"/>
      <c r="AI25" s="7"/>
      <c r="AJ25" s="7"/>
      <c r="AK25" s="7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</row>
    <row r="26" spans="1:51" ht="15" customHeight="1">
      <c r="A26" s="181" t="s">
        <v>13</v>
      </c>
      <c r="B26" s="173" t="s">
        <v>151</v>
      </c>
      <c r="C26" s="177" t="s">
        <v>38</v>
      </c>
      <c r="D26" s="178">
        <f t="shared" ref="D26:E36" si="8">F26+H26+J26+L26+N26+P26+R26+T26+V26+X26</f>
        <v>1461.89</v>
      </c>
      <c r="E26" s="178">
        <f t="shared" si="8"/>
        <v>1187.173</v>
      </c>
      <c r="F26" s="490"/>
      <c r="G26" s="490"/>
      <c r="H26" s="249">
        <f>'Каратальский ПУ'!D20</f>
        <v>225</v>
      </c>
      <c r="I26" s="249">
        <v>206.62</v>
      </c>
      <c r="J26" s="81"/>
      <c r="K26" s="81"/>
      <c r="L26" s="81"/>
      <c r="M26" s="81"/>
      <c r="N26" s="81">
        <f>Аксу!D20</f>
        <v>197.21</v>
      </c>
      <c r="O26" s="81">
        <f>Аксу!E20</f>
        <v>195.82900000000001</v>
      </c>
      <c r="P26" s="81">
        <f>+Алаколь!D21</f>
        <v>244.5</v>
      </c>
      <c r="Q26" s="81">
        <f>+Алаколь!E21</f>
        <v>234.03</v>
      </c>
      <c r="R26" s="81">
        <f>+Коксу!D20</f>
        <v>377.73</v>
      </c>
      <c r="S26" s="81">
        <f>+Коксу!E20</f>
        <v>0</v>
      </c>
      <c r="T26" s="81">
        <f>+Ескелді!D22</f>
        <v>0</v>
      </c>
      <c r="U26" s="81">
        <f>+Ескелді!E22</f>
        <v>140.38800000000001</v>
      </c>
      <c r="V26" s="478">
        <f>Талдык!D18</f>
        <v>205.51</v>
      </c>
      <c r="W26" s="478">
        <f>+Талдык!E18</f>
        <v>164.32300000000001</v>
      </c>
      <c r="X26" s="487">
        <f>+Уйгур!D24</f>
        <v>211.94</v>
      </c>
      <c r="Y26" s="487">
        <f>+Уйгур!E24</f>
        <v>245.983</v>
      </c>
    </row>
    <row r="27" spans="1:51" ht="15" customHeight="1">
      <c r="A27" s="181" t="s">
        <v>14</v>
      </c>
      <c r="B27" s="173" t="s">
        <v>204</v>
      </c>
      <c r="C27" s="177" t="s">
        <v>38</v>
      </c>
      <c r="D27" s="178">
        <f t="shared" si="8"/>
        <v>1565.11</v>
      </c>
      <c r="E27" s="178">
        <f t="shared" si="8"/>
        <v>1159.7860000000001</v>
      </c>
      <c r="F27" s="490">
        <f>+'Панфилов ПУ'!D19</f>
        <v>1420.6</v>
      </c>
      <c r="G27" s="490">
        <f>+'Панфилов ПУ'!E19</f>
        <v>1106.1600000000001</v>
      </c>
      <c r="H27" s="249">
        <f>'Каратальский ПУ'!D21</f>
        <v>16.8</v>
      </c>
      <c r="I27" s="249">
        <f>'Каратальский ПУ'!E21</f>
        <v>16.8</v>
      </c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>
        <f>+Ескелді!D21</f>
        <v>127.71</v>
      </c>
      <c r="U27" s="81">
        <f>+Ескелді!E21</f>
        <v>13.852</v>
      </c>
      <c r="V27" s="478"/>
      <c r="W27" s="478"/>
      <c r="X27" s="487">
        <f>+Уйгур!D25</f>
        <v>0</v>
      </c>
      <c r="Y27" s="487">
        <f>+Уйгур!E25</f>
        <v>22.974</v>
      </c>
    </row>
    <row r="28" spans="1:51" ht="15" customHeight="1">
      <c r="A28" s="181" t="s">
        <v>53</v>
      </c>
      <c r="B28" s="173" t="s">
        <v>119</v>
      </c>
      <c r="C28" s="177" t="s">
        <v>38</v>
      </c>
      <c r="D28" s="178">
        <f t="shared" si="8"/>
        <v>1550.5100000000002</v>
      </c>
      <c r="E28" s="178">
        <f t="shared" si="8"/>
        <v>817.59999999999991</v>
      </c>
      <c r="F28" s="490">
        <f>+'Панфилов ПУ'!D20</f>
        <v>123.1</v>
      </c>
      <c r="G28" s="490">
        <f>+'Панфилов ПУ'!E20</f>
        <v>123.1</v>
      </c>
      <c r="H28" s="249">
        <f>'Каратальский ПУ'!D22</f>
        <v>88.35</v>
      </c>
      <c r="I28" s="249">
        <f>'Каратальский ПУ'!E22</f>
        <v>88.35</v>
      </c>
      <c r="J28" s="490">
        <f>+'Алмалы, Ащыбулак'!D14</f>
        <v>0</v>
      </c>
      <c r="K28" s="490">
        <f>+'Алмалы, Ащыбулак'!E14</f>
        <v>92.35</v>
      </c>
      <c r="L28" s="490">
        <f>+Акешки!D14</f>
        <v>0</v>
      </c>
      <c r="M28" s="490">
        <f>+Акешки!E14</f>
        <v>32.450000000000003</v>
      </c>
      <c r="N28" s="490">
        <f>Аксу!D21</f>
        <v>195.05</v>
      </c>
      <c r="O28" s="490">
        <f>Аксу!E21</f>
        <v>162.60000000000002</v>
      </c>
      <c r="P28" s="490">
        <f>+Алаколь!D22</f>
        <v>280.77</v>
      </c>
      <c r="Q28" s="490">
        <f>+Алаколь!E22</f>
        <v>0</v>
      </c>
      <c r="R28" s="81">
        <f>+Коксу!D23</f>
        <v>454.4</v>
      </c>
      <c r="S28" s="81">
        <f>+Коксу!E23</f>
        <v>0</v>
      </c>
      <c r="T28" s="81">
        <f>+Ескелді!D25</f>
        <v>57.68</v>
      </c>
      <c r="U28" s="81">
        <f>+Ескелді!E25</f>
        <v>127.05000000000001</v>
      </c>
      <c r="V28" s="478">
        <f>Талдык!D19</f>
        <v>104.16</v>
      </c>
      <c r="W28" s="478">
        <f>Талдык!E19</f>
        <v>191.7</v>
      </c>
      <c r="X28" s="487">
        <f>+Уйгур!D20</f>
        <v>247</v>
      </c>
      <c r="Y28" s="487">
        <f>+Уйгур!E20</f>
        <v>0</v>
      </c>
    </row>
    <row r="29" spans="1:51" ht="15" customHeight="1">
      <c r="A29" s="181" t="s">
        <v>15</v>
      </c>
      <c r="B29" s="173" t="s">
        <v>464</v>
      </c>
      <c r="C29" s="177" t="s">
        <v>38</v>
      </c>
      <c r="D29" s="178">
        <f t="shared" si="8"/>
        <v>44.92</v>
      </c>
      <c r="E29" s="178">
        <f t="shared" si="8"/>
        <v>44.9</v>
      </c>
      <c r="F29" s="490"/>
      <c r="G29" s="490"/>
      <c r="H29" s="249"/>
      <c r="I29" s="249"/>
      <c r="J29" s="490"/>
      <c r="K29" s="490"/>
      <c r="L29" s="490"/>
      <c r="M29" s="490"/>
      <c r="N29" s="490"/>
      <c r="O29" s="490"/>
      <c r="P29" s="490"/>
      <c r="Q29" s="490"/>
      <c r="R29" s="81">
        <f>+Коксу!D22</f>
        <v>22.46</v>
      </c>
      <c r="S29" s="81">
        <f>+Коксу!E22</f>
        <v>0</v>
      </c>
      <c r="T29" s="81">
        <f>+Ескелді!D26</f>
        <v>0</v>
      </c>
      <c r="U29" s="81">
        <f>+Ескелді!E26</f>
        <v>22.45</v>
      </c>
      <c r="V29" s="478">
        <f>Талдык!D21</f>
        <v>0</v>
      </c>
      <c r="W29" s="478">
        <f>Талдык!E21</f>
        <v>22.45</v>
      </c>
      <c r="X29" s="487">
        <f>+Уйгур!D22</f>
        <v>22.46</v>
      </c>
      <c r="Y29" s="487">
        <f>+Уйгур!E22</f>
        <v>0</v>
      </c>
    </row>
    <row r="30" spans="1:51" ht="15" customHeight="1">
      <c r="A30" s="181" t="s">
        <v>55</v>
      </c>
      <c r="B30" s="179" t="s">
        <v>207</v>
      </c>
      <c r="C30" s="177" t="s">
        <v>38</v>
      </c>
      <c r="D30" s="178">
        <f t="shared" si="8"/>
        <v>3043.94</v>
      </c>
      <c r="E30" s="178">
        <f t="shared" si="8"/>
        <v>3212.7</v>
      </c>
      <c r="F30" s="490">
        <f>+'Панфилов ПУ'!D21</f>
        <v>2654.31</v>
      </c>
      <c r="G30" s="490">
        <f>+'Панфилов ПУ'!E21</f>
        <v>2658.14</v>
      </c>
      <c r="H30" s="249"/>
      <c r="I30" s="249"/>
      <c r="J30" s="490"/>
      <c r="K30" s="490"/>
      <c r="L30" s="490"/>
      <c r="M30" s="490"/>
      <c r="N30" s="490">
        <f>Аксу!D23</f>
        <v>178.16</v>
      </c>
      <c r="O30" s="490">
        <f>Аксу!E23</f>
        <v>304.04599999999999</v>
      </c>
      <c r="P30" s="490">
        <f>+Алаколь!D25</f>
        <v>1.34</v>
      </c>
      <c r="Q30" s="490">
        <f>+Алаколь!E25</f>
        <v>217.82400000000001</v>
      </c>
      <c r="R30" s="81"/>
      <c r="S30" s="81"/>
      <c r="T30" s="250"/>
      <c r="U30" s="250"/>
      <c r="V30" s="480"/>
      <c r="W30" s="480"/>
      <c r="X30" s="487">
        <f>+Уйгур!D23</f>
        <v>210.13</v>
      </c>
      <c r="Y30" s="487">
        <f>+Уйгур!E23</f>
        <v>32.69</v>
      </c>
    </row>
    <row r="31" spans="1:51" ht="15" customHeight="1">
      <c r="A31" s="181" t="s">
        <v>17</v>
      </c>
      <c r="B31" s="179" t="s">
        <v>209</v>
      </c>
      <c r="C31" s="177" t="s">
        <v>38</v>
      </c>
      <c r="D31" s="178">
        <f t="shared" si="8"/>
        <v>409.49</v>
      </c>
      <c r="E31" s="178">
        <f t="shared" si="8"/>
        <v>383.42399999999998</v>
      </c>
      <c r="F31" s="490">
        <f>+'Панфилов ПУ'!D22</f>
        <v>315.68</v>
      </c>
      <c r="G31" s="490">
        <f>+'Панфилов ПУ'!E22</f>
        <v>315.68</v>
      </c>
      <c r="H31" s="249"/>
      <c r="I31" s="249"/>
      <c r="J31" s="490"/>
      <c r="K31" s="490"/>
      <c r="L31" s="490"/>
      <c r="M31" s="490"/>
      <c r="N31" s="490"/>
      <c r="O31" s="490"/>
      <c r="P31" s="490">
        <f>+Алаколь!D28</f>
        <v>47.5</v>
      </c>
      <c r="Q31" s="490">
        <f>+Алаколь!E28</f>
        <v>67.744</v>
      </c>
      <c r="R31" s="81"/>
      <c r="S31" s="81"/>
      <c r="T31" s="81">
        <f>+Ескелді!D27</f>
        <v>46.31</v>
      </c>
      <c r="U31" s="81">
        <f>+Ескелді!E27</f>
        <v>0</v>
      </c>
      <c r="V31" s="480"/>
      <c r="W31" s="480"/>
      <c r="X31" s="487"/>
      <c r="Y31" s="486"/>
    </row>
    <row r="32" spans="1:51" ht="15" customHeight="1">
      <c r="A32" s="181" t="s">
        <v>18</v>
      </c>
      <c r="B32" s="179" t="s">
        <v>465</v>
      </c>
      <c r="C32" s="177" t="s">
        <v>38</v>
      </c>
      <c r="D32" s="178">
        <f t="shared" si="8"/>
        <v>75.5</v>
      </c>
      <c r="E32" s="178">
        <f t="shared" si="8"/>
        <v>75.3</v>
      </c>
      <c r="F32" s="490">
        <f>+'Панфилов ПУ'!D23</f>
        <v>63</v>
      </c>
      <c r="G32" s="490">
        <f>+'Панфилов ПУ'!E23</f>
        <v>63</v>
      </c>
      <c r="H32" s="249"/>
      <c r="I32" s="249"/>
      <c r="J32" s="490"/>
      <c r="K32" s="490"/>
      <c r="L32" s="490"/>
      <c r="M32" s="490"/>
      <c r="N32" s="490"/>
      <c r="O32" s="490"/>
      <c r="P32" s="490">
        <f>+Алаколь!D27</f>
        <v>12.5</v>
      </c>
      <c r="Q32" s="490">
        <f>+Алаколь!E27</f>
        <v>12.3</v>
      </c>
      <c r="R32" s="81"/>
      <c r="S32" s="81"/>
      <c r="T32" s="81"/>
      <c r="U32" s="81"/>
      <c r="V32" s="480"/>
      <c r="W32" s="480"/>
      <c r="X32" s="487"/>
      <c r="Y32" s="486"/>
    </row>
    <row r="33" spans="1:51" ht="15" customHeight="1">
      <c r="A33" s="181" t="s">
        <v>19</v>
      </c>
      <c r="B33" s="173" t="s">
        <v>56</v>
      </c>
      <c r="C33" s="177" t="s">
        <v>38</v>
      </c>
      <c r="D33" s="178">
        <f t="shared" si="8"/>
        <v>634.34999999999991</v>
      </c>
      <c r="E33" s="178">
        <f t="shared" si="8"/>
        <v>606.63</v>
      </c>
      <c r="F33" s="490">
        <f>+'Панфилов ПУ'!D24</f>
        <v>604.04</v>
      </c>
      <c r="G33" s="490">
        <f>+'Панфилов ПУ'!E24</f>
        <v>549.71</v>
      </c>
      <c r="H33" s="249">
        <f>'Каратальский ПУ'!D23</f>
        <v>30</v>
      </c>
      <c r="I33" s="249">
        <f>'Каратальский ПУ'!E23</f>
        <v>0</v>
      </c>
      <c r="J33" s="490">
        <f>+'Алмалы, Ащыбулак'!D15</f>
        <v>0.31</v>
      </c>
      <c r="K33" s="490">
        <f>+'Алмалы, Ащыбулак'!E15</f>
        <v>0</v>
      </c>
      <c r="L33" s="490"/>
      <c r="M33" s="490"/>
      <c r="N33" s="490"/>
      <c r="O33" s="490"/>
      <c r="P33" s="490"/>
      <c r="Q33" s="490"/>
      <c r="R33" s="81"/>
      <c r="S33" s="81"/>
      <c r="T33" s="81"/>
      <c r="U33" s="81"/>
      <c r="V33" s="478"/>
      <c r="W33" s="478"/>
      <c r="X33" s="487">
        <f>+Уйгур!D26</f>
        <v>0</v>
      </c>
      <c r="Y33" s="487">
        <f>+Уйгур!E26</f>
        <v>56.92</v>
      </c>
    </row>
    <row r="34" spans="1:51" ht="26.25" customHeight="1">
      <c r="A34" s="181" t="s">
        <v>358</v>
      </c>
      <c r="B34" s="173" t="s">
        <v>215</v>
      </c>
      <c r="C34" s="177" t="s">
        <v>38</v>
      </c>
      <c r="D34" s="178">
        <f t="shared" si="8"/>
        <v>1271.1499999999999</v>
      </c>
      <c r="E34" s="178">
        <f t="shared" si="8"/>
        <v>674.00099999999998</v>
      </c>
      <c r="F34" s="490">
        <f>+'Панфилов ПУ'!D25</f>
        <v>139.38</v>
      </c>
      <c r="G34" s="490">
        <f>+'Панфилов ПУ'!E25</f>
        <v>123.78</v>
      </c>
      <c r="H34" s="249">
        <f>'Каратальский ПУ'!D24</f>
        <v>64.88</v>
      </c>
      <c r="I34" s="249">
        <f>'Каратальский ПУ'!E24</f>
        <v>36.664999999999999</v>
      </c>
      <c r="J34" s="490"/>
      <c r="K34" s="490"/>
      <c r="L34" s="490"/>
      <c r="M34" s="490"/>
      <c r="N34" s="490">
        <f>Аксу!D22</f>
        <v>25.55</v>
      </c>
      <c r="O34" s="490">
        <f>Аксу!E22</f>
        <v>132</v>
      </c>
      <c r="P34" s="490">
        <f>+Алаколь!D23</f>
        <v>329.43</v>
      </c>
      <c r="Q34" s="490">
        <f>+Алаколь!E23</f>
        <v>134.93700000000001</v>
      </c>
      <c r="R34" s="81">
        <f>+Коксу!D21</f>
        <v>640.11</v>
      </c>
      <c r="S34" s="81">
        <f>+Коксу!E21</f>
        <v>135.999</v>
      </c>
      <c r="T34" s="81">
        <f>+Ескелді!D24</f>
        <v>4.45</v>
      </c>
      <c r="U34" s="81">
        <f>+Ескелді!E24</f>
        <v>9.9990000000000006</v>
      </c>
      <c r="V34" s="478">
        <f>Талдык!D20</f>
        <v>58.82</v>
      </c>
      <c r="W34" s="478">
        <f>Талдык!E20</f>
        <v>78.191000000000003</v>
      </c>
      <c r="X34" s="487">
        <f>+Уйгур!D21</f>
        <v>8.5299999999999994</v>
      </c>
      <c r="Y34" s="487">
        <f>+Уйгур!E21</f>
        <v>22.43</v>
      </c>
    </row>
    <row r="35" spans="1:51" ht="15" customHeight="1">
      <c r="A35" s="181" t="s">
        <v>359</v>
      </c>
      <c r="B35" s="182" t="s">
        <v>466</v>
      </c>
      <c r="C35" s="177" t="s">
        <v>38</v>
      </c>
      <c r="D35" s="178">
        <f t="shared" si="8"/>
        <v>0</v>
      </c>
      <c r="E35" s="178">
        <f t="shared" si="8"/>
        <v>50.5</v>
      </c>
      <c r="F35" s="501"/>
      <c r="G35" s="501"/>
      <c r="H35" s="254"/>
      <c r="I35" s="254"/>
      <c r="J35" s="501"/>
      <c r="K35" s="501"/>
      <c r="L35" s="501"/>
      <c r="M35" s="501"/>
      <c r="N35" s="501"/>
      <c r="O35" s="501"/>
      <c r="P35" s="501"/>
      <c r="Q35" s="501"/>
      <c r="R35" s="502"/>
      <c r="S35" s="502"/>
      <c r="T35" s="253"/>
      <c r="U35" s="253"/>
      <c r="V35" s="481">
        <f>Талдык!D22</f>
        <v>0</v>
      </c>
      <c r="W35" s="481">
        <f>+Талдык!E22</f>
        <v>50.5</v>
      </c>
      <c r="X35" s="481"/>
      <c r="Y35" s="481"/>
    </row>
    <row r="36" spans="1:51" ht="25.5">
      <c r="A36" s="181" t="s">
        <v>20</v>
      </c>
      <c r="B36" s="183" t="s">
        <v>425</v>
      </c>
      <c r="C36" s="184" t="s">
        <v>57</v>
      </c>
      <c r="D36" s="178">
        <f t="shared" si="8"/>
        <v>1732.85</v>
      </c>
      <c r="E36" s="178">
        <f t="shared" si="8"/>
        <v>2426.09</v>
      </c>
      <c r="F36" s="490"/>
      <c r="G36" s="490"/>
      <c r="H36" s="249"/>
      <c r="I36" s="249"/>
      <c r="J36" s="490"/>
      <c r="K36" s="490"/>
      <c r="L36" s="490"/>
      <c r="M36" s="490"/>
      <c r="N36" s="490">
        <f>Аксу!D24</f>
        <v>741.25</v>
      </c>
      <c r="O36" s="490">
        <f>Аксу!E24</f>
        <v>741.02</v>
      </c>
      <c r="P36" s="490">
        <f>+Алаколь!D26</f>
        <v>991.6</v>
      </c>
      <c r="Q36" s="490">
        <f>+Алаколь!E26</f>
        <v>1685.07</v>
      </c>
      <c r="R36" s="81"/>
      <c r="S36" s="81"/>
      <c r="T36" s="81"/>
      <c r="U36" s="81"/>
      <c r="V36" s="480"/>
      <c r="W36" s="480"/>
      <c r="X36" s="486"/>
      <c r="Y36" s="486"/>
    </row>
    <row r="37" spans="1:51">
      <c r="A37" s="181"/>
      <c r="B37" s="183" t="s">
        <v>135</v>
      </c>
      <c r="C37" s="184" t="s">
        <v>57</v>
      </c>
      <c r="D37" s="178"/>
      <c r="E37" s="178"/>
      <c r="F37" s="490"/>
      <c r="G37" s="490"/>
      <c r="H37" s="249"/>
      <c r="I37" s="249"/>
      <c r="J37" s="490"/>
      <c r="K37" s="490"/>
      <c r="L37" s="490"/>
      <c r="M37" s="490"/>
      <c r="N37" s="490"/>
      <c r="O37" s="490"/>
      <c r="P37" s="490">
        <f>+Алаколь!D24</f>
        <v>12.12</v>
      </c>
      <c r="Q37" s="490">
        <f>+Алаколь!E24</f>
        <v>0</v>
      </c>
      <c r="R37" s="81"/>
      <c r="S37" s="81"/>
      <c r="T37" s="81"/>
      <c r="U37" s="81"/>
      <c r="V37" s="480"/>
      <c r="W37" s="480"/>
      <c r="X37" s="486"/>
      <c r="Y37" s="486"/>
    </row>
    <row r="38" spans="1:51">
      <c r="A38" s="181"/>
      <c r="B38" s="183" t="s">
        <v>176</v>
      </c>
      <c r="C38" s="184" t="s">
        <v>57</v>
      </c>
      <c r="D38" s="178"/>
      <c r="E38" s="178"/>
      <c r="F38" s="490"/>
      <c r="G38" s="490"/>
      <c r="H38" s="249"/>
      <c r="I38" s="249"/>
      <c r="J38" s="490"/>
      <c r="K38" s="490"/>
      <c r="L38" s="490"/>
      <c r="M38" s="490"/>
      <c r="N38" s="490"/>
      <c r="O38" s="490"/>
      <c r="P38" s="490"/>
      <c r="Q38" s="490"/>
      <c r="R38" s="81"/>
      <c r="S38" s="81"/>
      <c r="T38" s="81">
        <f>+Ескелді!D23</f>
        <v>120</v>
      </c>
      <c r="U38" s="81">
        <f>+Ескелді!E23</f>
        <v>0</v>
      </c>
      <c r="V38" s="480"/>
      <c r="W38" s="480"/>
      <c r="X38" s="486"/>
      <c r="Y38" s="486"/>
    </row>
    <row r="39" spans="1:51" s="9" customFormat="1" ht="15" customHeight="1">
      <c r="A39" s="192" t="s">
        <v>58</v>
      </c>
      <c r="B39" s="193" t="s">
        <v>59</v>
      </c>
      <c r="C39" s="175" t="s">
        <v>38</v>
      </c>
      <c r="D39" s="6">
        <f t="shared" ref="D39:Y39" si="9">D41+D45+D46+D47+D57</f>
        <v>78399.222999999998</v>
      </c>
      <c r="E39" s="6">
        <f t="shared" si="9"/>
        <v>81304.987579999986</v>
      </c>
      <c r="F39" s="252">
        <f t="shared" si="9"/>
        <v>23671.32</v>
      </c>
      <c r="G39" s="252">
        <f t="shared" si="9"/>
        <v>20400.370000000003</v>
      </c>
      <c r="H39" s="247">
        <f t="shared" si="9"/>
        <v>9339.6839999999993</v>
      </c>
      <c r="I39" s="247">
        <f t="shared" si="9"/>
        <v>9052.5339999999997</v>
      </c>
      <c r="J39" s="252">
        <f t="shared" si="9"/>
        <v>101.95</v>
      </c>
      <c r="K39" s="252">
        <f t="shared" si="9"/>
        <v>32.347999999999999</v>
      </c>
      <c r="L39" s="252">
        <f t="shared" si="9"/>
        <v>27.759999999999998</v>
      </c>
      <c r="M39" s="252">
        <f t="shared" si="9"/>
        <v>33.454000000000001</v>
      </c>
      <c r="N39" s="252">
        <f t="shared" si="9"/>
        <v>5753.4559999999992</v>
      </c>
      <c r="O39" s="252">
        <f t="shared" si="9"/>
        <v>9797.3468000000012</v>
      </c>
      <c r="P39" s="252">
        <f t="shared" si="9"/>
        <v>8872.1860000000015</v>
      </c>
      <c r="Q39" s="252">
        <f t="shared" ref="Q39" si="10">Q41+Q45+Q46+Q47+Q57</f>
        <v>9759.9069999999992</v>
      </c>
      <c r="R39" s="252">
        <f t="shared" si="9"/>
        <v>8468.6400000000012</v>
      </c>
      <c r="S39" s="252">
        <f t="shared" si="9"/>
        <v>7001.5179999999982</v>
      </c>
      <c r="T39" s="252">
        <f t="shared" si="9"/>
        <v>7734.46</v>
      </c>
      <c r="U39" s="247">
        <f t="shared" si="9"/>
        <v>8291.0910000000003</v>
      </c>
      <c r="V39" s="252">
        <f t="shared" si="9"/>
        <v>5254.2270000000008</v>
      </c>
      <c r="W39" s="252">
        <f t="shared" si="9"/>
        <v>7638.7507800000003</v>
      </c>
      <c r="X39" s="252">
        <f t="shared" si="9"/>
        <v>9175.5399999999991</v>
      </c>
      <c r="Y39" s="252">
        <f t="shared" si="9"/>
        <v>9336.2729999999992</v>
      </c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</row>
    <row r="40" spans="1:51" s="9" customFormat="1" ht="15" customHeight="1">
      <c r="A40" s="192" t="s">
        <v>60</v>
      </c>
      <c r="B40" s="193" t="s">
        <v>61</v>
      </c>
      <c r="C40" s="175" t="s">
        <v>38</v>
      </c>
      <c r="D40" s="6">
        <f t="shared" ref="D40:Y40" si="11">D41+D45+D46+D47+D57</f>
        <v>78399.222999999998</v>
      </c>
      <c r="E40" s="6">
        <f t="shared" si="11"/>
        <v>81304.987579999986</v>
      </c>
      <c r="F40" s="252">
        <f t="shared" si="11"/>
        <v>23671.32</v>
      </c>
      <c r="G40" s="252">
        <f t="shared" si="11"/>
        <v>20400.370000000003</v>
      </c>
      <c r="H40" s="247">
        <f t="shared" si="11"/>
        <v>9339.6839999999993</v>
      </c>
      <c r="I40" s="247">
        <f t="shared" si="11"/>
        <v>9052.5339999999997</v>
      </c>
      <c r="J40" s="252">
        <f t="shared" si="11"/>
        <v>101.95</v>
      </c>
      <c r="K40" s="252">
        <f t="shared" si="11"/>
        <v>32.347999999999999</v>
      </c>
      <c r="L40" s="252">
        <f t="shared" si="11"/>
        <v>27.759999999999998</v>
      </c>
      <c r="M40" s="252">
        <f t="shared" si="11"/>
        <v>33.454000000000001</v>
      </c>
      <c r="N40" s="252">
        <f t="shared" si="11"/>
        <v>5753.4559999999992</v>
      </c>
      <c r="O40" s="252">
        <f t="shared" si="11"/>
        <v>9797.3468000000012</v>
      </c>
      <c r="P40" s="252">
        <f t="shared" si="11"/>
        <v>8872.1860000000015</v>
      </c>
      <c r="Q40" s="252">
        <f t="shared" ref="Q40" si="12">Q41+Q45+Q46+Q47+Q57</f>
        <v>9759.9069999999992</v>
      </c>
      <c r="R40" s="252">
        <f t="shared" si="11"/>
        <v>8468.6400000000012</v>
      </c>
      <c r="S40" s="252">
        <f t="shared" si="11"/>
        <v>7001.5179999999982</v>
      </c>
      <c r="T40" s="252">
        <f t="shared" si="11"/>
        <v>7734.46</v>
      </c>
      <c r="U40" s="247">
        <f t="shared" si="11"/>
        <v>8291.0910000000003</v>
      </c>
      <c r="V40" s="252">
        <f t="shared" si="11"/>
        <v>5254.2270000000008</v>
      </c>
      <c r="W40" s="252">
        <f>W41+W45+W46+W47+W57</f>
        <v>7638.7507800000003</v>
      </c>
      <c r="X40" s="252">
        <f t="shared" si="11"/>
        <v>9175.5399999999991</v>
      </c>
      <c r="Y40" s="252">
        <f t="shared" si="11"/>
        <v>9336.2729999999992</v>
      </c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</row>
    <row r="41" spans="1:51" s="9" customFormat="1" ht="15" customHeight="1">
      <c r="A41" s="192" t="s">
        <v>21</v>
      </c>
      <c r="B41" s="193" t="s">
        <v>44</v>
      </c>
      <c r="C41" s="175" t="s">
        <v>38</v>
      </c>
      <c r="D41" s="6">
        <f t="shared" ref="D41:Y41" si="13">SUM(D42:D44)</f>
        <v>58680.424999999996</v>
      </c>
      <c r="E41" s="6">
        <f t="shared" si="13"/>
        <v>55594.944999999992</v>
      </c>
      <c r="F41" s="252">
        <f t="shared" si="13"/>
        <v>15192.57</v>
      </c>
      <c r="G41" s="252">
        <f t="shared" si="13"/>
        <v>12412.240000000002</v>
      </c>
      <c r="H41" s="247">
        <f t="shared" si="13"/>
        <v>8074.8949999999995</v>
      </c>
      <c r="I41" s="247">
        <f t="shared" si="13"/>
        <v>7824.44</v>
      </c>
      <c r="J41" s="252">
        <f t="shared" si="13"/>
        <v>0</v>
      </c>
      <c r="K41" s="252">
        <f t="shared" si="13"/>
        <v>0</v>
      </c>
      <c r="L41" s="252">
        <f t="shared" si="13"/>
        <v>0</v>
      </c>
      <c r="M41" s="252">
        <f t="shared" si="13"/>
        <v>0</v>
      </c>
      <c r="N41" s="252">
        <f t="shared" si="13"/>
        <v>4220.4799999999996</v>
      </c>
      <c r="O41" s="252">
        <f t="shared" si="13"/>
        <v>6129.2260000000006</v>
      </c>
      <c r="P41" s="252">
        <f t="shared" si="13"/>
        <v>5941.1900000000005</v>
      </c>
      <c r="Q41" s="252">
        <f t="shared" si="13"/>
        <v>5712.7789999999995</v>
      </c>
      <c r="R41" s="252">
        <f t="shared" si="13"/>
        <v>6823.6500000000005</v>
      </c>
      <c r="S41" s="252">
        <f t="shared" si="13"/>
        <v>5157.5949999999993</v>
      </c>
      <c r="T41" s="252">
        <f t="shared" si="13"/>
        <v>6330.71</v>
      </c>
      <c r="U41" s="252">
        <f t="shared" si="13"/>
        <v>6878.2420000000002</v>
      </c>
      <c r="V41" s="252">
        <f>SUM(V42:V44)</f>
        <v>4711.13</v>
      </c>
      <c r="W41" s="252">
        <f>SUM(W42:W44)</f>
        <v>6363.2719999999999</v>
      </c>
      <c r="X41" s="252">
        <f t="shared" si="13"/>
        <v>7385.8</v>
      </c>
      <c r="Y41" s="252">
        <f t="shared" si="13"/>
        <v>5117.1509999999989</v>
      </c>
      <c r="Z41" s="7"/>
      <c r="AA41" s="7"/>
      <c r="AB41" s="77"/>
      <c r="AC41" s="7"/>
      <c r="AD41" s="7"/>
      <c r="AE41" s="7"/>
      <c r="AF41" s="7"/>
      <c r="AG41" s="7"/>
      <c r="AH41" s="7"/>
      <c r="AI41" s="7"/>
      <c r="AJ41" s="7"/>
      <c r="AK41" s="7"/>
      <c r="AL41" s="8"/>
      <c r="AM41" s="8"/>
      <c r="AN41" s="8">
        <v>44921.27</v>
      </c>
      <c r="AO41" s="8">
        <v>49358.538780000003</v>
      </c>
      <c r="AP41" s="8"/>
      <c r="AQ41" s="8"/>
      <c r="AR41" s="8"/>
      <c r="AS41" s="8"/>
      <c r="AT41" s="8"/>
      <c r="AU41" s="8"/>
      <c r="AV41" s="8"/>
      <c r="AW41" s="8"/>
      <c r="AX41" s="8"/>
      <c r="AY41" s="8"/>
    </row>
    <row r="42" spans="1:51" ht="15" customHeight="1">
      <c r="A42" s="181" t="s">
        <v>62</v>
      </c>
      <c r="B42" s="173" t="s">
        <v>125</v>
      </c>
      <c r="C42" s="177" t="s">
        <v>38</v>
      </c>
      <c r="D42" s="178">
        <f t="shared" ref="D42:E46" si="14">F42+H42+J42+L42+N42+P42+R42+T42+V42+X42</f>
        <v>53293.300999999999</v>
      </c>
      <c r="E42" s="178">
        <f t="shared" si="14"/>
        <v>50328.381999999998</v>
      </c>
      <c r="F42" s="490">
        <f>+'Панфилов ПУ'!D30</f>
        <v>13757.05</v>
      </c>
      <c r="G42" s="490">
        <f>+'Панфилов ПУ'!E30</f>
        <v>11268.2</v>
      </c>
      <c r="H42" s="249">
        <f>'Каратальский ПУ'!D27</f>
        <v>7313.3509999999997</v>
      </c>
      <c r="I42" s="249">
        <v>7077.9769999999999</v>
      </c>
      <c r="J42" s="81"/>
      <c r="K42" s="81"/>
      <c r="L42" s="81"/>
      <c r="M42" s="81"/>
      <c r="N42" s="81">
        <f>Аксу!D27</f>
        <v>3840.29</v>
      </c>
      <c r="O42" s="81">
        <f>Аксу!E27</f>
        <v>5548.0320000000002</v>
      </c>
      <c r="P42" s="81">
        <f>+Алаколь!D31</f>
        <v>5406</v>
      </c>
      <c r="Q42" s="81">
        <f>+Алаколь!E31</f>
        <v>5168.5709999999999</v>
      </c>
      <c r="R42" s="81">
        <f>+Коксу!D26</f>
        <v>6208.93</v>
      </c>
      <c r="S42" s="81">
        <f>+Коксу!E26</f>
        <v>4667.2539999999999</v>
      </c>
      <c r="T42" s="250">
        <f>+Ескелді!D33</f>
        <v>5760.43</v>
      </c>
      <c r="U42" s="250">
        <f>+Ескелді!E33</f>
        <v>6221.6390000000001</v>
      </c>
      <c r="V42" s="478">
        <f>+Талдык!D25</f>
        <v>4286.75</v>
      </c>
      <c r="W42" s="478">
        <f>+Талдык!E25</f>
        <v>5757.2020000000002</v>
      </c>
      <c r="X42" s="487">
        <f>+Уйгур!D29</f>
        <v>6720.5</v>
      </c>
      <c r="Y42" s="487">
        <f>+Уйгур!E29</f>
        <v>4619.5069999999996</v>
      </c>
    </row>
    <row r="43" spans="1:51" ht="15" customHeight="1">
      <c r="A43" s="181" t="s">
        <v>63</v>
      </c>
      <c r="B43" s="173" t="s">
        <v>419</v>
      </c>
      <c r="C43" s="177" t="s">
        <v>38</v>
      </c>
      <c r="D43" s="178">
        <f t="shared" si="14"/>
        <v>5276.0320000000002</v>
      </c>
      <c r="E43" s="178">
        <f t="shared" si="14"/>
        <v>5064.521999999999</v>
      </c>
      <c r="F43" s="490">
        <f>+'Панфилов ПУ'!D31+'Панфилов ПУ'!D32</f>
        <v>1361.95</v>
      </c>
      <c r="G43" s="490">
        <f>+'Панфилов ПУ'!E31+'Панфилов ПУ'!E32</f>
        <v>1097.75</v>
      </c>
      <c r="H43" s="249">
        <f>'Каратальский ПУ'!D28</f>
        <v>724.02200000000005</v>
      </c>
      <c r="I43" s="249">
        <v>715.178</v>
      </c>
      <c r="J43" s="81"/>
      <c r="K43" s="81"/>
      <c r="L43" s="81"/>
      <c r="M43" s="81"/>
      <c r="N43" s="81">
        <f>Аксу!D28</f>
        <v>380.19</v>
      </c>
      <c r="O43" s="81">
        <f>Аксу!E28</f>
        <v>562.00700000000006</v>
      </c>
      <c r="P43" s="81">
        <f>+Алаколь!D32</f>
        <v>535.19000000000005</v>
      </c>
      <c r="Q43" s="81">
        <f>+Алаколь!E32</f>
        <v>518.67000000000007</v>
      </c>
      <c r="R43" s="81">
        <f>+Коксу!D27</f>
        <v>614.72</v>
      </c>
      <c r="S43" s="81">
        <f>+Коксу!E27</f>
        <v>469.91</v>
      </c>
      <c r="T43" s="251">
        <f>+Ескелді!D34</f>
        <v>570.28</v>
      </c>
      <c r="U43" s="251">
        <f>+Ескелді!E34</f>
        <v>636.99199999999996</v>
      </c>
      <c r="V43" s="478">
        <f>+Талдык!D26</f>
        <v>424.38</v>
      </c>
      <c r="W43" s="478">
        <f>+Талдык!E26</f>
        <v>581.56100000000004</v>
      </c>
      <c r="X43" s="487">
        <f>+Уйгур!D30</f>
        <v>665.3</v>
      </c>
      <c r="Y43" s="487">
        <f>+Уйгур!E30</f>
        <v>482.45400000000001</v>
      </c>
    </row>
    <row r="44" spans="1:51" ht="15" customHeight="1">
      <c r="A44" s="181" t="s">
        <v>64</v>
      </c>
      <c r="B44" s="173" t="s">
        <v>467</v>
      </c>
      <c r="C44" s="177" t="s">
        <v>38</v>
      </c>
      <c r="D44" s="178">
        <f t="shared" si="14"/>
        <v>111.09199999999998</v>
      </c>
      <c r="E44" s="178">
        <f t="shared" si="14"/>
        <v>202.041</v>
      </c>
      <c r="F44" s="490">
        <f>+'Панфилов ПУ'!D33</f>
        <v>73.569999999999993</v>
      </c>
      <c r="G44" s="490">
        <f>+'Панфилов ПУ'!E33</f>
        <v>46.29</v>
      </c>
      <c r="H44" s="249">
        <f>'Каратальский ПУ'!D29</f>
        <v>37.521999999999998</v>
      </c>
      <c r="I44" s="249">
        <v>31.285</v>
      </c>
      <c r="J44" s="81"/>
      <c r="K44" s="81"/>
      <c r="L44" s="81"/>
      <c r="M44" s="81"/>
      <c r="N44" s="81">
        <f>Аксу!D29</f>
        <v>0</v>
      </c>
      <c r="O44" s="81">
        <f>Аксу!E29</f>
        <v>19.187000000000001</v>
      </c>
      <c r="P44" s="81">
        <f>+Алаколь!D33</f>
        <v>0</v>
      </c>
      <c r="Q44" s="81">
        <f>+Алаколь!E33</f>
        <v>25.537999999999997</v>
      </c>
      <c r="R44" s="81">
        <f>+Коксу!D28</f>
        <v>0</v>
      </c>
      <c r="S44" s="81">
        <f>+Коксу!E28</f>
        <v>20.430999999999997</v>
      </c>
      <c r="T44" s="250">
        <f>+Ескелді!D35</f>
        <v>0</v>
      </c>
      <c r="U44" s="250">
        <f>+Ескелді!E35</f>
        <v>19.611000000000001</v>
      </c>
      <c r="V44" s="478">
        <f>+Талдык!D27</f>
        <v>0</v>
      </c>
      <c r="W44" s="478">
        <f>+Талдык!E27</f>
        <v>24.509</v>
      </c>
      <c r="X44" s="487">
        <f>+Уйгур!D31</f>
        <v>0</v>
      </c>
      <c r="Y44" s="487">
        <f>+Уйгур!E31</f>
        <v>15.19</v>
      </c>
    </row>
    <row r="45" spans="1:51" s="9" customFormat="1">
      <c r="A45" s="192" t="s">
        <v>22</v>
      </c>
      <c r="B45" s="193" t="s">
        <v>65</v>
      </c>
      <c r="C45" s="175" t="s">
        <v>38</v>
      </c>
      <c r="D45" s="178">
        <f t="shared" si="14"/>
        <v>395.41800000000001</v>
      </c>
      <c r="E45" s="178">
        <f t="shared" si="14"/>
        <v>414.22627999999997</v>
      </c>
      <c r="F45" s="258">
        <f>+'Панфилов ПУ'!D34</f>
        <v>128.49799999999999</v>
      </c>
      <c r="G45" s="258">
        <f>+'Панфилов ПУ'!E34</f>
        <v>112.94</v>
      </c>
      <c r="H45" s="247">
        <f>'Каратальский ПУ'!D43</f>
        <v>2.2000000000000002</v>
      </c>
      <c r="I45" s="247">
        <f>'Каратальский ПУ'!E43</f>
        <v>2.2000000000000002</v>
      </c>
      <c r="J45" s="258">
        <f>+'Алмалы, Ащыбулак'!D21</f>
        <v>0.39</v>
      </c>
      <c r="K45" s="258">
        <f>+'Алмалы, Ащыбулак'!E21</f>
        <v>0.1</v>
      </c>
      <c r="L45" s="258">
        <f>Акешки!D17</f>
        <v>0.19</v>
      </c>
      <c r="M45" s="258">
        <f>Акешки!E17</f>
        <v>5.6000000000000001E-2</v>
      </c>
      <c r="N45" s="258">
        <f>+Аксу!D46</f>
        <v>73.569999999999993</v>
      </c>
      <c r="O45" s="258">
        <f>+Аксу!E46</f>
        <v>41.691000000000003</v>
      </c>
      <c r="P45" s="258">
        <f>+Алаколь!D45</f>
        <v>71.239999999999995</v>
      </c>
      <c r="Q45" s="258">
        <f>+Алаколь!E45</f>
        <v>84.426999999999992</v>
      </c>
      <c r="R45" s="252">
        <f>+Коксу!D38</f>
        <v>56.94</v>
      </c>
      <c r="S45" s="252">
        <f>+Коксу!E38</f>
        <v>64.855000000000004</v>
      </c>
      <c r="T45" s="252">
        <f>+Ескелді!D47</f>
        <v>17.86</v>
      </c>
      <c r="U45" s="252">
        <f>+Ескелді!E47</f>
        <v>46.985999999999997</v>
      </c>
      <c r="V45" s="479">
        <f>Талдык!D43</f>
        <v>15</v>
      </c>
      <c r="W45" s="479">
        <f>Талдык!E43</f>
        <v>42.014279999999999</v>
      </c>
      <c r="X45" s="488">
        <f>+Уйгур!D42</f>
        <v>29.53</v>
      </c>
      <c r="Y45" s="488">
        <f>+Уйгур!E42</f>
        <v>18.957000000000001</v>
      </c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</row>
    <row r="46" spans="1:51" s="9" customFormat="1" ht="15" customHeight="1">
      <c r="A46" s="192" t="s">
        <v>23</v>
      </c>
      <c r="B46" s="193" t="s">
        <v>25</v>
      </c>
      <c r="C46" s="175" t="s">
        <v>38</v>
      </c>
      <c r="D46" s="178">
        <f t="shared" si="14"/>
        <v>85.402000000000001</v>
      </c>
      <c r="E46" s="178">
        <f t="shared" si="14"/>
        <v>78.209999999999994</v>
      </c>
      <c r="F46" s="258">
        <f>+'Панфилов ПУ'!D35</f>
        <v>85.402000000000001</v>
      </c>
      <c r="G46" s="258">
        <f>+'Панфилов ПУ'!E35</f>
        <v>78.209999999999994</v>
      </c>
      <c r="H46" s="247"/>
      <c r="I46" s="247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5"/>
      <c r="U46" s="247"/>
      <c r="V46" s="482"/>
      <c r="W46" s="482"/>
      <c r="X46" s="489"/>
      <c r="Y46" s="489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</row>
    <row r="47" spans="1:51" s="9" customFormat="1" ht="15" customHeight="1">
      <c r="A47" s="192" t="s">
        <v>24</v>
      </c>
      <c r="B47" s="193" t="s">
        <v>66</v>
      </c>
      <c r="C47" s="175" t="s">
        <v>38</v>
      </c>
      <c r="D47" s="6">
        <f t="shared" ref="D47:Y47" si="15">SUM(D48:D56)</f>
        <v>12543.396999999999</v>
      </c>
      <c r="E47" s="6">
        <f t="shared" si="15"/>
        <v>13813.099</v>
      </c>
      <c r="F47" s="252">
        <f t="shared" si="15"/>
        <v>4596.2599999999993</v>
      </c>
      <c r="G47" s="252">
        <f t="shared" si="15"/>
        <v>4530.1699999999992</v>
      </c>
      <c r="H47" s="247">
        <f t="shared" si="15"/>
        <v>1059.855</v>
      </c>
      <c r="I47" s="247">
        <f t="shared" si="15"/>
        <v>1058.164</v>
      </c>
      <c r="J47" s="252">
        <f t="shared" si="15"/>
        <v>18.12</v>
      </c>
      <c r="K47" s="252">
        <f t="shared" si="15"/>
        <v>20.67</v>
      </c>
      <c r="L47" s="252">
        <f t="shared" si="15"/>
        <v>14.06</v>
      </c>
      <c r="M47" s="252">
        <f t="shared" si="15"/>
        <v>22.518999999999998</v>
      </c>
      <c r="N47" s="252">
        <f t="shared" si="15"/>
        <v>1118.146</v>
      </c>
      <c r="O47" s="252">
        <f t="shared" si="15"/>
        <v>1847.65</v>
      </c>
      <c r="P47" s="252">
        <f t="shared" si="15"/>
        <v>2083.413</v>
      </c>
      <c r="Q47" s="252">
        <f t="shared" si="15"/>
        <v>2341.9639999999999</v>
      </c>
      <c r="R47" s="252">
        <f t="shared" si="15"/>
        <v>1185.44</v>
      </c>
      <c r="S47" s="252">
        <f t="shared" si="15"/>
        <v>1077.3109999999999</v>
      </c>
      <c r="T47" s="252">
        <f t="shared" si="15"/>
        <v>1193.7600000000002</v>
      </c>
      <c r="U47" s="252">
        <f>SUM(U48:U56)</f>
        <v>1072.749</v>
      </c>
      <c r="V47" s="252">
        <f>SUM(V48:V56)</f>
        <v>35.033000000000001</v>
      </c>
      <c r="W47" s="252">
        <f>SUM(W48:W56)</f>
        <v>910.89800000000014</v>
      </c>
      <c r="X47" s="252">
        <f t="shared" si="15"/>
        <v>1239.3099999999997</v>
      </c>
      <c r="Y47" s="252">
        <f t="shared" si="15"/>
        <v>931.00399999999991</v>
      </c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</row>
    <row r="48" spans="1:51" ht="15" customHeight="1">
      <c r="A48" s="181" t="s">
        <v>67</v>
      </c>
      <c r="B48" s="173" t="s">
        <v>16</v>
      </c>
      <c r="C48" s="177" t="s">
        <v>38</v>
      </c>
      <c r="D48" s="178">
        <f t="shared" ref="D48:E55" si="16">F48+H48+J48+L48+N48+P48+R48+T48+V48+X48</f>
        <v>10898.081</v>
      </c>
      <c r="E48" s="178">
        <f t="shared" si="16"/>
        <v>11161.389000000001</v>
      </c>
      <c r="F48" s="490">
        <f>+'Панфилов ПУ'!D37</f>
        <v>4057.61</v>
      </c>
      <c r="G48" s="490">
        <f>+'Панфилов ПУ'!E37</f>
        <v>4025.76</v>
      </c>
      <c r="H48" s="249">
        <f>'Каратальский ПУ'!D31</f>
        <v>946.29100000000005</v>
      </c>
      <c r="I48" s="249">
        <f>'Каратальский ПУ'!E31</f>
        <v>946.29100000000005</v>
      </c>
      <c r="J48" s="81">
        <f>+'Алмалы, Ащыбулак'!D25</f>
        <v>18.12</v>
      </c>
      <c r="K48" s="81">
        <f>+'Алмалы, Ащыбулак'!E25</f>
        <v>20.67</v>
      </c>
      <c r="L48" s="490">
        <f>Акешки!D22</f>
        <v>14.06</v>
      </c>
      <c r="M48" s="490">
        <f>Акешки!E22</f>
        <v>22.518999999999998</v>
      </c>
      <c r="N48" s="490">
        <f>Аксу!D31</f>
        <v>1000</v>
      </c>
      <c r="O48" s="490">
        <f>Аксу!E31</f>
        <v>1052.944</v>
      </c>
      <c r="P48" s="81">
        <f>+Алаколь!D35</f>
        <v>1797.83</v>
      </c>
      <c r="Q48" s="81">
        <f>+Алаколь!E35</f>
        <v>1954.665</v>
      </c>
      <c r="R48" s="81">
        <f>+Коксу!D35</f>
        <v>963.5</v>
      </c>
      <c r="S48" s="81">
        <f>+Коксу!E35</f>
        <v>962.39700000000005</v>
      </c>
      <c r="T48" s="250">
        <f>+Ескелді!D37</f>
        <v>1132.25</v>
      </c>
      <c r="U48" s="250">
        <f>+Ескелді!E37</f>
        <v>1023.235</v>
      </c>
      <c r="V48" s="478">
        <f>Талдык!D29</f>
        <v>0</v>
      </c>
      <c r="W48" s="478">
        <f>Талдык!E29</f>
        <v>472.56</v>
      </c>
      <c r="X48" s="487">
        <f>+Уйгур!D40</f>
        <v>968.42</v>
      </c>
      <c r="Y48" s="487">
        <f>+Уйгур!E40</f>
        <v>680.34799999999996</v>
      </c>
    </row>
    <row r="49" spans="1:51" ht="15" customHeight="1">
      <c r="A49" s="181" t="s">
        <v>68</v>
      </c>
      <c r="B49" s="173" t="s">
        <v>137</v>
      </c>
      <c r="C49" s="177" t="s">
        <v>38</v>
      </c>
      <c r="D49" s="178">
        <f t="shared" si="16"/>
        <v>188.87299999999999</v>
      </c>
      <c r="E49" s="178">
        <f t="shared" si="16"/>
        <v>246.964</v>
      </c>
      <c r="F49" s="490">
        <f>+'Панфилов ПУ'!D40</f>
        <v>4.66</v>
      </c>
      <c r="G49" s="490">
        <f>+'Панфилов ПУ'!E40</f>
        <v>2.33</v>
      </c>
      <c r="H49" s="249">
        <f>'Каратальский ПУ'!D33</f>
        <v>4.1269999999999998</v>
      </c>
      <c r="I49" s="249">
        <v>4.1269999999999998</v>
      </c>
      <c r="J49" s="490"/>
      <c r="K49" s="490"/>
      <c r="L49" s="490"/>
      <c r="M49" s="490"/>
      <c r="N49" s="490">
        <f>Аксу!D33</f>
        <v>84.893000000000001</v>
      </c>
      <c r="O49" s="490">
        <f>Аксу!E33</f>
        <v>5.1100000000000003</v>
      </c>
      <c r="P49" s="490">
        <f>+Алаколь!D38</f>
        <v>0</v>
      </c>
      <c r="Q49" s="490">
        <f>+Алаколь!E38</f>
        <v>102.44499999999999</v>
      </c>
      <c r="R49" s="81">
        <f>+Коксу!D31</f>
        <v>0</v>
      </c>
      <c r="S49" s="81">
        <f>+Коксу!E31</f>
        <v>6.9020000000000001</v>
      </c>
      <c r="T49" s="81">
        <f>+Ескелді!D40</f>
        <v>11.91</v>
      </c>
      <c r="U49" s="81">
        <f>+Ескелді!E40</f>
        <v>3.0859999999999999</v>
      </c>
      <c r="V49" s="478">
        <f>Талдык!D31</f>
        <v>2.633</v>
      </c>
      <c r="W49" s="478">
        <v>86.02</v>
      </c>
      <c r="X49" s="487">
        <f>+Уйгур!D36</f>
        <v>80.650000000000006</v>
      </c>
      <c r="Y49" s="487">
        <f>+Уйгур!E36</f>
        <v>36.944000000000003</v>
      </c>
    </row>
    <row r="50" spans="1:51" ht="15" customHeight="1">
      <c r="A50" s="181" t="s">
        <v>69</v>
      </c>
      <c r="B50" s="173" t="s">
        <v>97</v>
      </c>
      <c r="C50" s="177" t="s">
        <v>38</v>
      </c>
      <c r="D50" s="178">
        <f t="shared" si="16"/>
        <v>264.42599999999999</v>
      </c>
      <c r="E50" s="178">
        <f t="shared" si="16"/>
        <v>385.48499999999996</v>
      </c>
      <c r="F50" s="490">
        <f>+'Панфилов ПУ'!D41</f>
        <v>10.33</v>
      </c>
      <c r="G50" s="490">
        <f>+'Панфилов ПУ'!E41</f>
        <v>10.33</v>
      </c>
      <c r="H50" s="249">
        <f>'Каратальский ПУ'!D32</f>
        <v>5.3360000000000003</v>
      </c>
      <c r="I50" s="249">
        <f>'Каратальский ПУ'!E32</f>
        <v>5.3360000000000003</v>
      </c>
      <c r="J50" s="490"/>
      <c r="K50" s="490"/>
      <c r="L50" s="490"/>
      <c r="M50" s="490"/>
      <c r="N50" s="490">
        <f>Аксу!D34</f>
        <v>0</v>
      </c>
      <c r="O50" s="490">
        <f>Аксу!E34</f>
        <v>28.257000000000001</v>
      </c>
      <c r="P50" s="490">
        <f>+Алаколь!D37</f>
        <v>221.96</v>
      </c>
      <c r="Q50" s="490">
        <f>+Алаколь!E37</f>
        <v>220.48599999999999</v>
      </c>
      <c r="R50" s="81">
        <f>+Коксу!D32</f>
        <v>26.8</v>
      </c>
      <c r="S50" s="81">
        <f>+Коксу!E32</f>
        <v>0.86699999999999999</v>
      </c>
      <c r="T50" s="81">
        <f>+Ескелді!D39</f>
        <v>0</v>
      </c>
      <c r="U50" s="81">
        <f>+Ескелді!E39</f>
        <v>6.7480000000000002</v>
      </c>
      <c r="V50" s="478">
        <f>Талдык!D33</f>
        <v>0</v>
      </c>
      <c r="W50" s="478">
        <f>Талдык!E33</f>
        <v>52.161999999999999</v>
      </c>
      <c r="X50" s="487">
        <f>+Уйгур!D35</f>
        <v>0</v>
      </c>
      <c r="Y50" s="487">
        <f>+Уйгур!E35</f>
        <v>61.298999999999999</v>
      </c>
    </row>
    <row r="51" spans="1:51" ht="15" customHeight="1">
      <c r="A51" s="181" t="s">
        <v>70</v>
      </c>
      <c r="B51" s="173" t="s">
        <v>461</v>
      </c>
      <c r="C51" s="177" t="s">
        <v>38</v>
      </c>
      <c r="D51" s="178">
        <f t="shared" si="16"/>
        <v>50.366</v>
      </c>
      <c r="E51" s="178">
        <f t="shared" si="16"/>
        <v>284.26</v>
      </c>
      <c r="F51" s="490"/>
      <c r="G51" s="490"/>
      <c r="H51" s="249">
        <f>'Каратальский ПУ'!D36</f>
        <v>4.7160000000000002</v>
      </c>
      <c r="I51" s="249">
        <v>4.7160000000000002</v>
      </c>
      <c r="J51" s="490"/>
      <c r="K51" s="490"/>
      <c r="L51" s="490"/>
      <c r="M51" s="490"/>
      <c r="N51" s="490">
        <f>Аксу!D37</f>
        <v>8.35</v>
      </c>
      <c r="O51" s="490">
        <f>Аксу!E37</f>
        <v>4.1760000000000002</v>
      </c>
      <c r="P51" s="490">
        <f>+Алаколь!D41</f>
        <v>0</v>
      </c>
      <c r="Q51" s="490">
        <f>+Алаколь!E41</f>
        <v>16.22</v>
      </c>
      <c r="R51" s="81"/>
      <c r="S51" s="81"/>
      <c r="T51" s="256"/>
      <c r="U51" s="256"/>
      <c r="V51" s="478">
        <f>Талдык!D35</f>
        <v>11.7</v>
      </c>
      <c r="W51" s="478">
        <v>246.38800000000001</v>
      </c>
      <c r="X51" s="487">
        <f>+Уйгур!D38</f>
        <v>25.6</v>
      </c>
      <c r="Y51" s="487">
        <f>+Уйгур!E38</f>
        <v>12.76</v>
      </c>
    </row>
    <row r="52" spans="1:51" ht="15" customHeight="1">
      <c r="A52" s="181" t="s">
        <v>71</v>
      </c>
      <c r="B52" s="173" t="s">
        <v>98</v>
      </c>
      <c r="C52" s="177" t="s">
        <v>38</v>
      </c>
      <c r="D52" s="178">
        <f t="shared" si="16"/>
        <v>95.123000000000005</v>
      </c>
      <c r="E52" s="178">
        <f t="shared" si="16"/>
        <v>125.39</v>
      </c>
      <c r="F52" s="490">
        <f>+'Панфилов ПУ'!D42</f>
        <v>65.150000000000006</v>
      </c>
      <c r="G52" s="490">
        <f>+'Панфилов ПУ'!E42</f>
        <v>65.150000000000006</v>
      </c>
      <c r="H52" s="249">
        <f>'Каратальский ПУ'!D35</f>
        <v>6.92</v>
      </c>
      <c r="I52" s="249">
        <f>'Каратальский ПУ'!E35</f>
        <v>6.92</v>
      </c>
      <c r="J52" s="490"/>
      <c r="K52" s="490"/>
      <c r="L52" s="490"/>
      <c r="M52" s="490"/>
      <c r="N52" s="490">
        <f>Аксу!D38</f>
        <v>0</v>
      </c>
      <c r="O52" s="490">
        <f>Аксу!E38</f>
        <v>6.2640000000000002</v>
      </c>
      <c r="P52" s="490">
        <f>+Алаколь!D40</f>
        <v>21.613</v>
      </c>
      <c r="Q52" s="490">
        <f>+Алаколь!E40</f>
        <v>10.808</v>
      </c>
      <c r="R52" s="81">
        <f>+Коксу!D33</f>
        <v>1.44</v>
      </c>
      <c r="S52" s="81">
        <f>+Коксу!E33</f>
        <v>1.5089999999999999</v>
      </c>
      <c r="T52" s="256"/>
      <c r="U52" s="256"/>
      <c r="V52" s="478">
        <f>Талдык!D34</f>
        <v>0</v>
      </c>
      <c r="W52" s="478">
        <f>Талдык!E34</f>
        <v>15.599</v>
      </c>
      <c r="X52" s="487">
        <f>+Уйгур!D37</f>
        <v>0</v>
      </c>
      <c r="Y52" s="487">
        <f>+Уйгур!E37</f>
        <v>19.14</v>
      </c>
    </row>
    <row r="53" spans="1:51" ht="15" customHeight="1">
      <c r="A53" s="181" t="s">
        <v>72</v>
      </c>
      <c r="B53" s="173" t="s">
        <v>228</v>
      </c>
      <c r="C53" s="177" t="s">
        <v>38</v>
      </c>
      <c r="D53" s="178">
        <f t="shared" si="16"/>
        <v>104.21000000000001</v>
      </c>
      <c r="E53" s="178">
        <f t="shared" si="16"/>
        <v>51.246000000000002</v>
      </c>
      <c r="F53" s="490">
        <f>+'Панфилов ПУ'!D39</f>
        <v>42.17</v>
      </c>
      <c r="G53" s="490">
        <f>+'Панфилов ПУ'!E39</f>
        <v>42.17</v>
      </c>
      <c r="H53" s="249"/>
      <c r="I53" s="249"/>
      <c r="J53" s="490"/>
      <c r="K53" s="490"/>
      <c r="L53" s="490"/>
      <c r="M53" s="490"/>
      <c r="N53" s="490">
        <f>Аксу!D35</f>
        <v>16.23</v>
      </c>
      <c r="O53" s="490">
        <f>Аксу!E35</f>
        <v>6.8070000000000004</v>
      </c>
      <c r="P53" s="490"/>
      <c r="Q53" s="490"/>
      <c r="R53" s="81"/>
      <c r="S53" s="81"/>
      <c r="T53" s="81">
        <f>+Ескелді!D42</f>
        <v>26.72</v>
      </c>
      <c r="U53" s="81">
        <f>+Ескелді!E42</f>
        <v>0</v>
      </c>
      <c r="V53" s="478">
        <f>+Талдык!D36</f>
        <v>19.09</v>
      </c>
      <c r="W53" s="478">
        <f>+Талдык!E36</f>
        <v>0</v>
      </c>
      <c r="X53" s="487">
        <f>+Уйгур!D34</f>
        <v>0</v>
      </c>
      <c r="Y53" s="487">
        <f>+Уйгур!E34</f>
        <v>2.2690000000000001</v>
      </c>
    </row>
    <row r="54" spans="1:51" ht="15" customHeight="1">
      <c r="A54" s="181" t="s">
        <v>94</v>
      </c>
      <c r="B54" s="173" t="s">
        <v>99</v>
      </c>
      <c r="C54" s="177" t="s">
        <v>38</v>
      </c>
      <c r="D54" s="178">
        <f t="shared" si="16"/>
        <v>545.23400000000004</v>
      </c>
      <c r="E54" s="178">
        <f t="shared" si="16"/>
        <v>631.88400000000001</v>
      </c>
      <c r="F54" s="490">
        <f>+'Панфилов ПУ'!D43</f>
        <v>303.23</v>
      </c>
      <c r="G54" s="490">
        <f>+'Панфилов ПУ'!E43</f>
        <v>303.23</v>
      </c>
      <c r="H54" s="249">
        <f>'Каратальский ПУ'!D34</f>
        <v>15.013999999999999</v>
      </c>
      <c r="I54" s="249">
        <f>'Каратальский ПУ'!E34</f>
        <v>15.013999999999999</v>
      </c>
      <c r="J54" s="490"/>
      <c r="K54" s="490"/>
      <c r="L54" s="490"/>
      <c r="M54" s="490"/>
      <c r="N54" s="490">
        <f>Аксу!D36</f>
        <v>0</v>
      </c>
      <c r="O54" s="490">
        <f>Аксу!E36</f>
        <v>16.670000000000002</v>
      </c>
      <c r="P54" s="490">
        <f>+Алаколь!D39</f>
        <v>29.89</v>
      </c>
      <c r="Q54" s="490">
        <f>+Алаколь!E39</f>
        <v>29.888000000000002</v>
      </c>
      <c r="R54" s="81">
        <f>+Коксу!D34</f>
        <v>94.3</v>
      </c>
      <c r="S54" s="81">
        <f>+Коксу!E34</f>
        <v>97.450999999999993</v>
      </c>
      <c r="T54" s="81">
        <f>+Ескелді!D41</f>
        <v>0</v>
      </c>
      <c r="U54" s="81">
        <f>+Ескелді!E41</f>
        <v>26.707000000000001</v>
      </c>
      <c r="V54" s="478">
        <f>Талдык!D32</f>
        <v>0</v>
      </c>
      <c r="W54" s="478">
        <f>Талдык!E32</f>
        <v>34.034999999999997</v>
      </c>
      <c r="X54" s="487">
        <f>+Уйгур!D33</f>
        <v>102.8</v>
      </c>
      <c r="Y54" s="487">
        <f>+Уйгур!E33</f>
        <v>108.889</v>
      </c>
    </row>
    <row r="55" spans="1:51" ht="15" customHeight="1">
      <c r="A55" s="181" t="s">
        <v>95</v>
      </c>
      <c r="B55" s="173" t="s">
        <v>276</v>
      </c>
      <c r="C55" s="177" t="s">
        <v>38</v>
      </c>
      <c r="D55" s="178">
        <f t="shared" si="16"/>
        <v>0</v>
      </c>
      <c r="E55" s="178">
        <f t="shared" si="16"/>
        <v>717.48400000000004</v>
      </c>
      <c r="F55" s="490"/>
      <c r="G55" s="490"/>
      <c r="H55" s="249"/>
      <c r="I55" s="249"/>
      <c r="J55" s="490"/>
      <c r="K55" s="490"/>
      <c r="L55" s="490"/>
      <c r="M55" s="490"/>
      <c r="N55" s="490">
        <f>Аксу!D39</f>
        <v>0</v>
      </c>
      <c r="O55" s="490">
        <f>Аксу!E39</f>
        <v>717.48400000000004</v>
      </c>
      <c r="P55" s="490"/>
      <c r="Q55" s="490"/>
      <c r="R55" s="81"/>
      <c r="S55" s="81"/>
      <c r="T55" s="256"/>
      <c r="U55" s="256"/>
      <c r="V55" s="480"/>
      <c r="W55" s="480"/>
      <c r="X55" s="486"/>
      <c r="Y55" s="486"/>
    </row>
    <row r="56" spans="1:51" ht="15" customHeight="1">
      <c r="A56" s="181" t="s">
        <v>96</v>
      </c>
      <c r="B56" s="173" t="s">
        <v>54</v>
      </c>
      <c r="C56" s="177" t="s">
        <v>38</v>
      </c>
      <c r="D56" s="178">
        <f>F56+H56+J56+L56+N56+P56+R56+T56+V56+X56</f>
        <v>397.08400000000006</v>
      </c>
      <c r="E56" s="178">
        <f>G56+I56+K56+M56+O56+Q56+S56+U56+W56+Y56</f>
        <v>208.99699999999999</v>
      </c>
      <c r="F56" s="490">
        <f>+'Панфилов ПУ'!D38</f>
        <v>113.11</v>
      </c>
      <c r="G56" s="490">
        <f>+'Панфилов ПУ'!E38</f>
        <v>81.2</v>
      </c>
      <c r="H56" s="249">
        <f>'Каратальский ПУ'!D37</f>
        <v>77.450999999999993</v>
      </c>
      <c r="I56" s="249">
        <f>'Каратальский ПУ'!E37</f>
        <v>75.760000000000005</v>
      </c>
      <c r="J56" s="490"/>
      <c r="K56" s="490"/>
      <c r="L56" s="490"/>
      <c r="M56" s="490"/>
      <c r="N56" s="490">
        <f>Аксу!D32</f>
        <v>8.673</v>
      </c>
      <c r="O56" s="490">
        <f>Аксу!E32</f>
        <v>9.9380000000000006</v>
      </c>
      <c r="P56" s="490">
        <f>+Алаколь!D36</f>
        <v>12.12</v>
      </c>
      <c r="Q56" s="490">
        <f>+Алаколь!E36</f>
        <v>7.452</v>
      </c>
      <c r="R56" s="81">
        <f>+Коксу!D30</f>
        <v>99.4</v>
      </c>
      <c r="S56" s="81">
        <f>+Коксу!E30</f>
        <v>8.1850000000000005</v>
      </c>
      <c r="T56" s="250">
        <f>+Ескелді!D38</f>
        <v>22.88</v>
      </c>
      <c r="U56" s="250">
        <f>+Ескелді!E38</f>
        <v>12.973000000000001</v>
      </c>
      <c r="V56" s="478">
        <f>Талдык!D30</f>
        <v>1.61</v>
      </c>
      <c r="W56" s="478">
        <v>4.1340000000000003</v>
      </c>
      <c r="X56" s="487">
        <f>+Уйгур!D39</f>
        <v>61.84</v>
      </c>
      <c r="Y56" s="487">
        <f>+Уйгур!E39</f>
        <v>9.3550000000000004</v>
      </c>
    </row>
    <row r="57" spans="1:51" s="9" customFormat="1" ht="15" customHeight="1">
      <c r="A57" s="181" t="s">
        <v>360</v>
      </c>
      <c r="B57" s="193" t="s">
        <v>73</v>
      </c>
      <c r="C57" s="175" t="s">
        <v>38</v>
      </c>
      <c r="D57" s="6">
        <f t="shared" ref="D57:Y57" si="17">SUM(D58:D73)</f>
        <v>6694.5810000000001</v>
      </c>
      <c r="E57" s="6">
        <f t="shared" si="17"/>
        <v>11404.507300000001</v>
      </c>
      <c r="F57" s="252">
        <f t="shared" si="17"/>
        <v>3668.5899999999997</v>
      </c>
      <c r="G57" s="252">
        <f t="shared" si="17"/>
        <v>3266.81</v>
      </c>
      <c r="H57" s="247">
        <f t="shared" si="17"/>
        <v>202.73400000000001</v>
      </c>
      <c r="I57" s="247">
        <f t="shared" si="17"/>
        <v>167.73</v>
      </c>
      <c r="J57" s="252">
        <f t="shared" si="17"/>
        <v>83.44</v>
      </c>
      <c r="K57" s="252">
        <f t="shared" si="17"/>
        <v>11.577999999999999</v>
      </c>
      <c r="L57" s="252">
        <f t="shared" si="17"/>
        <v>13.51</v>
      </c>
      <c r="M57" s="252">
        <f t="shared" si="17"/>
        <v>10.879</v>
      </c>
      <c r="N57" s="252">
        <f t="shared" si="17"/>
        <v>341.26</v>
      </c>
      <c r="O57" s="252">
        <f t="shared" si="17"/>
        <v>1778.7798</v>
      </c>
      <c r="P57" s="252">
        <f t="shared" si="17"/>
        <v>776.34299999999996</v>
      </c>
      <c r="Q57" s="252">
        <f t="shared" si="17"/>
        <v>1620.7370000000001</v>
      </c>
      <c r="R57" s="252">
        <f t="shared" si="17"/>
        <v>402.61</v>
      </c>
      <c r="S57" s="252">
        <f t="shared" si="17"/>
        <v>701.75700000000006</v>
      </c>
      <c r="T57" s="252">
        <f t="shared" si="17"/>
        <v>192.13</v>
      </c>
      <c r="U57" s="252">
        <f t="shared" si="17"/>
        <v>293.11399999999998</v>
      </c>
      <c r="V57" s="252">
        <f t="shared" si="17"/>
        <v>493.06399999999996</v>
      </c>
      <c r="W57" s="252">
        <f t="shared" si="17"/>
        <v>322.56650000000008</v>
      </c>
      <c r="X57" s="252">
        <f t="shared" si="17"/>
        <v>520.9</v>
      </c>
      <c r="Y57" s="252">
        <f t="shared" si="17"/>
        <v>3269.1610000000001</v>
      </c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</row>
    <row r="58" spans="1:51" ht="15" customHeight="1">
      <c r="A58" s="181" t="s">
        <v>314</v>
      </c>
      <c r="B58" s="173" t="s">
        <v>235</v>
      </c>
      <c r="C58" s="177" t="s">
        <v>38</v>
      </c>
      <c r="D58" s="178">
        <f t="shared" ref="D58:E77" si="18">F58+H58+J58+L58+N58+P58+R58+T58+V58+X58</f>
        <v>1125.8699999999999</v>
      </c>
      <c r="E58" s="178">
        <f t="shared" si="18"/>
        <v>1125.8699999999999</v>
      </c>
      <c r="F58" s="490">
        <f>+'Панфилов ПУ'!D45</f>
        <v>1125.8699999999999</v>
      </c>
      <c r="G58" s="490">
        <f>+'Панфилов ПУ'!E45</f>
        <v>1125.8699999999999</v>
      </c>
      <c r="H58" s="249"/>
      <c r="I58" s="249"/>
      <c r="J58" s="490"/>
      <c r="K58" s="490"/>
      <c r="L58" s="490"/>
      <c r="M58" s="490"/>
      <c r="N58" s="81"/>
      <c r="O58" s="81"/>
      <c r="P58" s="490"/>
      <c r="Q58" s="490"/>
      <c r="R58" s="81"/>
      <c r="S58" s="81"/>
      <c r="T58" s="81"/>
      <c r="U58" s="249"/>
      <c r="V58" s="478"/>
      <c r="W58" s="478"/>
      <c r="X58" s="487"/>
      <c r="Y58" s="487"/>
    </row>
    <row r="59" spans="1:51" ht="15" customHeight="1">
      <c r="A59" s="181" t="s">
        <v>315</v>
      </c>
      <c r="B59" s="173" t="s">
        <v>153</v>
      </c>
      <c r="C59" s="177" t="s">
        <v>38</v>
      </c>
      <c r="D59" s="178">
        <f t="shared" si="18"/>
        <v>1521.5129999999999</v>
      </c>
      <c r="E59" s="178">
        <f t="shared" si="18"/>
        <v>1329.6970000000001</v>
      </c>
      <c r="F59" s="490">
        <f>+'Панфилов ПУ'!D46</f>
        <v>404.25</v>
      </c>
      <c r="G59" s="490">
        <f>+'Панфилов ПУ'!E46</f>
        <v>328.74</v>
      </c>
      <c r="H59" s="249">
        <f>'Каратальский ПУ'!D41</f>
        <v>85.55</v>
      </c>
      <c r="I59" s="249">
        <v>89.203999999999994</v>
      </c>
      <c r="J59" s="81">
        <f>+'Алмалы, Ащыбулак'!D23</f>
        <v>83.08</v>
      </c>
      <c r="K59" s="81">
        <f>+'Алмалы, Ащыбулак'!E23</f>
        <v>10.42</v>
      </c>
      <c r="L59" s="81">
        <f>Акешки!D19</f>
        <v>13.25</v>
      </c>
      <c r="M59" s="81">
        <v>10.879</v>
      </c>
      <c r="N59" s="81">
        <f>+Аксу!D44</f>
        <v>136.43</v>
      </c>
      <c r="O59" s="81">
        <f>+Аксу!E44</f>
        <v>188.25500000000002</v>
      </c>
      <c r="P59" s="81">
        <f>+Алаколь!D44</f>
        <v>370</v>
      </c>
      <c r="Q59" s="81">
        <f>+Алаколь!E44</f>
        <v>284.17400000000004</v>
      </c>
      <c r="R59" s="81">
        <f>+Коксу!D40</f>
        <v>133.31</v>
      </c>
      <c r="S59" s="81">
        <f>+Коксу!E40</f>
        <v>156.21</v>
      </c>
      <c r="T59" s="81">
        <f>Ескелді!D46</f>
        <v>87.49</v>
      </c>
      <c r="U59" s="81">
        <f>Ескелді!E46</f>
        <v>107</v>
      </c>
      <c r="V59" s="478">
        <f>+Талдык!D42</f>
        <v>19.152999999999999</v>
      </c>
      <c r="W59" s="478">
        <f>+Талдык!E42</f>
        <v>77.839000000000013</v>
      </c>
      <c r="X59" s="487">
        <f>+Уйгур!D48</f>
        <v>189</v>
      </c>
      <c r="Y59" s="487">
        <f>+Уйгур!E48</f>
        <v>76.975999999999999</v>
      </c>
    </row>
    <row r="60" spans="1:51" ht="15" customHeight="1">
      <c r="A60" s="181" t="s">
        <v>316</v>
      </c>
      <c r="B60" s="173" t="s">
        <v>278</v>
      </c>
      <c r="C60" s="177" t="s">
        <v>38</v>
      </c>
      <c r="D60" s="178">
        <f t="shared" si="18"/>
        <v>3.7</v>
      </c>
      <c r="E60" s="178">
        <f t="shared" si="18"/>
        <v>257.34199999999998</v>
      </c>
      <c r="F60" s="490"/>
      <c r="G60" s="490"/>
      <c r="H60" s="249">
        <f>'Каратальский ПУ'!D42</f>
        <v>3.7</v>
      </c>
      <c r="I60" s="249">
        <v>5.7</v>
      </c>
      <c r="J60" s="81"/>
      <c r="K60" s="81"/>
      <c r="L60" s="81"/>
      <c r="M60" s="81"/>
      <c r="N60" s="81">
        <f>+Аксу!D45</f>
        <v>0</v>
      </c>
      <c r="O60" s="81">
        <f>+Аксу!E45</f>
        <v>251.642</v>
      </c>
      <c r="P60" s="81"/>
      <c r="Q60" s="81"/>
      <c r="R60" s="81"/>
      <c r="S60" s="81"/>
      <c r="T60" s="81"/>
      <c r="U60" s="81"/>
      <c r="V60" s="478"/>
      <c r="W60" s="478"/>
      <c r="X60" s="487"/>
      <c r="Y60" s="487"/>
    </row>
    <row r="61" spans="1:51" ht="15" customHeight="1">
      <c r="A61" s="181" t="s">
        <v>317</v>
      </c>
      <c r="B61" s="173" t="s">
        <v>257</v>
      </c>
      <c r="C61" s="177" t="s">
        <v>38</v>
      </c>
      <c r="D61" s="178">
        <f t="shared" si="18"/>
        <v>21.82</v>
      </c>
      <c r="E61" s="178">
        <f t="shared" si="18"/>
        <v>61.161999999999999</v>
      </c>
      <c r="F61" s="490"/>
      <c r="G61" s="490"/>
      <c r="H61" s="249">
        <f>'Каратальский ПУ'!D44</f>
        <v>6.82</v>
      </c>
      <c r="I61" s="249">
        <v>6.1619999999999999</v>
      </c>
      <c r="J61" s="81"/>
      <c r="K61" s="81"/>
      <c r="L61" s="81"/>
      <c r="M61" s="81"/>
      <c r="N61" s="81"/>
      <c r="O61" s="81"/>
      <c r="P61" s="81">
        <f>+Алаколь!D49</f>
        <v>15</v>
      </c>
      <c r="Q61" s="81">
        <f>+Алаколь!E49</f>
        <v>55</v>
      </c>
      <c r="R61" s="252"/>
      <c r="S61" s="252"/>
      <c r="T61" s="256"/>
      <c r="U61" s="256"/>
      <c r="V61" s="480"/>
      <c r="W61" s="480"/>
      <c r="X61" s="486"/>
      <c r="Y61" s="486"/>
    </row>
    <row r="62" spans="1:51" ht="15" customHeight="1">
      <c r="A62" s="181" t="s">
        <v>318</v>
      </c>
      <c r="B62" s="173" t="s">
        <v>335</v>
      </c>
      <c r="C62" s="177" t="s">
        <v>38</v>
      </c>
      <c r="D62" s="178">
        <f t="shared" si="18"/>
        <v>126.24299999999999</v>
      </c>
      <c r="E62" s="178">
        <f t="shared" si="18"/>
        <v>194.892</v>
      </c>
      <c r="F62" s="490"/>
      <c r="G62" s="490"/>
      <c r="H62" s="249"/>
      <c r="I62" s="249"/>
      <c r="J62" s="81"/>
      <c r="K62" s="81"/>
      <c r="L62" s="81"/>
      <c r="M62" s="81"/>
      <c r="N62" s="81"/>
      <c r="O62" s="81"/>
      <c r="P62" s="81">
        <f>+Алаколь!D50</f>
        <v>126.24299999999999</v>
      </c>
      <c r="Q62" s="81">
        <f>+Алаколь!E50</f>
        <v>194.892</v>
      </c>
      <c r="R62" s="252"/>
      <c r="S62" s="252"/>
      <c r="T62" s="256"/>
      <c r="U62" s="256"/>
      <c r="V62" s="480"/>
      <c r="W62" s="480"/>
      <c r="X62" s="486"/>
      <c r="Y62" s="486"/>
    </row>
    <row r="63" spans="1:51" ht="15" customHeight="1">
      <c r="A63" s="181" t="s">
        <v>319</v>
      </c>
      <c r="B63" s="173" t="s">
        <v>468</v>
      </c>
      <c r="C63" s="177" t="s">
        <v>38</v>
      </c>
      <c r="D63" s="178">
        <f t="shared" si="18"/>
        <v>294.14</v>
      </c>
      <c r="E63" s="178">
        <f t="shared" si="18"/>
        <v>128.33500000000001</v>
      </c>
      <c r="F63" s="490"/>
      <c r="G63" s="490"/>
      <c r="H63" s="249"/>
      <c r="I63" s="249"/>
      <c r="J63" s="81"/>
      <c r="K63" s="81"/>
      <c r="L63" s="81"/>
      <c r="M63" s="81"/>
      <c r="N63" s="81"/>
      <c r="O63" s="81"/>
      <c r="P63" s="81"/>
      <c r="Q63" s="81"/>
      <c r="R63" s="252"/>
      <c r="S63" s="252"/>
      <c r="T63" s="256"/>
      <c r="U63" s="256"/>
      <c r="V63" s="478">
        <f>+Талдык!D45</f>
        <v>294.14</v>
      </c>
      <c r="W63" s="478">
        <f>+Талдык!E45</f>
        <v>128.33500000000001</v>
      </c>
      <c r="X63" s="486"/>
      <c r="Y63" s="486"/>
    </row>
    <row r="64" spans="1:51" ht="15" customHeight="1">
      <c r="A64" s="181" t="s">
        <v>361</v>
      </c>
      <c r="B64" s="173" t="s">
        <v>120</v>
      </c>
      <c r="C64" s="177" t="s">
        <v>38</v>
      </c>
      <c r="D64" s="178">
        <f t="shared" si="18"/>
        <v>336.61</v>
      </c>
      <c r="E64" s="178">
        <f t="shared" si="18"/>
        <v>358.00650000000002</v>
      </c>
      <c r="F64" s="490">
        <f>+'Панфилов ПУ'!D47</f>
        <v>215.83</v>
      </c>
      <c r="G64" s="490">
        <f>+'Панфилов ПУ'!E47</f>
        <v>215.46</v>
      </c>
      <c r="H64" s="249"/>
      <c r="I64" s="249"/>
      <c r="J64" s="81">
        <f>+'Алмалы, Ащыбулак'!D22</f>
        <v>0.36</v>
      </c>
      <c r="K64" s="81">
        <f>+'Алмалы, Ащыбулак'!E22</f>
        <v>1.1579999999999999</v>
      </c>
      <c r="L64" s="81">
        <f>+Акешки!D18</f>
        <v>0.26</v>
      </c>
      <c r="M64" s="81">
        <f>+Акешки!E18</f>
        <v>0</v>
      </c>
      <c r="N64" s="81">
        <f>+Аксу!D48</f>
        <v>31.39</v>
      </c>
      <c r="O64" s="81">
        <f>+Аксу!E48</f>
        <v>13.608000000000001</v>
      </c>
      <c r="P64" s="81">
        <f>+Алаколь!D48</f>
        <v>0</v>
      </c>
      <c r="Q64" s="81">
        <f>+Алаколь!E48</f>
        <v>17.132999999999999</v>
      </c>
      <c r="R64" s="81">
        <f>+Коксу!D41</f>
        <v>0</v>
      </c>
      <c r="S64" s="81">
        <f>+Коксу!E41</f>
        <v>58.218000000000004</v>
      </c>
      <c r="T64" s="81"/>
      <c r="U64" s="81">
        <f>+Ескелді!E56</f>
        <v>48.945999999999998</v>
      </c>
      <c r="V64" s="478">
        <f>+Талдык!D46</f>
        <v>88.77</v>
      </c>
      <c r="W64" s="478">
        <f>+Талдык!E46</f>
        <v>2.3265000000000002</v>
      </c>
      <c r="X64" s="487"/>
      <c r="Y64" s="487">
        <f>+Уйгур!E49</f>
        <v>1.157</v>
      </c>
    </row>
    <row r="65" spans="1:51" ht="15" customHeight="1">
      <c r="A65" s="181" t="s">
        <v>362</v>
      </c>
      <c r="B65" s="173" t="s">
        <v>131</v>
      </c>
      <c r="C65" s="177" t="s">
        <v>38</v>
      </c>
      <c r="D65" s="178">
        <f t="shared" si="18"/>
        <v>1784.338</v>
      </c>
      <c r="E65" s="178">
        <f t="shared" si="18"/>
        <v>1490.6928</v>
      </c>
      <c r="F65" s="490">
        <f>+'Панфилов ПУ'!D49</f>
        <v>1267.99</v>
      </c>
      <c r="G65" s="490">
        <f>+'Панфилов ПУ'!E49</f>
        <v>1114.99</v>
      </c>
      <c r="H65" s="249">
        <f>'Каратальский ПУ'!D40</f>
        <v>50.908000000000001</v>
      </c>
      <c r="I65" s="249">
        <f>'Каратальский ПУ'!E40</f>
        <v>7.1029999999999998</v>
      </c>
      <c r="J65" s="490"/>
      <c r="K65" s="490"/>
      <c r="L65" s="490">
        <f>Акешки!D20</f>
        <v>0</v>
      </c>
      <c r="M65" s="490"/>
      <c r="N65" s="490">
        <f>+Аксу!D43</f>
        <v>53.49</v>
      </c>
      <c r="O65" s="490">
        <f>+Аксу!E43</f>
        <v>47.1738</v>
      </c>
      <c r="P65" s="490">
        <f>+Алаколь!D43</f>
        <v>138</v>
      </c>
      <c r="Q65" s="490">
        <f>+Алаколь!E43</f>
        <v>85.462999999999994</v>
      </c>
      <c r="R65" s="81">
        <f>+Коксу!D43</f>
        <v>93</v>
      </c>
      <c r="S65" s="81">
        <f>+Коксу!E43</f>
        <v>49.991</v>
      </c>
      <c r="T65" s="81">
        <f>+Ескелді!D44</f>
        <v>81.95</v>
      </c>
      <c r="U65" s="81">
        <f>+Ескелді!E44</f>
        <v>67.198999999999998</v>
      </c>
      <c r="V65" s="478">
        <f>+Талдык!D40</f>
        <v>20</v>
      </c>
      <c r="W65" s="478">
        <f>+Талдык!E40</f>
        <v>39.081000000000003</v>
      </c>
      <c r="X65" s="487">
        <f>+Уйгур!D45</f>
        <v>79</v>
      </c>
      <c r="Y65" s="487">
        <f>+Уйгур!E45</f>
        <v>79.691999999999993</v>
      </c>
    </row>
    <row r="66" spans="1:51" ht="15" customHeight="1">
      <c r="A66" s="181" t="s">
        <v>363</v>
      </c>
      <c r="B66" s="173" t="s">
        <v>151</v>
      </c>
      <c r="C66" s="177" t="s">
        <v>38</v>
      </c>
      <c r="D66" s="178">
        <f t="shared" si="18"/>
        <v>0</v>
      </c>
      <c r="E66" s="178">
        <f t="shared" si="18"/>
        <v>380.58100000000002</v>
      </c>
      <c r="F66" s="490"/>
      <c r="G66" s="490"/>
      <c r="H66" s="249"/>
      <c r="I66" s="249"/>
      <c r="J66" s="490"/>
      <c r="K66" s="490"/>
      <c r="L66" s="490"/>
      <c r="M66" s="490"/>
      <c r="N66" s="490"/>
      <c r="O66" s="490"/>
      <c r="P66" s="490"/>
      <c r="Q66" s="490"/>
      <c r="R66" s="81">
        <f>+Коксу!D39</f>
        <v>0</v>
      </c>
      <c r="S66" s="81">
        <f>+Коксу!E39</f>
        <v>380.58100000000002</v>
      </c>
      <c r="T66" s="256"/>
      <c r="U66" s="256"/>
      <c r="V66" s="480"/>
      <c r="W66" s="480"/>
      <c r="X66" s="486"/>
      <c r="Y66" s="486"/>
      <c r="AA66" s="492"/>
    </row>
    <row r="67" spans="1:51" ht="15" customHeight="1">
      <c r="A67" s="181" t="s">
        <v>364</v>
      </c>
      <c r="B67" s="185" t="s">
        <v>469</v>
      </c>
      <c r="C67" s="186" t="s">
        <v>2</v>
      </c>
      <c r="D67" s="178">
        <f t="shared" si="18"/>
        <v>926.18</v>
      </c>
      <c r="E67" s="178">
        <f t="shared" si="18"/>
        <v>693.97500000000002</v>
      </c>
      <c r="F67" s="490">
        <f>+'Панфилов ПУ'!D48</f>
        <v>654.65</v>
      </c>
      <c r="G67" s="490">
        <f>+'Панфилов ПУ'!E48</f>
        <v>481.75</v>
      </c>
      <c r="H67" s="249">
        <f>'Каратальский ПУ'!D45</f>
        <v>34.82</v>
      </c>
      <c r="I67" s="249">
        <v>38.625</v>
      </c>
      <c r="J67" s="490"/>
      <c r="K67" s="490"/>
      <c r="L67" s="490"/>
      <c r="M67" s="490"/>
      <c r="N67" s="490">
        <f>+Аксу!D47</f>
        <v>22.4</v>
      </c>
      <c r="O67" s="490">
        <f>+Аксу!E47</f>
        <v>0</v>
      </c>
      <c r="P67" s="490">
        <f>+Алаколь!D46</f>
        <v>127.1</v>
      </c>
      <c r="Q67" s="490">
        <f>+Алаколь!E46</f>
        <v>133.19999999999999</v>
      </c>
      <c r="R67" s="81">
        <f>+Коксу!D44</f>
        <v>30.6</v>
      </c>
      <c r="S67" s="81">
        <f>+Коксу!E44</f>
        <v>0</v>
      </c>
      <c r="T67" s="81">
        <f>Ескелді!D48</f>
        <v>8.68</v>
      </c>
      <c r="U67" s="81">
        <f>Ескелді!E48</f>
        <v>0</v>
      </c>
      <c r="V67" s="478">
        <f>+Талдык!D44</f>
        <v>10.53</v>
      </c>
      <c r="W67" s="478">
        <f>+Талдык!E44</f>
        <v>6.5</v>
      </c>
      <c r="X67" s="487">
        <f>+Уйгур!D46</f>
        <v>37.4</v>
      </c>
      <c r="Y67" s="487">
        <f>+Уйгур!E46</f>
        <v>33.9</v>
      </c>
      <c r="AA67" s="492"/>
    </row>
    <row r="68" spans="1:51" ht="15" customHeight="1">
      <c r="A68" s="181" t="s">
        <v>365</v>
      </c>
      <c r="B68" s="185" t="s">
        <v>406</v>
      </c>
      <c r="C68" s="186" t="s">
        <v>2</v>
      </c>
      <c r="D68" s="178">
        <f t="shared" si="18"/>
        <v>456.65699999999998</v>
      </c>
      <c r="E68" s="178">
        <f t="shared" si="18"/>
        <v>174.09399999999999</v>
      </c>
      <c r="F68" s="490"/>
      <c r="G68" s="490"/>
      <c r="H68" s="249">
        <f>'Каратальский ПУ'!D39</f>
        <v>16.936</v>
      </c>
      <c r="I68" s="249">
        <f>'Каратальский ПУ'!E39</f>
        <v>16.936</v>
      </c>
      <c r="J68" s="490"/>
      <c r="K68" s="490"/>
      <c r="L68" s="490"/>
      <c r="M68" s="490"/>
      <c r="N68" s="490">
        <f>+Аксу!D42</f>
        <v>80.05</v>
      </c>
      <c r="O68" s="490">
        <f>+Аксу!E42</f>
        <v>22.100999999999999</v>
      </c>
      <c r="P68" s="490"/>
      <c r="Q68" s="490"/>
      <c r="R68" s="81">
        <f>+Коксу!D46</f>
        <v>118.7</v>
      </c>
      <c r="S68" s="81">
        <f>+Коксу!E46</f>
        <v>0</v>
      </c>
      <c r="T68" s="81">
        <f>Ескелді!D55</f>
        <v>0</v>
      </c>
      <c r="U68" s="81">
        <f>Ескелді!E55</f>
        <v>49.268999999999998</v>
      </c>
      <c r="V68" s="478">
        <f>+Талдык!D39</f>
        <v>57.470999999999997</v>
      </c>
      <c r="W68" s="478">
        <f>+Талдык!E39</f>
        <v>61.484999999999999</v>
      </c>
      <c r="X68" s="487">
        <f>+Уйгур!D43</f>
        <v>183.5</v>
      </c>
      <c r="Y68" s="487">
        <f>+Уйгур!E43</f>
        <v>24.303000000000001</v>
      </c>
    </row>
    <row r="69" spans="1:51" ht="15" customHeight="1">
      <c r="A69" s="181" t="s">
        <v>366</v>
      </c>
      <c r="B69" s="173" t="s">
        <v>465</v>
      </c>
      <c r="C69" s="177" t="s">
        <v>38</v>
      </c>
      <c r="D69" s="178">
        <f t="shared" si="18"/>
        <v>83.5</v>
      </c>
      <c r="E69" s="178">
        <f t="shared" si="18"/>
        <v>35.5</v>
      </c>
      <c r="F69" s="490"/>
      <c r="G69" s="490"/>
      <c r="H69" s="249">
        <f>'Каратальский ПУ'!D38</f>
        <v>4</v>
      </c>
      <c r="I69" s="249">
        <f>'Каратальский ПУ'!E38</f>
        <v>4</v>
      </c>
      <c r="J69" s="490"/>
      <c r="K69" s="490"/>
      <c r="L69" s="490"/>
      <c r="M69" s="490"/>
      <c r="N69" s="490">
        <f>+Аксу!D41</f>
        <v>17.5</v>
      </c>
      <c r="O69" s="490">
        <f>+Аксу!E41</f>
        <v>7.5</v>
      </c>
      <c r="P69" s="490"/>
      <c r="Q69" s="490"/>
      <c r="R69" s="81">
        <f>+Коксу!D45</f>
        <v>27</v>
      </c>
      <c r="S69" s="81">
        <f>+Коксу!E45</f>
        <v>0</v>
      </c>
      <c r="T69" s="250">
        <f>Ескелді!D54</f>
        <v>0</v>
      </c>
      <c r="U69" s="250">
        <f>Ескелді!E54</f>
        <v>10</v>
      </c>
      <c r="V69" s="478">
        <f>+Талдык!D38</f>
        <v>3</v>
      </c>
      <c r="W69" s="478">
        <f>+Талдык!E38</f>
        <v>7</v>
      </c>
      <c r="X69" s="487">
        <f>+Уйгур!D44</f>
        <v>32</v>
      </c>
      <c r="Y69" s="487">
        <f>+Уйгур!E44</f>
        <v>7</v>
      </c>
    </row>
    <row r="70" spans="1:51" ht="15" customHeight="1">
      <c r="A70" s="181" t="s">
        <v>367</v>
      </c>
      <c r="B70" s="179" t="s">
        <v>207</v>
      </c>
      <c r="C70" s="177" t="s">
        <v>38</v>
      </c>
      <c r="D70" s="178">
        <f t="shared" si="18"/>
        <v>0</v>
      </c>
      <c r="E70" s="178">
        <f t="shared" si="18"/>
        <v>276.81799999999998</v>
      </c>
      <c r="F70" s="490"/>
      <c r="G70" s="490"/>
      <c r="H70" s="249"/>
      <c r="I70" s="249"/>
      <c r="J70" s="490"/>
      <c r="K70" s="490"/>
      <c r="L70" s="490"/>
      <c r="M70" s="490"/>
      <c r="N70" s="490"/>
      <c r="O70" s="490"/>
      <c r="P70" s="490"/>
      <c r="Q70" s="490"/>
      <c r="R70" s="81">
        <f>+Коксу!D42</f>
        <v>0</v>
      </c>
      <c r="S70" s="81">
        <f>+Коксу!E42</f>
        <v>18.152000000000001</v>
      </c>
      <c r="T70" s="81"/>
      <c r="U70" s="81"/>
      <c r="V70" s="478"/>
      <c r="W70" s="478"/>
      <c r="X70" s="487"/>
      <c r="Y70" s="487">
        <f>+Уйгур!E47</f>
        <v>258.666</v>
      </c>
    </row>
    <row r="71" spans="1:51" ht="15" customHeight="1">
      <c r="A71" s="181" t="s">
        <v>368</v>
      </c>
      <c r="B71" s="179" t="s">
        <v>470</v>
      </c>
      <c r="C71" s="177" t="s">
        <v>38</v>
      </c>
      <c r="D71" s="178">
        <f t="shared" si="18"/>
        <v>14.01</v>
      </c>
      <c r="E71" s="178">
        <f t="shared" si="18"/>
        <v>10.7</v>
      </c>
      <c r="F71" s="490"/>
      <c r="G71" s="490"/>
      <c r="H71" s="249"/>
      <c r="I71" s="249"/>
      <c r="J71" s="490"/>
      <c r="K71" s="490"/>
      <c r="L71" s="490"/>
      <c r="M71" s="490"/>
      <c r="N71" s="490"/>
      <c r="O71" s="490"/>
      <c r="P71" s="490"/>
      <c r="Q71" s="490"/>
      <c r="R71" s="81"/>
      <c r="S71" s="81"/>
      <c r="T71" s="81">
        <f>Ескелді!D45</f>
        <v>14.01</v>
      </c>
      <c r="U71" s="81">
        <f>Ескелді!E45</f>
        <v>10.7</v>
      </c>
      <c r="V71" s="478"/>
      <c r="W71" s="478"/>
      <c r="X71" s="486"/>
      <c r="Y71" s="486"/>
    </row>
    <row r="72" spans="1:51" ht="15" customHeight="1">
      <c r="A72" s="181" t="s">
        <v>369</v>
      </c>
      <c r="B72" s="179" t="s">
        <v>471</v>
      </c>
      <c r="C72" s="177" t="s">
        <v>38</v>
      </c>
      <c r="D72" s="178">
        <f t="shared" si="18"/>
        <v>0</v>
      </c>
      <c r="E72" s="178">
        <f t="shared" si="18"/>
        <v>4886.8420000000006</v>
      </c>
      <c r="F72" s="490"/>
      <c r="G72" s="490"/>
      <c r="H72" s="249"/>
      <c r="I72" s="249"/>
      <c r="J72" s="490"/>
      <c r="K72" s="490"/>
      <c r="L72" s="490"/>
      <c r="M72" s="490"/>
      <c r="N72" s="490">
        <f>+Аксу!D49</f>
        <v>0</v>
      </c>
      <c r="O72" s="490">
        <f>+Аксу!E49</f>
        <v>1248.5</v>
      </c>
      <c r="P72" s="490">
        <f>+Алаколь!D47</f>
        <v>0</v>
      </c>
      <c r="Q72" s="490">
        <f>+Алаколь!E47</f>
        <v>850.875</v>
      </c>
      <c r="R72" s="81"/>
      <c r="S72" s="81"/>
      <c r="T72" s="81"/>
      <c r="U72" s="81"/>
      <c r="V72" s="480"/>
      <c r="W72" s="480"/>
      <c r="X72" s="490"/>
      <c r="Y72" s="490">
        <f>+Уйгур!E50</f>
        <v>2787.4670000000001</v>
      </c>
    </row>
    <row r="73" spans="1:51" ht="15" customHeight="1">
      <c r="A73" s="181" t="s">
        <v>370</v>
      </c>
      <c r="B73" s="179" t="s">
        <v>371</v>
      </c>
      <c r="C73" s="177" t="s">
        <v>2</v>
      </c>
      <c r="D73" s="178">
        <f t="shared" si="18"/>
        <v>0</v>
      </c>
      <c r="E73" s="178"/>
      <c r="F73" s="490"/>
      <c r="G73" s="490"/>
      <c r="H73" s="249"/>
      <c r="I73" s="249"/>
      <c r="J73" s="490"/>
      <c r="K73" s="490"/>
      <c r="L73" s="490"/>
      <c r="M73" s="490"/>
      <c r="N73" s="490"/>
      <c r="O73" s="490"/>
      <c r="P73" s="490"/>
      <c r="Q73" s="490"/>
      <c r="R73" s="81">
        <f>+Коксу!D37</f>
        <v>0</v>
      </c>
      <c r="S73" s="81">
        <f>+Коксу!E37</f>
        <v>38.604999999999997</v>
      </c>
      <c r="T73" s="81"/>
      <c r="U73" s="81"/>
      <c r="V73" s="480"/>
      <c r="W73" s="480"/>
      <c r="X73" s="490"/>
      <c r="Y73" s="490"/>
    </row>
    <row r="74" spans="1:51" s="9" customFormat="1" ht="15" customHeight="1">
      <c r="A74" s="192" t="s">
        <v>1</v>
      </c>
      <c r="B74" s="193" t="s">
        <v>27</v>
      </c>
      <c r="C74" s="177" t="s">
        <v>38</v>
      </c>
      <c r="D74" s="6">
        <f t="shared" si="18"/>
        <v>378518.74800000002</v>
      </c>
      <c r="E74" s="6">
        <f t="shared" si="18"/>
        <v>320091.22958000004</v>
      </c>
      <c r="F74" s="252">
        <f t="shared" ref="F74:Y74" si="19">F8+F39</f>
        <v>104264.98000000001</v>
      </c>
      <c r="G74" s="252">
        <f t="shared" si="19"/>
        <v>89255.829999999987</v>
      </c>
      <c r="H74" s="247">
        <f t="shared" si="19"/>
        <v>27094.472999999998</v>
      </c>
      <c r="I74" s="247">
        <f t="shared" si="19"/>
        <v>20915.386999999999</v>
      </c>
      <c r="J74" s="252">
        <f t="shared" si="19"/>
        <v>705.8599999999999</v>
      </c>
      <c r="K74" s="252">
        <f t="shared" si="19"/>
        <v>535.89800000000002</v>
      </c>
      <c r="L74" s="252">
        <f t="shared" si="19"/>
        <v>268.94</v>
      </c>
      <c r="M74" s="252">
        <f t="shared" si="19"/>
        <v>332.62400000000002</v>
      </c>
      <c r="N74" s="252">
        <f t="shared" si="19"/>
        <v>36750.036</v>
      </c>
      <c r="O74" s="252">
        <f t="shared" si="19"/>
        <v>35101.493799999997</v>
      </c>
      <c r="P74" s="252">
        <f t="shared" si="19"/>
        <v>51112.736000000004</v>
      </c>
      <c r="Q74" s="252">
        <f t="shared" si="19"/>
        <v>54378.697999999997</v>
      </c>
      <c r="R74" s="252">
        <f t="shared" si="19"/>
        <v>53304.002999999997</v>
      </c>
      <c r="S74" s="252">
        <f t="shared" si="19"/>
        <v>34858.54</v>
      </c>
      <c r="T74" s="252">
        <f t="shared" si="19"/>
        <v>41028.192999999999</v>
      </c>
      <c r="U74" s="252">
        <f t="shared" si="19"/>
        <v>34723.361000000004</v>
      </c>
      <c r="V74" s="252">
        <f t="shared" si="19"/>
        <v>19845.557000000001</v>
      </c>
      <c r="W74" s="252">
        <f t="shared" si="19"/>
        <v>19522.95578</v>
      </c>
      <c r="X74" s="252">
        <f t="shared" si="19"/>
        <v>44143.969999999994</v>
      </c>
      <c r="Y74" s="252">
        <f t="shared" si="19"/>
        <v>30466.441999999995</v>
      </c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</row>
    <row r="75" spans="1:51" s="9" customFormat="1" ht="15" customHeight="1">
      <c r="A75" s="192" t="s">
        <v>58</v>
      </c>
      <c r="B75" s="193" t="s">
        <v>77</v>
      </c>
      <c r="C75" s="175" t="s">
        <v>38</v>
      </c>
      <c r="D75" s="6">
        <f t="shared" si="18"/>
        <v>-434.72199999998338</v>
      </c>
      <c r="E75" s="6">
        <f t="shared" si="18"/>
        <v>36035.102602000014</v>
      </c>
      <c r="F75" s="252">
        <f>F76-F74</f>
        <v>0</v>
      </c>
      <c r="G75" s="252">
        <f t="shared" ref="G75:Y75" si="20">G76-G74</f>
        <v>12406.290000000008</v>
      </c>
      <c r="H75" s="247">
        <f t="shared" si="20"/>
        <v>-2.9999999969732016E-3</v>
      </c>
      <c r="I75" s="247">
        <f t="shared" si="20"/>
        <v>6179.0930000000008</v>
      </c>
      <c r="J75" s="252">
        <f t="shared" si="20"/>
        <v>0</v>
      </c>
      <c r="K75" s="252">
        <f t="shared" si="20"/>
        <v>168.76111000000003</v>
      </c>
      <c r="L75" s="252">
        <f t="shared" si="20"/>
        <v>0</v>
      </c>
      <c r="M75" s="252">
        <f t="shared" si="20"/>
        <v>27.812999999999988</v>
      </c>
      <c r="N75" s="252">
        <f t="shared" si="20"/>
        <v>-146.1160000000018</v>
      </c>
      <c r="O75" s="252">
        <f t="shared" si="20"/>
        <v>2884.7262000000046</v>
      </c>
      <c r="P75" s="252">
        <f t="shared" si="20"/>
        <v>0</v>
      </c>
      <c r="Q75" s="252">
        <f t="shared" si="20"/>
        <v>3013.8640000000014</v>
      </c>
      <c r="R75" s="252">
        <f t="shared" si="20"/>
        <v>-73.102999999995518</v>
      </c>
      <c r="S75" s="252">
        <f t="shared" si="20"/>
        <v>3914.5400000000009</v>
      </c>
      <c r="T75" s="252">
        <f t="shared" si="20"/>
        <v>-2.9999999969732016E-3</v>
      </c>
      <c r="U75" s="257">
        <f t="shared" si="20"/>
        <v>2025.244071999994</v>
      </c>
      <c r="V75" s="252">
        <f t="shared" si="20"/>
        <v>3.0000000006111804E-3</v>
      </c>
      <c r="W75" s="252">
        <f t="shared" si="20"/>
        <v>811.49922000000151</v>
      </c>
      <c r="X75" s="252">
        <f t="shared" si="20"/>
        <v>-215.49999999999272</v>
      </c>
      <c r="Y75" s="252">
        <f t="shared" si="20"/>
        <v>4603.2720000000045</v>
      </c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</row>
    <row r="76" spans="1:51" s="9" customFormat="1" ht="24.75" customHeight="1">
      <c r="A76" s="192" t="s">
        <v>26</v>
      </c>
      <c r="B76" s="193" t="s">
        <v>397</v>
      </c>
      <c r="C76" s="175" t="s">
        <v>38</v>
      </c>
      <c r="D76" s="180">
        <f t="shared" si="18"/>
        <v>378084.02599999995</v>
      </c>
      <c r="E76" s="180">
        <f t="shared" si="18"/>
        <v>356126.33218199998</v>
      </c>
      <c r="F76" s="258">
        <f>+'Панфилов ПУ'!D52</f>
        <v>104264.98</v>
      </c>
      <c r="G76" s="258">
        <f>+'Панфилов ПУ'!E52</f>
        <v>101662.12</v>
      </c>
      <c r="H76" s="503">
        <f>'Каратальский ПУ'!D53</f>
        <v>27094.47</v>
      </c>
      <c r="I76" s="503">
        <f>'Каратальский ПУ'!E53</f>
        <v>27094.48</v>
      </c>
      <c r="J76" s="258">
        <f>+'Алмалы, Ащыбулак'!D28</f>
        <v>705.86</v>
      </c>
      <c r="K76" s="258">
        <f>+'Алмалы, Ащыбулак'!E28</f>
        <v>704.65911000000006</v>
      </c>
      <c r="L76" s="258">
        <f>+Акешки!D25</f>
        <v>268.94</v>
      </c>
      <c r="M76" s="258">
        <f>+Акешки!E25</f>
        <v>360.43700000000001</v>
      </c>
      <c r="N76" s="258">
        <f>+Аксу!D52</f>
        <v>36603.919999999998</v>
      </c>
      <c r="O76" s="258">
        <f>+Аксу!E52</f>
        <v>37986.22</v>
      </c>
      <c r="P76" s="258">
        <f>+Алаколь!D53</f>
        <v>51112.736000000004</v>
      </c>
      <c r="Q76" s="258">
        <f>+Алаколь!E53</f>
        <v>57392.561999999998</v>
      </c>
      <c r="R76" s="258">
        <f>+Коксу!D49</f>
        <v>53230.9</v>
      </c>
      <c r="S76" s="258">
        <f>+Коксу!E49</f>
        <v>38773.08</v>
      </c>
      <c r="T76" s="258">
        <f>+Ескелді!D59</f>
        <v>41028.19</v>
      </c>
      <c r="U76" s="258">
        <f>+Ескелді!E59</f>
        <v>36748.605071999998</v>
      </c>
      <c r="V76" s="258">
        <f>+Талдык!D49</f>
        <v>19845.560000000001</v>
      </c>
      <c r="W76" s="258">
        <f>+Талдык!E49</f>
        <v>20334.455000000002</v>
      </c>
      <c r="X76" s="258">
        <f>+Уйгур!D53</f>
        <v>43928.47</v>
      </c>
      <c r="Y76" s="258">
        <f>+Уйгур!E53</f>
        <v>35069.714</v>
      </c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</row>
    <row r="77" spans="1:51" s="9" customFormat="1" ht="15" customHeight="1">
      <c r="A77" s="265" t="s">
        <v>28</v>
      </c>
      <c r="B77" s="264" t="s">
        <v>32</v>
      </c>
      <c r="C77" s="175" t="s">
        <v>372</v>
      </c>
      <c r="D77" s="180">
        <f t="shared" si="18"/>
        <v>1005721.3200000001</v>
      </c>
      <c r="E77" s="180">
        <f t="shared" si="18"/>
        <v>1012485.355</v>
      </c>
      <c r="F77" s="258">
        <f>+'Панфилов ПУ'!D53</f>
        <v>379297.84</v>
      </c>
      <c r="G77" s="258">
        <f>+'Панфилов ПУ'!E53</f>
        <v>379297.84</v>
      </c>
      <c r="H77" s="504">
        <f>'Каратальский ПУ'!D54</f>
        <v>87120.514999999999</v>
      </c>
      <c r="I77" s="504">
        <f>'Каратальский ПУ'!E54</f>
        <v>87120.514999999999</v>
      </c>
      <c r="J77" s="258">
        <f>+'Алмалы, Ащыбулак'!D31</f>
        <v>1777.9760000000001</v>
      </c>
      <c r="K77" s="258">
        <f>+'Алмалы, Ащыбулак'!E31</f>
        <v>1774.96</v>
      </c>
      <c r="L77" s="258">
        <f>Акешки!D26</f>
        <v>1299.229</v>
      </c>
      <c r="M77" s="258">
        <f>Акешки!E26</f>
        <v>1811.2460000000001</v>
      </c>
      <c r="N77" s="258">
        <f>+Аксу!D53</f>
        <v>81552</v>
      </c>
      <c r="O77" s="258">
        <f>+Аксу!E53</f>
        <v>84944.54</v>
      </c>
      <c r="P77" s="258">
        <f>+Алаколь!D54</f>
        <v>150861.66</v>
      </c>
      <c r="Q77" s="258">
        <f>+Алаколь!E54</f>
        <v>178400.62100000001</v>
      </c>
      <c r="R77" s="258">
        <f>+Коксу!D50</f>
        <v>89963</v>
      </c>
      <c r="S77" s="258">
        <f>+Коксу!E50</f>
        <v>89963.225999999995</v>
      </c>
      <c r="T77" s="258">
        <f>+Ескелді!D60</f>
        <v>93534</v>
      </c>
      <c r="U77" s="258">
        <f>+Ескелді!E60</f>
        <v>83761.131999999998</v>
      </c>
      <c r="V77" s="258">
        <f>Талдык!D50</f>
        <v>40315.1</v>
      </c>
      <c r="W77" s="258">
        <f>Талдык!E50</f>
        <v>41406.368999999999</v>
      </c>
      <c r="X77" s="258">
        <f>+Уйгур!D54</f>
        <v>80000</v>
      </c>
      <c r="Y77" s="258">
        <f>+Уйгур!E54</f>
        <v>64004.906000000003</v>
      </c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</row>
    <row r="78" spans="1:51" ht="15" customHeight="1">
      <c r="A78" s="192" t="s">
        <v>29</v>
      </c>
      <c r="B78" s="581" t="s">
        <v>78</v>
      </c>
      <c r="C78" s="175" t="s">
        <v>79</v>
      </c>
      <c r="D78" s="180"/>
      <c r="E78" s="180">
        <f t="shared" ref="E78" si="21">G78+I78+K78+M78+O78+Q78+S78+U78+W78+Y78</f>
        <v>190.23000757200435</v>
      </c>
      <c r="F78" s="473">
        <f>+'Панфилов ПУ'!D54</f>
        <v>14</v>
      </c>
      <c r="G78" s="473">
        <f>+'Панфилов ПУ'!E54</f>
        <v>14</v>
      </c>
      <c r="H78" s="505">
        <v>15.3</v>
      </c>
      <c r="I78" s="506">
        <v>15.3</v>
      </c>
      <c r="J78" s="473">
        <f>+'Алмалы, Ащыбулак'!D34</f>
        <v>9</v>
      </c>
      <c r="K78" s="473">
        <f>+'Алмалы, Ащыбулак'!E34</f>
        <v>21.000007572004346</v>
      </c>
      <c r="L78" s="507">
        <f>Акешки!D27</f>
        <v>15</v>
      </c>
      <c r="M78" s="507">
        <f>Акешки!E27</f>
        <v>26</v>
      </c>
      <c r="N78" s="473">
        <f>Аксу!D54</f>
        <v>25</v>
      </c>
      <c r="O78" s="473">
        <f>Аксу!E54</f>
        <v>25.93</v>
      </c>
      <c r="P78" s="508">
        <f>+Алаколь!D55</f>
        <v>23</v>
      </c>
      <c r="Q78" s="508">
        <f>+Алаколь!E55</f>
        <v>16</v>
      </c>
      <c r="R78" s="258">
        <f>+Коксу!D51</f>
        <v>14</v>
      </c>
      <c r="S78" s="258">
        <f>+Коксу!E51</f>
        <v>14</v>
      </c>
      <c r="T78" s="258">
        <f>+Ескелді!D61</f>
        <v>24</v>
      </c>
      <c r="U78" s="258">
        <f>Ескелді!E61</f>
        <v>21</v>
      </c>
      <c r="V78" s="473">
        <v>23</v>
      </c>
      <c r="W78" s="473">
        <v>21</v>
      </c>
      <c r="X78" s="494">
        <f>Уйгур!D56</f>
        <v>24</v>
      </c>
      <c r="Y78" s="493">
        <f>Уйгур!E56</f>
        <v>16</v>
      </c>
    </row>
    <row r="79" spans="1:51" s="9" customFormat="1" ht="26.25" customHeight="1">
      <c r="A79" s="192" t="s">
        <v>31</v>
      </c>
      <c r="B79" s="582"/>
      <c r="C79" s="175" t="s">
        <v>372</v>
      </c>
      <c r="D79" s="178">
        <f>F79+H79+J79+L79+N79+P79+R79+T79+V79+X79</f>
        <v>231334.40900000004</v>
      </c>
      <c r="E79" s="178">
        <f>G79+I79+K79+M79+O79+Q79+S79+U79+W79+Y79</f>
        <v>202213.65549178753</v>
      </c>
      <c r="F79" s="490">
        <f>+'Панфилов ПУ'!D55</f>
        <v>61746.160000000033</v>
      </c>
      <c r="G79" s="490">
        <f>+'Панфилов ПУ'!E55</f>
        <v>61746.160000000033</v>
      </c>
      <c r="H79" s="503">
        <f>'Каратальский ПУ'!D56</f>
        <v>15737.235000000001</v>
      </c>
      <c r="I79" s="503">
        <f>'Каратальский ПУ'!E56</f>
        <v>15737.235000000001</v>
      </c>
      <c r="J79" s="473">
        <f>+'Алмалы, Ащыбулак'!D35</f>
        <v>175.84399999999999</v>
      </c>
      <c r="K79" s="473">
        <f>+'Алмалы, Ащыбулак'!E35</f>
        <v>471.82481012658218</v>
      </c>
      <c r="L79" s="507">
        <f>Акешки!D28</f>
        <v>229.28</v>
      </c>
      <c r="M79" s="507">
        <f>Акешки!E28</f>
        <v>636.38400000000001</v>
      </c>
      <c r="N79" s="258">
        <f>Аксу!D55</f>
        <v>27144.1</v>
      </c>
      <c r="O79" s="258">
        <f>Аксу!E55</f>
        <v>29731.348681660911</v>
      </c>
      <c r="P79" s="258">
        <f>+Алаколь!D56</f>
        <v>44555</v>
      </c>
      <c r="Q79" s="258">
        <f>+Алаколь!E56</f>
        <v>34062.947999999997</v>
      </c>
      <c r="R79" s="258">
        <f>+Коксу!D52</f>
        <v>14765.2</v>
      </c>
      <c r="S79" s="258">
        <f>+Коксу!E52</f>
        <v>14645.174999999999</v>
      </c>
      <c r="T79" s="258">
        <f>+Ескелді!D62</f>
        <v>29537.05</v>
      </c>
      <c r="U79" s="258">
        <f>+Ескелді!E62</f>
        <v>22198.554</v>
      </c>
      <c r="V79" s="258">
        <f>Талдык!D52</f>
        <v>12181.54</v>
      </c>
      <c r="W79" s="258">
        <f>Талдык!E52</f>
        <v>10973.602999999999</v>
      </c>
      <c r="X79" s="473">
        <f>Уйгур!D55</f>
        <v>25263</v>
      </c>
      <c r="Y79" s="493">
        <f>Уйгур!E55</f>
        <v>12010.423000000001</v>
      </c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</row>
    <row r="80" spans="1:51" s="472" customFormat="1" ht="21.75" customHeight="1">
      <c r="A80" s="259" t="s">
        <v>33</v>
      </c>
      <c r="B80" s="470" t="s">
        <v>80</v>
      </c>
      <c r="C80" s="259"/>
      <c r="D80" s="180"/>
      <c r="E80" s="180"/>
      <c r="F80" s="258">
        <f>+'Панфилов ПУ'!D56</f>
        <v>0.27</v>
      </c>
      <c r="G80" s="258">
        <f>+'Панфилов ПУ'!E56</f>
        <v>0.26802715248787073</v>
      </c>
      <c r="H80" s="504">
        <f>'Каратальский ПУ'!D57</f>
        <v>0.31099988332254463</v>
      </c>
      <c r="I80" s="504">
        <f>'Каратальский ПУ'!E57</f>
        <v>0.31099999810607182</v>
      </c>
      <c r="J80" s="258">
        <f>+'Алмалы, Ащыбулак'!D36</f>
        <v>0.39700000000000002</v>
      </c>
      <c r="K80" s="258">
        <f>+'Алмалы, Ащыбулак'!E36</f>
        <v>0.39700000000000002</v>
      </c>
      <c r="L80" s="258">
        <f>Акешки!D29</f>
        <v>0.20699999999999999</v>
      </c>
      <c r="M80" s="258">
        <f>Акешки!E29</f>
        <v>0.19899947329076226</v>
      </c>
      <c r="N80" s="258">
        <f>Аксу!D56</f>
        <v>0.4488414753776731</v>
      </c>
      <c r="O80" s="258">
        <f>Аксу!E56</f>
        <v>0.44718848321504834</v>
      </c>
      <c r="P80" s="258">
        <f>+Алаколь!D57</f>
        <v>0.33900000000000002</v>
      </c>
      <c r="Q80" s="258">
        <f>+Алаколь!E57</f>
        <v>0.32170606625859222</v>
      </c>
      <c r="R80" s="258">
        <f>+Коксу!D53</f>
        <v>0.59199999999999997</v>
      </c>
      <c r="S80" s="258">
        <f>+Коксу!E53</f>
        <v>0.43098810173837032</v>
      </c>
      <c r="T80" s="258">
        <f>+Ескелді!D63</f>
        <v>0.439</v>
      </c>
      <c r="U80" s="258" t="str">
        <f>+Ескелді!E63</f>
        <v>0,41/0,438/0,439</v>
      </c>
      <c r="V80" s="258">
        <f>Талдык!D53</f>
        <v>0.49199999999999999</v>
      </c>
      <c r="W80" s="258">
        <f>Талдык!E53</f>
        <v>0.49109486031001659</v>
      </c>
      <c r="X80" s="258">
        <f>+Уйгур!D57</f>
        <v>0.54900000000000004</v>
      </c>
      <c r="Y80" s="258">
        <f>+Уйгур!E57</f>
        <v>0.54792227958275574</v>
      </c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471"/>
      <c r="AM80" s="471"/>
      <c r="AN80" s="471"/>
      <c r="AO80" s="471"/>
      <c r="AP80" s="471"/>
      <c r="AQ80" s="471"/>
      <c r="AR80" s="471"/>
      <c r="AS80" s="471"/>
      <c r="AT80" s="471"/>
      <c r="AU80" s="471"/>
      <c r="AV80" s="471"/>
      <c r="AW80" s="471"/>
      <c r="AX80" s="471"/>
      <c r="AY80" s="471"/>
    </row>
    <row r="81" spans="1:51" s="174" customFormat="1" ht="18" customHeight="1">
      <c r="B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V81" s="476"/>
      <c r="W81" s="476"/>
      <c r="X81" s="476"/>
      <c r="Y81" s="476"/>
    </row>
    <row r="82" spans="1:51" s="174" customFormat="1" ht="18" customHeight="1">
      <c r="V82" s="476"/>
      <c r="W82" s="476"/>
      <c r="X82" s="476"/>
      <c r="Y82" s="476"/>
    </row>
    <row r="83" spans="1:51" s="4" customFormat="1">
      <c r="A83" s="174"/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484"/>
      <c r="W83" s="476"/>
      <c r="X83" s="476"/>
      <c r="Y83" s="476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</row>
    <row r="84" spans="1:51" s="4" customFormat="1">
      <c r="A84" s="188"/>
      <c r="B84" s="188"/>
      <c r="C84" s="12"/>
      <c r="D84" s="12"/>
      <c r="E84" s="12"/>
      <c r="F84" s="12"/>
      <c r="G84" s="12"/>
      <c r="H84" s="12"/>
      <c r="I84" s="12"/>
      <c r="J84" s="260"/>
      <c r="K84" s="260"/>
      <c r="L84" s="12"/>
      <c r="M84" s="12"/>
      <c r="N84" s="12"/>
      <c r="O84" s="12"/>
      <c r="P84" s="12"/>
      <c r="Q84" s="12"/>
      <c r="R84" s="12"/>
      <c r="S84" s="12"/>
      <c r="T84" s="246"/>
      <c r="U84" s="246"/>
      <c r="V84" s="477"/>
      <c r="W84" s="477"/>
      <c r="X84" s="485"/>
      <c r="Y84" s="485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</row>
    <row r="85" spans="1:51" s="4" customFormat="1">
      <c r="A85" s="188"/>
      <c r="B85" s="188"/>
      <c r="C85" s="12"/>
      <c r="D85" s="12"/>
      <c r="E85" s="12"/>
      <c r="F85" s="12"/>
      <c r="G85" s="12"/>
      <c r="H85" s="12"/>
      <c r="I85" s="12"/>
      <c r="J85" s="260"/>
      <c r="K85" s="260"/>
      <c r="L85" s="12"/>
      <c r="M85" s="12"/>
      <c r="N85" s="12"/>
      <c r="O85" s="12"/>
      <c r="P85" s="12"/>
      <c r="Q85" s="12"/>
      <c r="R85" s="12"/>
      <c r="S85" s="12"/>
      <c r="T85" s="246"/>
      <c r="U85" s="246"/>
      <c r="V85" s="477"/>
      <c r="W85" s="477"/>
      <c r="X85" s="485"/>
      <c r="Y85" s="485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</row>
    <row r="87" spans="1:51" s="4" customFormat="1">
      <c r="A87" s="12"/>
      <c r="B87" s="13"/>
      <c r="C87" s="12"/>
      <c r="D87" s="12"/>
      <c r="E87" s="12"/>
      <c r="F87" s="12"/>
      <c r="G87" s="12"/>
      <c r="H87" s="12"/>
      <c r="I87" s="12"/>
      <c r="J87" s="260"/>
      <c r="K87" s="260"/>
      <c r="L87" s="12"/>
      <c r="M87" s="12"/>
      <c r="N87" s="12"/>
      <c r="O87" s="12"/>
      <c r="P87" s="12"/>
      <c r="Q87" s="12"/>
      <c r="R87" s="12"/>
      <c r="S87" s="12"/>
      <c r="T87" s="246"/>
      <c r="U87" s="246"/>
      <c r="V87" s="477"/>
      <c r="W87" s="477"/>
      <c r="X87" s="485"/>
      <c r="Y87" s="485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</row>
    <row r="88" spans="1:51" s="4" customFormat="1">
      <c r="A88" s="12"/>
      <c r="B88" s="13"/>
      <c r="C88" s="12"/>
      <c r="D88" s="12"/>
      <c r="E88" s="12"/>
      <c r="F88" s="12"/>
      <c r="G88" s="12"/>
      <c r="H88" s="12"/>
      <c r="I88" s="12"/>
      <c r="J88" s="260"/>
      <c r="K88" s="260"/>
      <c r="L88" s="12"/>
      <c r="M88" s="12"/>
      <c r="N88" s="12"/>
      <c r="O88" s="12"/>
      <c r="P88" s="12"/>
      <c r="Q88" s="12"/>
      <c r="R88" s="12"/>
      <c r="S88" s="12"/>
      <c r="T88" s="246"/>
      <c r="U88" s="246"/>
      <c r="V88" s="477"/>
      <c r="W88" s="477"/>
      <c r="X88" s="485"/>
      <c r="Y88" s="485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</row>
  </sheetData>
  <mergeCells count="19">
    <mergeCell ref="A5:A7"/>
    <mergeCell ref="B5:B7"/>
    <mergeCell ref="C5:C7"/>
    <mergeCell ref="D5:E6"/>
    <mergeCell ref="F5:Y5"/>
    <mergeCell ref="F6:G6"/>
    <mergeCell ref="H6:I6"/>
    <mergeCell ref="V6:W6"/>
    <mergeCell ref="X6:Y6"/>
    <mergeCell ref="N6:O6"/>
    <mergeCell ref="P6:Q6"/>
    <mergeCell ref="R6:S6"/>
    <mergeCell ref="T6:U6"/>
    <mergeCell ref="D1:P1"/>
    <mergeCell ref="D2:P2"/>
    <mergeCell ref="D3:P3"/>
    <mergeCell ref="B78:B79"/>
    <mergeCell ref="J6:K6"/>
    <mergeCell ref="L6:M6"/>
  </mergeCells>
  <pageMargins left="0.15748031496062992" right="0.15748031496062992" top="0.78740157480314965" bottom="0.19685039370078741" header="0.23622047244094491" footer="0.15748031496062992"/>
  <pageSetup paperSize="9" scale="56" fitToHeight="0" orientation="landscape" r:id="rId1"/>
  <rowBreaks count="2" manualBreakCount="2">
    <brk id="44" max="27" man="1"/>
    <brk id="8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view="pageBreakPreview" topLeftCell="A34" zoomScale="60" zoomScaleNormal="70" workbookViewId="0">
      <selection activeCell="J61" sqref="J61"/>
    </sheetView>
  </sheetViews>
  <sheetFormatPr defaultRowHeight="15.75"/>
  <cols>
    <col min="1" max="1" width="5.7109375" style="266" customWidth="1"/>
    <col min="2" max="2" width="45" style="266" customWidth="1"/>
    <col min="3" max="3" width="13.7109375" style="266" customWidth="1"/>
    <col min="4" max="4" width="20" style="284" customWidth="1"/>
    <col min="5" max="5" width="20.42578125" style="284" customWidth="1"/>
    <col min="6" max="6" width="16.28515625" style="266" customWidth="1"/>
    <col min="7" max="7" width="21" style="44" customWidth="1"/>
    <col min="8" max="8" width="11.28515625" style="266" bestFit="1" customWidth="1"/>
    <col min="9" max="16384" width="9.140625" style="266"/>
  </cols>
  <sheetData>
    <row r="1" spans="1:8">
      <c r="A1" s="523" t="s">
        <v>373</v>
      </c>
      <c r="B1" s="523"/>
      <c r="C1" s="523"/>
      <c r="D1" s="523"/>
      <c r="E1" s="523"/>
      <c r="F1" s="523"/>
      <c r="G1" s="523"/>
    </row>
    <row r="2" spans="1:8">
      <c r="A2" s="523" t="s">
        <v>401</v>
      </c>
      <c r="B2" s="523"/>
      <c r="C2" s="523"/>
      <c r="D2" s="523"/>
      <c r="E2" s="523"/>
      <c r="F2" s="523"/>
      <c r="G2" s="523"/>
    </row>
    <row r="3" spans="1:8">
      <c r="A3" s="523" t="s">
        <v>399</v>
      </c>
      <c r="B3" s="523"/>
      <c r="C3" s="523"/>
      <c r="D3" s="523"/>
      <c r="E3" s="523"/>
      <c r="F3" s="523"/>
      <c r="G3" s="523"/>
    </row>
    <row r="5" spans="1:8" ht="65.25" customHeight="1">
      <c r="A5" s="208" t="s">
        <v>0</v>
      </c>
      <c r="B5" s="208" t="s">
        <v>81</v>
      </c>
      <c r="C5" s="208" t="s">
        <v>244</v>
      </c>
      <c r="D5" s="209" t="s">
        <v>375</v>
      </c>
      <c r="E5" s="209" t="s">
        <v>376</v>
      </c>
      <c r="F5" s="240" t="s">
        <v>377</v>
      </c>
      <c r="G5" s="210" t="s">
        <v>378</v>
      </c>
    </row>
    <row r="6" spans="1:8" s="269" customFormat="1" ht="36" customHeight="1">
      <c r="A6" s="267" t="s">
        <v>1</v>
      </c>
      <c r="B6" s="268" t="s">
        <v>245</v>
      </c>
      <c r="C6" s="267" t="s">
        <v>2</v>
      </c>
      <c r="D6" s="278">
        <f>D7+D12+D19+D16+D17</f>
        <v>17754.789000000001</v>
      </c>
      <c r="E6" s="278">
        <f>E7+E12+E19+E16+E17</f>
        <v>16286.002999999999</v>
      </c>
      <c r="F6" s="279">
        <f t="shared" ref="F6:F51" si="0">((E6*100)/D6)-100</f>
        <v>-8.2726187283892898</v>
      </c>
      <c r="G6" s="449"/>
      <c r="H6" s="285"/>
    </row>
    <row r="7" spans="1:8" ht="31.5">
      <c r="A7" s="270">
        <v>1</v>
      </c>
      <c r="B7" s="268" t="s">
        <v>246</v>
      </c>
      <c r="C7" s="267" t="s">
        <v>2</v>
      </c>
      <c r="D7" s="278">
        <f>SUM(D8:D11)</f>
        <v>596.02099999999996</v>
      </c>
      <c r="E7" s="278">
        <f t="shared" ref="E7" si="1">SUM(E8:E11)</f>
        <v>433.70699999999999</v>
      </c>
      <c r="F7" s="279">
        <f t="shared" si="0"/>
        <v>-27.23293306779459</v>
      </c>
      <c r="G7" s="449"/>
      <c r="H7" s="288"/>
    </row>
    <row r="8" spans="1:8">
      <c r="A8" s="271" t="s">
        <v>3</v>
      </c>
      <c r="B8" s="272" t="s">
        <v>413</v>
      </c>
      <c r="C8" s="271" t="s">
        <v>2</v>
      </c>
      <c r="D8" s="282">
        <v>73.489999999999995</v>
      </c>
      <c r="E8" s="287">
        <v>2.65</v>
      </c>
      <c r="F8" s="280">
        <f t="shared" si="0"/>
        <v>-96.394067220029939</v>
      </c>
      <c r="G8" s="526" t="s">
        <v>458</v>
      </c>
    </row>
    <row r="9" spans="1:8">
      <c r="A9" s="271" t="s">
        <v>4</v>
      </c>
      <c r="B9" s="272" t="s">
        <v>5</v>
      </c>
      <c r="C9" s="271" t="s">
        <v>2</v>
      </c>
      <c r="D9" s="282">
        <v>265.57</v>
      </c>
      <c r="E9" s="287">
        <v>240.036</v>
      </c>
      <c r="F9" s="280">
        <f t="shared" si="0"/>
        <v>-9.6147908272771758</v>
      </c>
      <c r="G9" s="527"/>
    </row>
    <row r="10" spans="1:8">
      <c r="A10" s="271" t="s">
        <v>6</v>
      </c>
      <c r="B10" s="272" t="s">
        <v>201</v>
      </c>
      <c r="C10" s="271" t="s">
        <v>2</v>
      </c>
      <c r="D10" s="282">
        <v>73.995999999999995</v>
      </c>
      <c r="E10" s="287"/>
      <c r="F10" s="280">
        <f t="shared" si="0"/>
        <v>-100</v>
      </c>
      <c r="G10" s="528"/>
    </row>
    <row r="11" spans="1:8">
      <c r="A11" s="271" t="s">
        <v>7</v>
      </c>
      <c r="B11" s="272" t="s">
        <v>202</v>
      </c>
      <c r="C11" s="271" t="s">
        <v>2</v>
      </c>
      <c r="D11" s="282">
        <v>182.965</v>
      </c>
      <c r="E11" s="287">
        <v>191.02099999999999</v>
      </c>
      <c r="F11" s="280">
        <f t="shared" si="0"/>
        <v>4.4030279015112086</v>
      </c>
      <c r="G11" s="449"/>
    </row>
    <row r="12" spans="1:8" ht="40.5" customHeight="1">
      <c r="A12" s="270">
        <v>2</v>
      </c>
      <c r="B12" s="268" t="s">
        <v>247</v>
      </c>
      <c r="C12" s="267" t="s">
        <v>2</v>
      </c>
      <c r="D12" s="278">
        <f>SUM(D13:D15)</f>
        <v>11308.268</v>
      </c>
      <c r="E12" s="289">
        <f>SUM(E13:E15)</f>
        <v>10823.370999999999</v>
      </c>
      <c r="F12" s="279">
        <f t="shared" si="0"/>
        <v>-4.287986453805317</v>
      </c>
      <c r="G12" s="450"/>
    </row>
    <row r="13" spans="1:8" ht="31.5">
      <c r="A13" s="271" t="s">
        <v>9</v>
      </c>
      <c r="B13" s="272" t="s">
        <v>402</v>
      </c>
      <c r="C13" s="271" t="s">
        <v>2</v>
      </c>
      <c r="D13" s="282">
        <v>10239.322</v>
      </c>
      <c r="E13" s="287">
        <v>9777.2099999999991</v>
      </c>
      <c r="F13" s="280">
        <f t="shared" si="0"/>
        <v>-4.5131113173313793</v>
      </c>
      <c r="G13" s="526" t="s">
        <v>458</v>
      </c>
    </row>
    <row r="14" spans="1:8">
      <c r="A14" s="271" t="s">
        <v>10</v>
      </c>
      <c r="B14" s="272" t="s">
        <v>403</v>
      </c>
      <c r="C14" s="271" t="s">
        <v>2</v>
      </c>
      <c r="D14" s="282">
        <v>1013.693</v>
      </c>
      <c r="E14" s="287">
        <f>52.92+71.693+393.467+480.352</f>
        <v>998.4319999999999</v>
      </c>
      <c r="F14" s="280">
        <f t="shared" si="0"/>
        <v>-1.5054853885742574</v>
      </c>
      <c r="G14" s="527"/>
    </row>
    <row r="15" spans="1:8">
      <c r="A15" s="273" t="s">
        <v>11</v>
      </c>
      <c r="B15" s="272" t="s">
        <v>174</v>
      </c>
      <c r="C15" s="271" t="s">
        <v>2</v>
      </c>
      <c r="D15" s="282">
        <v>55.253</v>
      </c>
      <c r="E15" s="287">
        <f>36.475+11.254</f>
        <v>47.728999999999999</v>
      </c>
      <c r="F15" s="280">
        <f t="shared" si="0"/>
        <v>-13.617360143340633</v>
      </c>
      <c r="G15" s="527"/>
    </row>
    <row r="16" spans="1:8">
      <c r="A16" s="274">
        <v>3</v>
      </c>
      <c r="B16" s="275" t="s">
        <v>111</v>
      </c>
      <c r="C16" s="267" t="s">
        <v>2</v>
      </c>
      <c r="D16" s="278">
        <v>4869.6000000000004</v>
      </c>
      <c r="E16" s="289">
        <v>4463.8</v>
      </c>
      <c r="F16" s="279">
        <f t="shared" si="0"/>
        <v>-8.3333333333333428</v>
      </c>
      <c r="G16" s="528"/>
    </row>
    <row r="17" spans="1:8">
      <c r="A17" s="274" t="s">
        <v>249</v>
      </c>
      <c r="B17" s="275" t="s">
        <v>412</v>
      </c>
      <c r="C17" s="267" t="s">
        <v>2</v>
      </c>
      <c r="D17" s="278">
        <f t="shared" ref="D17:E17" si="2">D18</f>
        <v>555.87</v>
      </c>
      <c r="E17" s="289">
        <f t="shared" si="2"/>
        <v>216.69</v>
      </c>
      <c r="F17" s="279">
        <f t="shared" si="0"/>
        <v>-61.017863889038807</v>
      </c>
      <c r="G17" s="449"/>
    </row>
    <row r="18" spans="1:8" ht="33.75" customHeight="1">
      <c r="A18" s="273" t="s">
        <v>12</v>
      </c>
      <c r="B18" s="272" t="s">
        <v>411</v>
      </c>
      <c r="C18" s="271" t="s">
        <v>2</v>
      </c>
      <c r="D18" s="282">
        <v>555.87</v>
      </c>
      <c r="E18" s="287">
        <v>216.69</v>
      </c>
      <c r="F18" s="280">
        <f t="shared" si="0"/>
        <v>-61.017863889038807</v>
      </c>
      <c r="G18" s="450" t="s">
        <v>458</v>
      </c>
    </row>
    <row r="19" spans="1:8">
      <c r="A19" s="270">
        <v>5</v>
      </c>
      <c r="B19" s="268" t="s">
        <v>250</v>
      </c>
      <c r="C19" s="267" t="s">
        <v>2</v>
      </c>
      <c r="D19" s="278">
        <f>SUM(D20:D24)</f>
        <v>425.03</v>
      </c>
      <c r="E19" s="289">
        <f>SUM(E20:E24)</f>
        <v>348.435</v>
      </c>
      <c r="F19" s="279">
        <f t="shared" si="0"/>
        <v>-18.021080864880119</v>
      </c>
      <c r="G19" s="449"/>
    </row>
    <row r="20" spans="1:8">
      <c r="A20" s="273" t="s">
        <v>13</v>
      </c>
      <c r="B20" s="272" t="s">
        <v>151</v>
      </c>
      <c r="C20" s="271" t="s">
        <v>2</v>
      </c>
      <c r="D20" s="282">
        <v>225</v>
      </c>
      <c r="E20" s="287">
        <v>206.62</v>
      </c>
      <c r="F20" s="280">
        <f t="shared" si="0"/>
        <v>-8.1688888888888869</v>
      </c>
      <c r="G20" s="526" t="s">
        <v>458</v>
      </c>
    </row>
    <row r="21" spans="1:8">
      <c r="A21" s="273" t="s">
        <v>14</v>
      </c>
      <c r="B21" s="272" t="s">
        <v>310</v>
      </c>
      <c r="C21" s="271" t="s">
        <v>2</v>
      </c>
      <c r="D21" s="282">
        <v>16.8</v>
      </c>
      <c r="E21" s="287">
        <v>16.8</v>
      </c>
      <c r="F21" s="280">
        <f t="shared" si="0"/>
        <v>0</v>
      </c>
      <c r="G21" s="527"/>
    </row>
    <row r="22" spans="1:8">
      <c r="A22" s="273" t="s">
        <v>53</v>
      </c>
      <c r="B22" s="272" t="s">
        <v>119</v>
      </c>
      <c r="C22" s="271" t="s">
        <v>2</v>
      </c>
      <c r="D22" s="282">
        <v>88.35</v>
      </c>
      <c r="E22" s="287">
        <v>88.35</v>
      </c>
      <c r="F22" s="280">
        <f t="shared" si="0"/>
        <v>0</v>
      </c>
      <c r="G22" s="527"/>
    </row>
    <row r="23" spans="1:8">
      <c r="A23" s="273" t="s">
        <v>15</v>
      </c>
      <c r="B23" s="272" t="s">
        <v>120</v>
      </c>
      <c r="C23" s="271" t="s">
        <v>2</v>
      </c>
      <c r="D23" s="282">
        <v>30</v>
      </c>
      <c r="E23" s="287"/>
      <c r="F23" s="280">
        <f t="shared" si="0"/>
        <v>-100</v>
      </c>
      <c r="G23" s="527"/>
    </row>
    <row r="24" spans="1:8" ht="40.5" customHeight="1">
      <c r="A24" s="273" t="s">
        <v>55</v>
      </c>
      <c r="B24" s="272" t="s">
        <v>410</v>
      </c>
      <c r="C24" s="271" t="s">
        <v>2</v>
      </c>
      <c r="D24" s="282">
        <v>64.88</v>
      </c>
      <c r="E24" s="287">
        <v>36.664999999999999</v>
      </c>
      <c r="F24" s="280">
        <f t="shared" si="0"/>
        <v>-43.487977805178787</v>
      </c>
      <c r="G24" s="528"/>
    </row>
    <row r="25" spans="1:8">
      <c r="A25" s="267" t="s">
        <v>123</v>
      </c>
      <c r="B25" s="268" t="s">
        <v>251</v>
      </c>
      <c r="C25" s="267" t="s">
        <v>2</v>
      </c>
      <c r="D25" s="278">
        <f>D26+D30</f>
        <v>9339.6839999999993</v>
      </c>
      <c r="E25" s="289">
        <f>E26+E30</f>
        <v>9043.0779999999995</v>
      </c>
      <c r="F25" s="281">
        <f t="shared" si="0"/>
        <v>-3.175760550356955</v>
      </c>
      <c r="G25" s="449"/>
      <c r="H25" s="284"/>
    </row>
    <row r="26" spans="1:8" ht="31.5">
      <c r="A26" s="270">
        <v>6</v>
      </c>
      <c r="B26" s="268" t="s">
        <v>252</v>
      </c>
      <c r="C26" s="267" t="s">
        <v>2</v>
      </c>
      <c r="D26" s="278">
        <f>D27+D28+D29</f>
        <v>8074.8949999999995</v>
      </c>
      <c r="E26" s="289">
        <f>E27+E28+E29</f>
        <v>7824.4429999999993</v>
      </c>
      <c r="F26" s="281">
        <f t="shared" si="0"/>
        <v>-3.1016130859905928</v>
      </c>
      <c r="G26" s="449"/>
    </row>
    <row r="27" spans="1:8" ht="31.5">
      <c r="A27" s="273" t="s">
        <v>21</v>
      </c>
      <c r="B27" s="272" t="s">
        <v>271</v>
      </c>
      <c r="C27" s="271" t="s">
        <v>2</v>
      </c>
      <c r="D27" s="282">
        <v>7313.3509999999997</v>
      </c>
      <c r="E27" s="287">
        <v>7077.98</v>
      </c>
      <c r="F27" s="280">
        <f t="shared" si="0"/>
        <v>-3.2183741762155194</v>
      </c>
      <c r="G27" s="526" t="s">
        <v>458</v>
      </c>
    </row>
    <row r="28" spans="1:8">
      <c r="A28" s="273" t="s">
        <v>22</v>
      </c>
      <c r="B28" s="272" t="s">
        <v>403</v>
      </c>
      <c r="C28" s="271" t="s">
        <v>2</v>
      </c>
      <c r="D28" s="282">
        <v>724.02200000000005</v>
      </c>
      <c r="E28" s="287">
        <f>65.557+78.668+259.524+311.429</f>
        <v>715.178</v>
      </c>
      <c r="F28" s="280">
        <f t="shared" si="0"/>
        <v>-1.2215098436235365</v>
      </c>
      <c r="G28" s="527"/>
    </row>
    <row r="29" spans="1:8">
      <c r="A29" s="273" t="s">
        <v>23</v>
      </c>
      <c r="B29" s="272" t="s">
        <v>174</v>
      </c>
      <c r="C29" s="271" t="s">
        <v>2</v>
      </c>
      <c r="D29" s="282">
        <v>37.521999999999998</v>
      </c>
      <c r="E29" s="287">
        <f>12.522+18.763</f>
        <v>31.285000000000004</v>
      </c>
      <c r="F29" s="280">
        <f t="shared" si="0"/>
        <v>-16.622248281008453</v>
      </c>
      <c r="G29" s="528"/>
    </row>
    <row r="30" spans="1:8">
      <c r="A30" s="274" t="s">
        <v>180</v>
      </c>
      <c r="B30" s="268" t="s">
        <v>250</v>
      </c>
      <c r="C30" s="267" t="s">
        <v>2</v>
      </c>
      <c r="D30" s="278">
        <f>SUM(D31:D45)</f>
        <v>1264.7889999999998</v>
      </c>
      <c r="E30" s="289">
        <f>SUM(E31:E45)</f>
        <v>1218.635</v>
      </c>
      <c r="F30" s="281">
        <f t="shared" si="0"/>
        <v>-3.6491462212273973</v>
      </c>
      <c r="G30" s="449"/>
    </row>
    <row r="31" spans="1:8">
      <c r="A31" s="273" t="s">
        <v>127</v>
      </c>
      <c r="B31" s="272" t="s">
        <v>16</v>
      </c>
      <c r="C31" s="271" t="s">
        <v>2</v>
      </c>
      <c r="D31" s="282">
        <v>946.29100000000005</v>
      </c>
      <c r="E31" s="287">
        <v>946.29100000000005</v>
      </c>
      <c r="F31" s="280">
        <f t="shared" si="0"/>
        <v>0</v>
      </c>
      <c r="G31" s="449"/>
    </row>
    <row r="32" spans="1:8">
      <c r="A32" s="273" t="s">
        <v>129</v>
      </c>
      <c r="B32" s="272" t="s">
        <v>97</v>
      </c>
      <c r="C32" s="271" t="s">
        <v>2</v>
      </c>
      <c r="D32" s="282">
        <v>5.3360000000000003</v>
      </c>
      <c r="E32" s="287">
        <v>5.3360000000000003</v>
      </c>
      <c r="F32" s="280">
        <f t="shared" si="0"/>
        <v>0</v>
      </c>
      <c r="G32" s="449"/>
    </row>
    <row r="33" spans="1:7">
      <c r="A33" s="273" t="s">
        <v>130</v>
      </c>
      <c r="B33" s="272" t="s">
        <v>137</v>
      </c>
      <c r="C33" s="271" t="s">
        <v>2</v>
      </c>
      <c r="D33" s="282">
        <v>4.1269999999999998</v>
      </c>
      <c r="E33" s="287">
        <v>4.1269999999999998</v>
      </c>
      <c r="F33" s="280">
        <f t="shared" si="0"/>
        <v>0</v>
      </c>
      <c r="G33" s="449"/>
    </row>
    <row r="34" spans="1:7">
      <c r="A34" s="273" t="s">
        <v>132</v>
      </c>
      <c r="B34" s="272" t="s">
        <v>409</v>
      </c>
      <c r="C34" s="271" t="s">
        <v>2</v>
      </c>
      <c r="D34" s="282">
        <v>15.013999999999999</v>
      </c>
      <c r="E34" s="287">
        <v>15.013999999999999</v>
      </c>
      <c r="F34" s="280">
        <f t="shared" si="0"/>
        <v>0</v>
      </c>
      <c r="G34" s="449"/>
    </row>
    <row r="35" spans="1:7">
      <c r="A35" s="273" t="s">
        <v>134</v>
      </c>
      <c r="B35" s="272" t="s">
        <v>408</v>
      </c>
      <c r="C35" s="271" t="s">
        <v>2</v>
      </c>
      <c r="D35" s="282">
        <v>6.92</v>
      </c>
      <c r="E35" s="287">
        <v>6.92</v>
      </c>
      <c r="F35" s="280">
        <f t="shared" si="0"/>
        <v>0</v>
      </c>
      <c r="G35" s="449"/>
    </row>
    <row r="36" spans="1:7">
      <c r="A36" s="273" t="s">
        <v>136</v>
      </c>
      <c r="B36" s="272" t="s">
        <v>407</v>
      </c>
      <c r="C36" s="271" t="s">
        <v>2</v>
      </c>
      <c r="D36" s="282">
        <v>4.7160000000000002</v>
      </c>
      <c r="E36" s="287">
        <v>4.7160000000000002</v>
      </c>
      <c r="F36" s="280">
        <f t="shared" si="0"/>
        <v>0</v>
      </c>
      <c r="G36" s="449"/>
    </row>
    <row r="37" spans="1:7" s="269" customFormat="1" ht="35.25" customHeight="1">
      <c r="A37" s="273" t="s">
        <v>138</v>
      </c>
      <c r="B37" s="272" t="s">
        <v>54</v>
      </c>
      <c r="C37" s="271" t="s">
        <v>2</v>
      </c>
      <c r="D37" s="282">
        <v>77.450999999999993</v>
      </c>
      <c r="E37" s="287">
        <v>75.760000000000005</v>
      </c>
      <c r="F37" s="280">
        <f t="shared" si="0"/>
        <v>-2.1833159029579861</v>
      </c>
      <c r="G37" s="450" t="s">
        <v>458</v>
      </c>
    </row>
    <row r="38" spans="1:7" ht="14.25" customHeight="1">
      <c r="A38" s="273" t="s">
        <v>142</v>
      </c>
      <c r="B38" s="272" t="s">
        <v>193</v>
      </c>
      <c r="C38" s="271" t="s">
        <v>2</v>
      </c>
      <c r="D38" s="282">
        <v>4</v>
      </c>
      <c r="E38" s="287">
        <v>4</v>
      </c>
      <c r="F38" s="280">
        <f t="shared" si="0"/>
        <v>0</v>
      </c>
      <c r="G38" s="449"/>
    </row>
    <row r="39" spans="1:7">
      <c r="A39" s="273" t="s">
        <v>144</v>
      </c>
      <c r="B39" s="272" t="s">
        <v>406</v>
      </c>
      <c r="C39" s="271" t="s">
        <v>2</v>
      </c>
      <c r="D39" s="282">
        <v>16.936</v>
      </c>
      <c r="E39" s="287">
        <v>16.936</v>
      </c>
      <c r="F39" s="280">
        <f t="shared" si="0"/>
        <v>0</v>
      </c>
      <c r="G39" s="449"/>
    </row>
    <row r="40" spans="1:7" s="46" customFormat="1" ht="31.5" customHeight="1">
      <c r="A40" s="273" t="s">
        <v>146</v>
      </c>
      <c r="B40" s="276" t="s">
        <v>131</v>
      </c>
      <c r="C40" s="271" t="s">
        <v>2</v>
      </c>
      <c r="D40" s="282">
        <v>50.908000000000001</v>
      </c>
      <c r="E40" s="290">
        <v>7.1029999999999998</v>
      </c>
      <c r="F40" s="280">
        <f t="shared" si="0"/>
        <v>-86.047379586705432</v>
      </c>
      <c r="G40" s="450" t="s">
        <v>458</v>
      </c>
    </row>
    <row r="41" spans="1:7" s="46" customFormat="1">
      <c r="A41" s="273" t="s">
        <v>147</v>
      </c>
      <c r="B41" s="272" t="s">
        <v>153</v>
      </c>
      <c r="C41" s="271" t="s">
        <v>2</v>
      </c>
      <c r="D41" s="282">
        <v>85.55</v>
      </c>
      <c r="E41" s="287">
        <v>85.55</v>
      </c>
      <c r="F41" s="280">
        <f t="shared" si="0"/>
        <v>0</v>
      </c>
      <c r="G41" s="449"/>
    </row>
    <row r="42" spans="1:7" s="46" customFormat="1">
      <c r="A42" s="273" t="s">
        <v>149</v>
      </c>
      <c r="B42" s="272" t="s">
        <v>278</v>
      </c>
      <c r="C42" s="271" t="s">
        <v>2</v>
      </c>
      <c r="D42" s="282">
        <v>3.7</v>
      </c>
      <c r="E42" s="287">
        <v>3.7</v>
      </c>
      <c r="F42" s="280">
        <f t="shared" si="0"/>
        <v>0</v>
      </c>
      <c r="G42" s="449"/>
    </row>
    <row r="43" spans="1:7" s="46" customFormat="1">
      <c r="A43" s="273" t="s">
        <v>150</v>
      </c>
      <c r="B43" s="272" t="s">
        <v>405</v>
      </c>
      <c r="C43" s="271" t="s">
        <v>2</v>
      </c>
      <c r="D43" s="282">
        <v>2.2000000000000002</v>
      </c>
      <c r="E43" s="287">
        <v>2.2000000000000002</v>
      </c>
      <c r="F43" s="280">
        <f t="shared" si="0"/>
        <v>0</v>
      </c>
      <c r="G43" s="449"/>
    </row>
    <row r="44" spans="1:7" s="269" customFormat="1" ht="31.5" customHeight="1">
      <c r="A44" s="273" t="s">
        <v>152</v>
      </c>
      <c r="B44" s="276" t="s">
        <v>257</v>
      </c>
      <c r="C44" s="271" t="s">
        <v>2</v>
      </c>
      <c r="D44" s="282">
        <v>6.82</v>
      </c>
      <c r="E44" s="287">
        <v>6.1619999999999999</v>
      </c>
      <c r="F44" s="280">
        <f t="shared" si="0"/>
        <v>-9.6480938416422219</v>
      </c>
      <c r="G44" s="450" t="s">
        <v>458</v>
      </c>
    </row>
    <row r="45" spans="1:7" s="269" customFormat="1" ht="31.5">
      <c r="A45" s="273" t="s">
        <v>191</v>
      </c>
      <c r="B45" s="277" t="s">
        <v>404</v>
      </c>
      <c r="C45" s="271" t="s">
        <v>2</v>
      </c>
      <c r="D45" s="282">
        <v>34.82</v>
      </c>
      <c r="E45" s="287">
        <v>34.82</v>
      </c>
      <c r="F45" s="280"/>
      <c r="G45" s="449"/>
    </row>
    <row r="46" spans="1:7" ht="15.75" hidden="1" customHeight="1">
      <c r="A46" s="273" t="s">
        <v>154</v>
      </c>
      <c r="B46" s="272" t="s">
        <v>258</v>
      </c>
      <c r="C46" s="271" t="s">
        <v>2</v>
      </c>
      <c r="D46" s="282"/>
      <c r="E46" s="287"/>
      <c r="F46" s="280" t="e">
        <f t="shared" si="0"/>
        <v>#DIV/0!</v>
      </c>
      <c r="G46" s="449"/>
    </row>
    <row r="47" spans="1:7" ht="18.75" customHeight="1">
      <c r="A47" s="267" t="s">
        <v>26</v>
      </c>
      <c r="B47" s="268" t="s">
        <v>259</v>
      </c>
      <c r="C47" s="267" t="s">
        <v>2</v>
      </c>
      <c r="D47" s="278">
        <f>SUM(D25+D6)</f>
        <v>27094.472999999998</v>
      </c>
      <c r="E47" s="289">
        <f>SUM(E25+E6)</f>
        <v>25329.080999999998</v>
      </c>
      <c r="F47" s="281"/>
      <c r="G47" s="449"/>
    </row>
    <row r="48" spans="1:7" ht="15.75" hidden="1" customHeight="1">
      <c r="A48" s="267" t="s">
        <v>28</v>
      </c>
      <c r="B48" s="268" t="s">
        <v>162</v>
      </c>
      <c r="C48" s="267" t="s">
        <v>2</v>
      </c>
      <c r="D48" s="278" t="e">
        <f>+D49-D47</f>
        <v>#REF!</v>
      </c>
      <c r="E48" s="278" t="e">
        <f>+E49-E47</f>
        <v>#REF!</v>
      </c>
      <c r="F48" s="280" t="e">
        <f t="shared" si="0"/>
        <v>#REF!</v>
      </c>
      <c r="G48" s="449"/>
    </row>
    <row r="49" spans="1:7" ht="12.75" hidden="1" customHeight="1">
      <c r="A49" s="267" t="s">
        <v>29</v>
      </c>
      <c r="B49" s="268" t="s">
        <v>30</v>
      </c>
      <c r="C49" s="267" t="s">
        <v>2</v>
      </c>
      <c r="D49" s="278" t="e">
        <f>#REF!</f>
        <v>#REF!</v>
      </c>
      <c r="E49" s="278" t="e">
        <f>#REF!</f>
        <v>#REF!</v>
      </c>
      <c r="F49" s="280" t="e">
        <f t="shared" si="0"/>
        <v>#REF!</v>
      </c>
      <c r="G49" s="449"/>
    </row>
    <row r="50" spans="1:7" ht="14.25" hidden="1" customHeight="1">
      <c r="A50" s="267"/>
      <c r="B50" s="268" t="s">
        <v>260</v>
      </c>
      <c r="C50" s="267" t="s">
        <v>2</v>
      </c>
      <c r="D50" s="278" t="e">
        <f>C50+#REF!</f>
        <v>#VALUE!</v>
      </c>
      <c r="E50" s="278"/>
      <c r="F50" s="280" t="e">
        <f t="shared" si="0"/>
        <v>#VALUE!</v>
      </c>
      <c r="G50" s="449"/>
    </row>
    <row r="51" spans="1:7" ht="15" hidden="1" customHeight="1">
      <c r="A51" s="267"/>
      <c r="B51" s="268" t="s">
        <v>261</v>
      </c>
      <c r="C51" s="267" t="s">
        <v>2</v>
      </c>
      <c r="D51" s="278" t="e">
        <f>C51+#REF!</f>
        <v>#VALUE!</v>
      </c>
      <c r="E51" s="278"/>
      <c r="F51" s="280" t="e">
        <f t="shared" si="0"/>
        <v>#VALUE!</v>
      </c>
      <c r="G51" s="449"/>
    </row>
    <row r="52" spans="1:7">
      <c r="A52" s="267" t="s">
        <v>28</v>
      </c>
      <c r="B52" s="268" t="s">
        <v>162</v>
      </c>
      <c r="C52" s="271"/>
      <c r="D52" s="278">
        <f>D53-D47</f>
        <v>-2.9999999969732016E-3</v>
      </c>
      <c r="E52" s="278">
        <f>E53-E47</f>
        <v>1765.3990000000013</v>
      </c>
      <c r="F52" s="280"/>
      <c r="G52" s="449"/>
    </row>
    <row r="53" spans="1:7" s="269" customFormat="1" ht="15.75" customHeight="1">
      <c r="A53" s="267" t="s">
        <v>29</v>
      </c>
      <c r="B53" s="268" t="s">
        <v>30</v>
      </c>
      <c r="C53" s="267" t="s">
        <v>2</v>
      </c>
      <c r="D53" s="283">
        <v>27094.47</v>
      </c>
      <c r="E53" s="283">
        <v>27094.48</v>
      </c>
      <c r="F53" s="281"/>
      <c r="G53" s="449"/>
    </row>
    <row r="54" spans="1:7" s="269" customFormat="1">
      <c r="A54" s="267" t="s">
        <v>31</v>
      </c>
      <c r="B54" s="268" t="s">
        <v>32</v>
      </c>
      <c r="C54" s="267" t="s">
        <v>262</v>
      </c>
      <c r="D54" s="278">
        <v>87120.514999999999</v>
      </c>
      <c r="E54" s="278">
        <v>87120.514999999999</v>
      </c>
      <c r="F54" s="281"/>
      <c r="G54" s="449"/>
    </row>
    <row r="55" spans="1:7" s="269" customFormat="1">
      <c r="A55" s="524" t="s">
        <v>33</v>
      </c>
      <c r="B55" s="525" t="s">
        <v>263</v>
      </c>
      <c r="C55" s="267" t="s">
        <v>79</v>
      </c>
      <c r="D55" s="286">
        <v>15.3</v>
      </c>
      <c r="E55" s="286">
        <v>15.3</v>
      </c>
      <c r="F55" s="281"/>
      <c r="G55" s="449"/>
    </row>
    <row r="56" spans="1:7" s="269" customFormat="1">
      <c r="A56" s="524"/>
      <c r="B56" s="525"/>
      <c r="C56" s="267" t="s">
        <v>165</v>
      </c>
      <c r="D56" s="283">
        <v>15737.235000000001</v>
      </c>
      <c r="E56" s="283">
        <v>15737.235000000001</v>
      </c>
      <c r="F56" s="281"/>
      <c r="G56" s="449"/>
    </row>
    <row r="57" spans="1:7" s="269" customFormat="1">
      <c r="A57" s="267" t="s">
        <v>167</v>
      </c>
      <c r="B57" s="268" t="s">
        <v>80</v>
      </c>
      <c r="C57" s="267" t="s">
        <v>264</v>
      </c>
      <c r="D57" s="283">
        <f>+D53/D54</f>
        <v>0.31099988332254463</v>
      </c>
      <c r="E57" s="283">
        <f>+E53/E54</f>
        <v>0.31099999810607182</v>
      </c>
      <c r="F57" s="281"/>
      <c r="G57" s="449"/>
    </row>
    <row r="58" spans="1:7">
      <c r="A58" s="269"/>
      <c r="B58" s="269"/>
      <c r="C58" s="269"/>
      <c r="D58" s="285"/>
      <c r="E58" s="285"/>
      <c r="F58" s="269"/>
      <c r="G58" s="46"/>
    </row>
    <row r="59" spans="1:7">
      <c r="A59" s="229"/>
      <c r="B59" s="235" t="s">
        <v>379</v>
      </c>
      <c r="C59" s="238" t="s">
        <v>380</v>
      </c>
      <c r="D59" s="236"/>
      <c r="E59" s="235"/>
      <c r="F59" s="244"/>
      <c r="G59" s="46"/>
    </row>
    <row r="60" spans="1:7">
      <c r="A60" s="229"/>
      <c r="B60" s="235" t="s">
        <v>381</v>
      </c>
      <c r="C60" s="238" t="s">
        <v>382</v>
      </c>
      <c r="D60" s="236"/>
      <c r="E60" s="235"/>
      <c r="F60" s="244"/>
    </row>
    <row r="61" spans="1:7">
      <c r="A61" s="229"/>
      <c r="B61" s="235" t="s">
        <v>383</v>
      </c>
      <c r="C61" s="238" t="s">
        <v>384</v>
      </c>
      <c r="D61" s="236"/>
      <c r="E61" s="235"/>
      <c r="F61" s="244"/>
    </row>
    <row r="62" spans="1:7" ht="22.5" customHeight="1">
      <c r="A62" s="206"/>
      <c r="B62" s="235" t="s">
        <v>385</v>
      </c>
      <c r="C62" s="232" t="s">
        <v>386</v>
      </c>
      <c r="D62" s="235"/>
      <c r="E62" s="235"/>
      <c r="F62" s="245"/>
    </row>
    <row r="63" spans="1:7" ht="34.5" customHeight="1">
      <c r="A63" s="206"/>
      <c r="B63" s="235" t="s">
        <v>387</v>
      </c>
      <c r="C63" s="233" t="s">
        <v>388</v>
      </c>
      <c r="D63" s="235"/>
      <c r="E63" s="235"/>
      <c r="F63" s="245"/>
    </row>
    <row r="64" spans="1:7" ht="24" customHeight="1">
      <c r="A64" s="206"/>
      <c r="B64" s="235" t="s">
        <v>301</v>
      </c>
      <c r="C64" s="233" t="s">
        <v>393</v>
      </c>
      <c r="D64" s="237"/>
      <c r="E64" s="237"/>
      <c r="F64" s="245"/>
    </row>
    <row r="65" spans="1:6">
      <c r="A65" s="206"/>
      <c r="B65" s="235"/>
      <c r="C65" s="235"/>
      <c r="D65" s="235"/>
      <c r="E65" s="235"/>
      <c r="F65" s="245"/>
    </row>
    <row r="66" spans="1:6">
      <c r="A66" s="206"/>
      <c r="B66" s="235" t="s">
        <v>390</v>
      </c>
      <c r="C66" s="235"/>
      <c r="D66" s="235"/>
      <c r="E66" s="235"/>
      <c r="F66" s="245"/>
    </row>
    <row r="67" spans="1:6">
      <c r="A67" s="206"/>
      <c r="B67" s="235"/>
      <c r="C67" s="235"/>
      <c r="D67" s="235"/>
      <c r="E67" s="235"/>
      <c r="F67" s="245"/>
    </row>
    <row r="68" spans="1:6">
      <c r="A68" s="206"/>
      <c r="B68" s="234" t="s">
        <v>389</v>
      </c>
      <c r="C68" s="235"/>
      <c r="D68" s="235"/>
      <c r="E68" s="235"/>
      <c r="F68" s="245"/>
    </row>
  </sheetData>
  <mergeCells count="9">
    <mergeCell ref="A55:A56"/>
    <mergeCell ref="B55:B56"/>
    <mergeCell ref="A1:G1"/>
    <mergeCell ref="A2:G2"/>
    <mergeCell ref="A3:G3"/>
    <mergeCell ref="G20:G24"/>
    <mergeCell ref="G27:G29"/>
    <mergeCell ref="G13:G16"/>
    <mergeCell ref="G8:G10"/>
  </mergeCells>
  <hyperlinks>
    <hyperlink ref="C62" r:id="rId1"/>
  </hyperlinks>
  <printOptions horizontalCentered="1"/>
  <pageMargins left="0.31496062992125984" right="0.23622047244094491" top="0.74803149606299213" bottom="0.6692913385826772" header="0.23622047244094491" footer="0.19685039370078741"/>
  <pageSetup paperSize="9" scale="68" fitToHeight="0" orientation="landscape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topLeftCell="A13" zoomScale="60" workbookViewId="0">
      <selection activeCell="N40" sqref="N40"/>
    </sheetView>
  </sheetViews>
  <sheetFormatPr defaultColWidth="9.140625" defaultRowHeight="12.75"/>
  <cols>
    <col min="1" max="1" width="5.42578125" style="1" customWidth="1"/>
    <col min="2" max="2" width="34" style="1" customWidth="1"/>
    <col min="3" max="3" width="10" style="1" customWidth="1"/>
    <col min="4" max="4" width="19" style="1" customWidth="1"/>
    <col min="5" max="5" width="16.140625" style="1" customWidth="1"/>
    <col min="6" max="6" width="13.85546875" style="1" customWidth="1"/>
    <col min="7" max="7" width="15.42578125" style="1" customWidth="1"/>
    <col min="8" max="16384" width="9.140625" style="1"/>
  </cols>
  <sheetData>
    <row r="1" spans="1:9">
      <c r="A1" s="535" t="s">
        <v>373</v>
      </c>
      <c r="B1" s="535"/>
      <c r="C1" s="535"/>
      <c r="D1" s="535"/>
      <c r="E1" s="535"/>
      <c r="F1" s="535"/>
      <c r="G1" s="535"/>
    </row>
    <row r="2" spans="1:9">
      <c r="A2" s="535" t="s">
        <v>414</v>
      </c>
      <c r="B2" s="535"/>
      <c r="C2" s="535"/>
      <c r="D2" s="535"/>
      <c r="E2" s="535"/>
      <c r="F2" s="535"/>
      <c r="G2" s="535"/>
    </row>
    <row r="3" spans="1:9">
      <c r="A3" s="535" t="s">
        <v>399</v>
      </c>
      <c r="B3" s="535"/>
      <c r="C3" s="535"/>
      <c r="D3" s="535"/>
      <c r="E3" s="535"/>
      <c r="F3" s="535"/>
      <c r="G3" s="535"/>
    </row>
    <row r="4" spans="1:9">
      <c r="A4" s="451"/>
      <c r="B4" s="451"/>
      <c r="C4" s="451"/>
      <c r="D4" s="451"/>
      <c r="E4" s="451"/>
      <c r="F4" s="451"/>
      <c r="G4" s="451"/>
    </row>
    <row r="5" spans="1:9" ht="67.5" customHeight="1">
      <c r="A5" s="452" t="s">
        <v>0</v>
      </c>
      <c r="B5" s="452" t="s">
        <v>81</v>
      </c>
      <c r="C5" s="452" t="s">
        <v>244</v>
      </c>
      <c r="D5" s="453" t="s">
        <v>375</v>
      </c>
      <c r="E5" s="453" t="s">
        <v>376</v>
      </c>
      <c r="F5" s="454" t="s">
        <v>377</v>
      </c>
      <c r="G5" s="455" t="s">
        <v>378</v>
      </c>
    </row>
    <row r="6" spans="1:9" s="2" customFormat="1" ht="38.25">
      <c r="A6" s="194" t="s">
        <v>1</v>
      </c>
      <c r="B6" s="195" t="s">
        <v>245</v>
      </c>
      <c r="C6" s="194" t="s">
        <v>2</v>
      </c>
      <c r="D6" s="292">
        <f>+D7+D10+D13+D16+D17</f>
        <v>603.91</v>
      </c>
      <c r="E6" s="292">
        <f>+E7+E10+E13+E16+E17</f>
        <v>503.55</v>
      </c>
      <c r="F6" s="302">
        <f t="shared" ref="F6:F36" si="0">((E6*100)/D6)-100</f>
        <v>-16.618370286963284</v>
      </c>
      <c r="G6" s="536" t="s">
        <v>459</v>
      </c>
      <c r="I6" s="299"/>
    </row>
    <row r="7" spans="1:9" ht="25.5">
      <c r="A7" s="96">
        <v>1</v>
      </c>
      <c r="B7" s="195" t="s">
        <v>246</v>
      </c>
      <c r="C7" s="194" t="s">
        <v>2</v>
      </c>
      <c r="D7" s="292">
        <f>SUM(D8:D9)</f>
        <v>22.15</v>
      </c>
      <c r="E7" s="292">
        <f>SUM(E8:E9)</f>
        <v>0</v>
      </c>
      <c r="F7" s="302">
        <f t="shared" si="0"/>
        <v>-100</v>
      </c>
      <c r="G7" s="537"/>
      <c r="I7" s="304"/>
    </row>
    <row r="8" spans="1:9">
      <c r="A8" s="98" t="s">
        <v>3</v>
      </c>
      <c r="B8" s="94" t="s">
        <v>5</v>
      </c>
      <c r="C8" s="95" t="s">
        <v>2</v>
      </c>
      <c r="D8" s="293">
        <v>22.15</v>
      </c>
      <c r="E8" s="293"/>
      <c r="F8" s="303">
        <f t="shared" si="0"/>
        <v>-100</v>
      </c>
      <c r="G8" s="537"/>
    </row>
    <row r="9" spans="1:9" ht="12.75" hidden="1" customHeight="1">
      <c r="A9" s="98" t="s">
        <v>4</v>
      </c>
      <c r="B9" s="94" t="s">
        <v>41</v>
      </c>
      <c r="C9" s="95" t="s">
        <v>2</v>
      </c>
      <c r="D9" s="293"/>
      <c r="E9" s="293"/>
      <c r="F9" s="302" t="e">
        <f t="shared" si="0"/>
        <v>#DIV/0!</v>
      </c>
      <c r="G9" s="537"/>
    </row>
    <row r="10" spans="1:9" ht="25.5">
      <c r="A10" s="3">
        <v>2</v>
      </c>
      <c r="B10" s="195" t="s">
        <v>295</v>
      </c>
      <c r="C10" s="194" t="s">
        <v>2</v>
      </c>
      <c r="D10" s="292">
        <f>SUM(D11:D12)</f>
        <v>246.08999999999997</v>
      </c>
      <c r="E10" s="292">
        <f>SUM(E11:E12)</f>
        <v>228.20000000000002</v>
      </c>
      <c r="F10" s="302">
        <f t="shared" si="0"/>
        <v>-7.2696980779389548</v>
      </c>
      <c r="G10" s="537"/>
    </row>
    <row r="11" spans="1:9">
      <c r="A11" s="95" t="s">
        <v>9</v>
      </c>
      <c r="B11" s="94" t="s">
        <v>415</v>
      </c>
      <c r="C11" s="95" t="s">
        <v>2</v>
      </c>
      <c r="D11" s="293">
        <v>223.92</v>
      </c>
      <c r="E11" s="293">
        <v>206.93</v>
      </c>
      <c r="F11" s="303">
        <f t="shared" si="0"/>
        <v>-7.587531261164699</v>
      </c>
      <c r="G11" s="537"/>
    </row>
    <row r="12" spans="1:9" ht="25.5">
      <c r="A12" s="95" t="s">
        <v>10</v>
      </c>
      <c r="B12" s="94" t="s">
        <v>419</v>
      </c>
      <c r="C12" s="95" t="s">
        <v>2</v>
      </c>
      <c r="D12" s="293">
        <f>12.09+10.08</f>
        <v>22.17</v>
      </c>
      <c r="E12" s="293">
        <v>21.27</v>
      </c>
      <c r="F12" s="303">
        <f t="shared" si="0"/>
        <v>-4.0595399188092074</v>
      </c>
      <c r="G12" s="537"/>
    </row>
    <row r="13" spans="1:9">
      <c r="A13" s="96">
        <v>3</v>
      </c>
      <c r="B13" s="195" t="s">
        <v>292</v>
      </c>
      <c r="C13" s="194" t="s">
        <v>2</v>
      </c>
      <c r="D13" s="292">
        <f>+D14+D15</f>
        <v>0.31</v>
      </c>
      <c r="E13" s="292">
        <f>+E14+E15</f>
        <v>92.35</v>
      </c>
      <c r="F13" s="302">
        <f t="shared" si="0"/>
        <v>29690.322580645163</v>
      </c>
      <c r="G13" s="537"/>
    </row>
    <row r="14" spans="1:9">
      <c r="A14" s="98" t="s">
        <v>296</v>
      </c>
      <c r="B14" s="94" t="s">
        <v>119</v>
      </c>
      <c r="C14" s="95" t="s">
        <v>2</v>
      </c>
      <c r="D14" s="293">
        <v>0</v>
      </c>
      <c r="E14" s="293">
        <v>92.35</v>
      </c>
      <c r="F14" s="303"/>
      <c r="G14" s="537"/>
    </row>
    <row r="15" spans="1:9">
      <c r="A15" s="98" t="s">
        <v>297</v>
      </c>
      <c r="B15" s="94" t="s">
        <v>120</v>
      </c>
      <c r="C15" s="95" t="s">
        <v>2</v>
      </c>
      <c r="D15" s="293">
        <v>0.31</v>
      </c>
      <c r="E15" s="293"/>
      <c r="F15" s="303">
        <f t="shared" si="0"/>
        <v>-100</v>
      </c>
      <c r="G15" s="537"/>
    </row>
    <row r="16" spans="1:9">
      <c r="A16" s="96">
        <v>4</v>
      </c>
      <c r="B16" s="195" t="s">
        <v>111</v>
      </c>
      <c r="C16" s="95" t="s">
        <v>2</v>
      </c>
      <c r="D16" s="292">
        <v>180</v>
      </c>
      <c r="E16" s="292">
        <v>183</v>
      </c>
      <c r="F16" s="302">
        <f t="shared" si="0"/>
        <v>1.6666666666666714</v>
      </c>
      <c r="G16" s="537"/>
    </row>
    <row r="17" spans="1:9">
      <c r="A17" s="96">
        <v>5</v>
      </c>
      <c r="B17" s="195" t="s">
        <v>298</v>
      </c>
      <c r="C17" s="194" t="s">
        <v>2</v>
      </c>
      <c r="D17" s="292">
        <f>D18</f>
        <v>155.36000000000001</v>
      </c>
      <c r="E17" s="292">
        <f>E18</f>
        <v>0</v>
      </c>
      <c r="F17" s="302">
        <f t="shared" si="0"/>
        <v>-100</v>
      </c>
      <c r="G17" s="537"/>
    </row>
    <row r="18" spans="1:9">
      <c r="A18" s="98" t="s">
        <v>13</v>
      </c>
      <c r="B18" s="94" t="s">
        <v>416</v>
      </c>
      <c r="C18" s="95" t="s">
        <v>2</v>
      </c>
      <c r="D18" s="293">
        <v>155.36000000000001</v>
      </c>
      <c r="E18" s="293"/>
      <c r="F18" s="303">
        <f t="shared" si="0"/>
        <v>-100</v>
      </c>
      <c r="G18" s="537"/>
    </row>
    <row r="19" spans="1:9">
      <c r="A19" s="194" t="s">
        <v>123</v>
      </c>
      <c r="B19" s="195" t="s">
        <v>293</v>
      </c>
      <c r="C19" s="194" t="s">
        <v>2</v>
      </c>
      <c r="D19" s="292">
        <f>D20</f>
        <v>101.95</v>
      </c>
      <c r="E19" s="292">
        <f>E20</f>
        <v>32.347999999999999</v>
      </c>
      <c r="F19" s="302">
        <f t="shared" si="0"/>
        <v>-68.270720941638061</v>
      </c>
      <c r="G19" s="537"/>
    </row>
    <row r="20" spans="1:9" ht="38.25">
      <c r="A20" s="96">
        <v>6</v>
      </c>
      <c r="B20" s="195" t="s">
        <v>299</v>
      </c>
      <c r="C20" s="194" t="s">
        <v>2</v>
      </c>
      <c r="D20" s="292">
        <f>SUM(D21+D22+D23+D24)</f>
        <v>101.95</v>
      </c>
      <c r="E20" s="292">
        <f>SUM(E21+E22+E23+E24)</f>
        <v>32.347999999999999</v>
      </c>
      <c r="F20" s="302">
        <f t="shared" si="0"/>
        <v>-68.270720941638061</v>
      </c>
      <c r="G20" s="537"/>
      <c r="I20" s="304"/>
    </row>
    <row r="21" spans="1:9">
      <c r="A21" s="98" t="s">
        <v>21</v>
      </c>
      <c r="B21" s="94" t="s">
        <v>417</v>
      </c>
      <c r="C21" s="95" t="s">
        <v>2</v>
      </c>
      <c r="D21" s="294">
        <v>0.39</v>
      </c>
      <c r="E21" s="294">
        <v>0.1</v>
      </c>
      <c r="F21" s="303">
        <f t="shared" si="0"/>
        <v>-74.358974358974365</v>
      </c>
      <c r="G21" s="537"/>
    </row>
    <row r="22" spans="1:9">
      <c r="A22" s="98" t="s">
        <v>22</v>
      </c>
      <c r="B22" s="94" t="s">
        <v>120</v>
      </c>
      <c r="C22" s="95" t="s">
        <v>2</v>
      </c>
      <c r="D22" s="293">
        <v>0.36</v>
      </c>
      <c r="E22" s="293">
        <f>0.011+1.135+0.012</f>
        <v>1.1579999999999999</v>
      </c>
      <c r="F22" s="303">
        <f t="shared" si="0"/>
        <v>221.66666666666669</v>
      </c>
      <c r="G22" s="537"/>
    </row>
    <row r="23" spans="1:9">
      <c r="A23" s="98" t="s">
        <v>23</v>
      </c>
      <c r="B23" s="94" t="s">
        <v>153</v>
      </c>
      <c r="C23" s="95" t="s">
        <v>2</v>
      </c>
      <c r="D23" s="293">
        <v>83.08</v>
      </c>
      <c r="E23" s="294">
        <v>10.42</v>
      </c>
      <c r="F23" s="303">
        <f t="shared" si="0"/>
        <v>-87.457871930669228</v>
      </c>
      <c r="G23" s="537"/>
    </row>
    <row r="24" spans="1:9">
      <c r="A24" s="101" t="s">
        <v>24</v>
      </c>
      <c r="B24" s="195" t="s">
        <v>300</v>
      </c>
      <c r="C24" s="194"/>
      <c r="D24" s="292">
        <f>D25</f>
        <v>18.12</v>
      </c>
      <c r="E24" s="292">
        <f>E25</f>
        <v>20.67</v>
      </c>
      <c r="F24" s="302">
        <f t="shared" si="0"/>
        <v>14.072847682119203</v>
      </c>
      <c r="G24" s="537"/>
    </row>
    <row r="25" spans="1:9" ht="25.5">
      <c r="A25" s="98" t="s">
        <v>67</v>
      </c>
      <c r="B25" s="94" t="s">
        <v>16</v>
      </c>
      <c r="C25" s="95" t="s">
        <v>2</v>
      </c>
      <c r="D25" s="295">
        <v>18.12</v>
      </c>
      <c r="E25" s="293">
        <v>20.67</v>
      </c>
      <c r="F25" s="303">
        <f t="shared" si="0"/>
        <v>14.072847682119203</v>
      </c>
      <c r="G25" s="537"/>
    </row>
    <row r="26" spans="1:9" s="2" customFormat="1" ht="20.25" customHeight="1">
      <c r="A26" s="194" t="s">
        <v>26</v>
      </c>
      <c r="B26" s="195" t="s">
        <v>27</v>
      </c>
      <c r="C26" s="194" t="s">
        <v>2</v>
      </c>
      <c r="D26" s="292">
        <f>D6+D19</f>
        <v>705.86</v>
      </c>
      <c r="E26" s="292">
        <f>E6+E19</f>
        <v>535.89800000000002</v>
      </c>
      <c r="F26" s="302">
        <f t="shared" si="0"/>
        <v>-24.078712492562261</v>
      </c>
      <c r="G26" s="537"/>
    </row>
    <row r="27" spans="1:9" ht="27" customHeight="1">
      <c r="A27" s="194" t="s">
        <v>28</v>
      </c>
      <c r="B27" s="195" t="s">
        <v>162</v>
      </c>
      <c r="C27" s="194" t="s">
        <v>2</v>
      </c>
      <c r="D27" s="300">
        <f>+D28-D26</f>
        <v>0</v>
      </c>
      <c r="E27" s="300">
        <f t="shared" ref="E27" si="1">+E28-E26</f>
        <v>168.76111000000003</v>
      </c>
      <c r="F27" s="302" t="e">
        <f t="shared" si="0"/>
        <v>#DIV/0!</v>
      </c>
      <c r="G27" s="537"/>
    </row>
    <row r="28" spans="1:9" ht="21.75" customHeight="1">
      <c r="A28" s="194" t="s">
        <v>29</v>
      </c>
      <c r="B28" s="195" t="s">
        <v>30</v>
      </c>
      <c r="C28" s="194" t="s">
        <v>2</v>
      </c>
      <c r="D28" s="292">
        <v>705.86</v>
      </c>
      <c r="E28" s="292">
        <v>704.65911000000006</v>
      </c>
      <c r="F28" s="302">
        <f t="shared" si="0"/>
        <v>-0.17013147082990088</v>
      </c>
      <c r="G28" s="537"/>
    </row>
    <row r="29" spans="1:9" ht="12.75" hidden="1" customHeight="1">
      <c r="A29" s="194"/>
      <c r="B29" s="195" t="s">
        <v>260</v>
      </c>
      <c r="C29" s="95" t="s">
        <v>2</v>
      </c>
      <c r="D29" s="292"/>
      <c r="E29" s="292"/>
      <c r="F29" s="302" t="e">
        <f t="shared" si="0"/>
        <v>#DIV/0!</v>
      </c>
      <c r="G29" s="537"/>
    </row>
    <row r="30" spans="1:9" ht="25.5" hidden="1" customHeight="1">
      <c r="A30" s="194"/>
      <c r="B30" s="195" t="s">
        <v>261</v>
      </c>
      <c r="C30" s="95" t="s">
        <v>2</v>
      </c>
      <c r="D30" s="292"/>
      <c r="E30" s="292"/>
      <c r="F30" s="302" t="e">
        <f t="shared" si="0"/>
        <v>#DIV/0!</v>
      </c>
      <c r="G30" s="537"/>
    </row>
    <row r="31" spans="1:9">
      <c r="A31" s="529" t="s">
        <v>31</v>
      </c>
      <c r="B31" s="531" t="s">
        <v>32</v>
      </c>
      <c r="C31" s="194" t="s">
        <v>262</v>
      </c>
      <c r="D31" s="296">
        <v>1777.9760000000001</v>
      </c>
      <c r="E31" s="296">
        <v>1774.96</v>
      </c>
      <c r="F31" s="302">
        <f t="shared" si="0"/>
        <v>-0.16963108613390432</v>
      </c>
      <c r="G31" s="537"/>
    </row>
    <row r="32" spans="1:9" ht="12.75" hidden="1" customHeight="1">
      <c r="A32" s="530"/>
      <c r="B32" s="532"/>
      <c r="C32" s="194" t="s">
        <v>165</v>
      </c>
      <c r="D32" s="296"/>
      <c r="E32" s="296"/>
      <c r="F32" s="302" t="e">
        <f t="shared" si="0"/>
        <v>#DIV/0!</v>
      </c>
      <c r="G32" s="537"/>
    </row>
    <row r="33" spans="1:7" ht="12.75" hidden="1" customHeight="1">
      <c r="A33" s="530"/>
      <c r="B33" s="532"/>
      <c r="C33" s="194" t="s">
        <v>165</v>
      </c>
      <c r="D33" s="296"/>
      <c r="E33" s="296"/>
      <c r="F33" s="302" t="e">
        <f t="shared" si="0"/>
        <v>#DIV/0!</v>
      </c>
      <c r="G33" s="537"/>
    </row>
    <row r="34" spans="1:7" s="2" customFormat="1">
      <c r="A34" s="529" t="s">
        <v>33</v>
      </c>
      <c r="B34" s="531" t="s">
        <v>263</v>
      </c>
      <c r="C34" s="194" t="s">
        <v>79</v>
      </c>
      <c r="D34" s="297">
        <v>9</v>
      </c>
      <c r="E34" s="297">
        <f>E35/2246.784*100</f>
        <v>21.000007572004346</v>
      </c>
      <c r="F34" s="302">
        <f t="shared" si="0"/>
        <v>133.33341746671496</v>
      </c>
      <c r="G34" s="537"/>
    </row>
    <row r="35" spans="1:7">
      <c r="A35" s="533"/>
      <c r="B35" s="534"/>
      <c r="C35" s="194" t="s">
        <v>165</v>
      </c>
      <c r="D35" s="296">
        <v>175.84399999999999</v>
      </c>
      <c r="E35" s="296">
        <f>E31/0.79-1774.96</f>
        <v>471.82481012658218</v>
      </c>
      <c r="F35" s="303">
        <f t="shared" si="0"/>
        <v>168.32010766735414</v>
      </c>
      <c r="G35" s="537"/>
    </row>
    <row r="36" spans="1:7" ht="24" customHeight="1">
      <c r="A36" s="194" t="s">
        <v>167</v>
      </c>
      <c r="B36" s="195" t="s">
        <v>80</v>
      </c>
      <c r="C36" s="194" t="s">
        <v>264</v>
      </c>
      <c r="D36" s="100">
        <v>0.39700000000000002</v>
      </c>
      <c r="E36" s="100">
        <v>0.39700000000000002</v>
      </c>
      <c r="F36" s="303">
        <f t="shared" si="0"/>
        <v>0</v>
      </c>
      <c r="G36" s="538"/>
    </row>
    <row r="38" spans="1:7" ht="25.5">
      <c r="A38" s="456"/>
      <c r="B38" s="457" t="s">
        <v>379</v>
      </c>
      <c r="C38" s="458" t="s">
        <v>380</v>
      </c>
      <c r="D38" s="459"/>
      <c r="E38" s="457"/>
      <c r="F38" s="460"/>
      <c r="G38" s="2"/>
    </row>
    <row r="39" spans="1:7" ht="20.25" customHeight="1">
      <c r="A39" s="456"/>
      <c r="B39" s="457" t="s">
        <v>381</v>
      </c>
      <c r="C39" s="458" t="s">
        <v>382</v>
      </c>
      <c r="D39" s="459"/>
      <c r="E39" s="457"/>
      <c r="F39" s="460"/>
    </row>
    <row r="40" spans="1:7" ht="22.5" customHeight="1">
      <c r="A40" s="456"/>
      <c r="B40" s="457" t="s">
        <v>383</v>
      </c>
      <c r="C40" s="458" t="s">
        <v>384</v>
      </c>
      <c r="D40" s="459"/>
      <c r="E40" s="457"/>
      <c r="F40" s="460"/>
    </row>
    <row r="41" spans="1:7" ht="36.75" customHeight="1">
      <c r="A41" s="461"/>
      <c r="B41" s="457" t="s">
        <v>385</v>
      </c>
      <c r="C41" s="462" t="s">
        <v>386</v>
      </c>
      <c r="D41" s="457"/>
      <c r="E41" s="457"/>
      <c r="F41" s="138"/>
    </row>
    <row r="42" spans="1:7" s="2" customFormat="1" ht="34.5" customHeight="1">
      <c r="A42" s="461"/>
      <c r="B42" s="457" t="s">
        <v>387</v>
      </c>
      <c r="C42" s="463" t="s">
        <v>388</v>
      </c>
      <c r="D42" s="457"/>
      <c r="E42" s="457"/>
      <c r="F42" s="138"/>
      <c r="G42" s="1"/>
    </row>
    <row r="43" spans="1:7" s="2" customFormat="1" ht="24.75" customHeight="1">
      <c r="A43" s="461"/>
      <c r="B43" s="457" t="s">
        <v>301</v>
      </c>
      <c r="C43" s="463" t="s">
        <v>393</v>
      </c>
      <c r="D43" s="464"/>
      <c r="E43" s="464"/>
      <c r="F43" s="138"/>
      <c r="G43" s="1"/>
    </row>
    <row r="44" spans="1:7" s="2" customFormat="1">
      <c r="A44" s="461"/>
      <c r="B44" s="457"/>
      <c r="C44" s="457"/>
      <c r="D44" s="457"/>
      <c r="E44" s="457"/>
      <c r="F44" s="138"/>
      <c r="G44" s="1"/>
    </row>
    <row r="45" spans="1:7" s="2" customFormat="1">
      <c r="A45" s="461"/>
      <c r="B45" s="457" t="s">
        <v>460</v>
      </c>
      <c r="C45" s="457"/>
      <c r="D45" s="457"/>
      <c r="E45" s="457"/>
      <c r="F45" s="138"/>
      <c r="G45" s="1"/>
    </row>
    <row r="46" spans="1:7" s="2" customFormat="1">
      <c r="A46" s="461"/>
      <c r="B46" s="457"/>
      <c r="C46" s="457"/>
      <c r="D46" s="457"/>
      <c r="E46" s="457"/>
      <c r="F46" s="138"/>
      <c r="G46" s="1"/>
    </row>
    <row r="47" spans="1:7" s="2" customFormat="1" ht="16.5" customHeight="1">
      <c r="A47" s="461"/>
      <c r="B47" s="465" t="s">
        <v>389</v>
      </c>
      <c r="C47" s="457"/>
      <c r="D47" s="457"/>
      <c r="E47" s="457"/>
      <c r="F47" s="138"/>
      <c r="G47" s="1"/>
    </row>
    <row r="48" spans="1:7">
      <c r="D48" s="304"/>
      <c r="E48" s="304"/>
    </row>
  </sheetData>
  <mergeCells count="8">
    <mergeCell ref="A31:A33"/>
    <mergeCell ref="B31:B33"/>
    <mergeCell ref="A34:A35"/>
    <mergeCell ref="B34:B35"/>
    <mergeCell ref="A1:G1"/>
    <mergeCell ref="A2:G2"/>
    <mergeCell ref="A3:G3"/>
    <mergeCell ref="G6:G36"/>
  </mergeCells>
  <hyperlinks>
    <hyperlink ref="C41" r:id="rId1"/>
  </hyperlinks>
  <pageMargins left="0.39370078740157483" right="0.51181102362204722" top="0.74803149606299213" bottom="0.74803149606299213" header="0.31496062992125984" footer="0.31496062992125984"/>
  <pageSetup paperSize="9" scale="8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topLeftCell="A6" zoomScale="60" workbookViewId="0">
      <selection activeCell="H34" sqref="H34"/>
    </sheetView>
  </sheetViews>
  <sheetFormatPr defaultColWidth="9.140625" defaultRowHeight="12.75"/>
  <cols>
    <col min="1" max="1" width="6.140625" style="319" customWidth="1"/>
    <col min="2" max="2" width="36.5703125" style="1" customWidth="1"/>
    <col min="3" max="3" width="12.28515625" style="1" customWidth="1"/>
    <col min="4" max="4" width="17.140625" style="1" customWidth="1"/>
    <col min="5" max="5" width="15.5703125" style="1" customWidth="1"/>
    <col min="6" max="6" width="12.140625" style="45" customWidth="1"/>
    <col min="7" max="7" width="12.42578125" style="45" customWidth="1"/>
    <col min="8" max="16384" width="9.140625" style="45"/>
  </cols>
  <sheetData>
    <row r="1" spans="1:11">
      <c r="A1" s="535" t="s">
        <v>373</v>
      </c>
      <c r="B1" s="535"/>
      <c r="C1" s="535"/>
      <c r="D1" s="535"/>
      <c r="E1" s="535"/>
      <c r="F1" s="535"/>
      <c r="G1" s="535"/>
    </row>
    <row r="2" spans="1:11">
      <c r="A2" s="535" t="s">
        <v>430</v>
      </c>
      <c r="B2" s="535"/>
      <c r="C2" s="535"/>
      <c r="D2" s="535"/>
      <c r="E2" s="535"/>
      <c r="F2" s="535"/>
      <c r="G2" s="535"/>
    </row>
    <row r="3" spans="1:11">
      <c r="A3" s="535" t="s">
        <v>399</v>
      </c>
      <c r="B3" s="535"/>
      <c r="C3" s="535"/>
      <c r="D3" s="535"/>
      <c r="E3" s="535"/>
      <c r="F3" s="535"/>
      <c r="G3" s="535"/>
    </row>
    <row r="5" spans="1:11" ht="65.25" customHeight="1">
      <c r="A5" s="466" t="s">
        <v>0</v>
      </c>
      <c r="B5" s="466" t="s">
        <v>81</v>
      </c>
      <c r="C5" s="466" t="s">
        <v>244</v>
      </c>
      <c r="D5" s="467" t="s">
        <v>375</v>
      </c>
      <c r="E5" s="467" t="s">
        <v>376</v>
      </c>
      <c r="F5" s="468" t="s">
        <v>377</v>
      </c>
      <c r="G5" s="469" t="s">
        <v>378</v>
      </c>
    </row>
    <row r="6" spans="1:11" s="47" customFormat="1" ht="25.5">
      <c r="A6" s="194" t="s">
        <v>1</v>
      </c>
      <c r="B6" s="195" t="s">
        <v>289</v>
      </c>
      <c r="C6" s="194" t="s">
        <v>2</v>
      </c>
      <c r="D6" s="99">
        <f>SUM(D7+D9+D12+D13)</f>
        <v>241.18</v>
      </c>
      <c r="E6" s="99">
        <f>E7+E9+E12+E13</f>
        <v>299.17</v>
      </c>
      <c r="F6" s="321">
        <f t="shared" ref="F6:F29" si="0">((E6*100)/D6)-100</f>
        <v>24.044282278795919</v>
      </c>
      <c r="G6" s="539" t="s">
        <v>459</v>
      </c>
      <c r="I6" s="298"/>
    </row>
    <row r="7" spans="1:11" ht="12.75" customHeight="1">
      <c r="A7" s="93">
        <v>1</v>
      </c>
      <c r="B7" s="94" t="s">
        <v>290</v>
      </c>
      <c r="C7" s="95" t="s">
        <v>2</v>
      </c>
      <c r="D7" s="308"/>
      <c r="E7" s="308"/>
      <c r="F7" s="322"/>
      <c r="G7" s="540"/>
    </row>
    <row r="8" spans="1:11" ht="12.75" customHeight="1">
      <c r="A8" s="95" t="s">
        <v>3</v>
      </c>
      <c r="B8" s="94" t="s">
        <v>413</v>
      </c>
      <c r="C8" s="95" t="s">
        <v>2</v>
      </c>
      <c r="D8" s="309"/>
      <c r="E8" s="308"/>
      <c r="F8" s="322"/>
      <c r="G8" s="540"/>
    </row>
    <row r="9" spans="1:11" ht="24.75" customHeight="1">
      <c r="A9" s="96">
        <v>2</v>
      </c>
      <c r="B9" s="195" t="s">
        <v>291</v>
      </c>
      <c r="C9" s="194" t="s">
        <v>2</v>
      </c>
      <c r="D9" s="99">
        <f>SUM(D10:D11)</f>
        <v>103.55</v>
      </c>
      <c r="E9" s="99">
        <f>SUM(E10:E11)</f>
        <v>111.76</v>
      </c>
      <c r="F9" s="321">
        <f t="shared" si="0"/>
        <v>7.9285369386769702</v>
      </c>
      <c r="G9" s="540"/>
      <c r="I9" s="97"/>
    </row>
    <row r="10" spans="1:11">
      <c r="A10" s="95" t="s">
        <v>9</v>
      </c>
      <c r="B10" s="94" t="s">
        <v>415</v>
      </c>
      <c r="C10" s="95" t="s">
        <v>2</v>
      </c>
      <c r="D10" s="308">
        <v>92.97</v>
      </c>
      <c r="E10" s="308">
        <v>100.76</v>
      </c>
      <c r="F10" s="322">
        <f t="shared" si="0"/>
        <v>8.379047004410026</v>
      </c>
      <c r="G10" s="540"/>
    </row>
    <row r="11" spans="1:11" ht="25.5">
      <c r="A11" s="95" t="s">
        <v>10</v>
      </c>
      <c r="B11" s="94" t="s">
        <v>419</v>
      </c>
      <c r="C11" s="95" t="s">
        <v>2</v>
      </c>
      <c r="D11" s="308">
        <f>5.77+4.81</f>
        <v>10.579999999999998</v>
      </c>
      <c r="E11" s="308">
        <v>11</v>
      </c>
      <c r="F11" s="322">
        <f t="shared" si="0"/>
        <v>3.9697542533081389</v>
      </c>
      <c r="G11" s="540"/>
    </row>
    <row r="12" spans="1:11">
      <c r="A12" s="96">
        <v>3</v>
      </c>
      <c r="B12" s="195" t="s">
        <v>111</v>
      </c>
      <c r="C12" s="194" t="s">
        <v>2</v>
      </c>
      <c r="D12" s="310">
        <v>137.63</v>
      </c>
      <c r="E12" s="99">
        <v>154.96</v>
      </c>
      <c r="F12" s="321">
        <f t="shared" si="0"/>
        <v>12.591731453898134</v>
      </c>
      <c r="G12" s="540"/>
      <c r="I12" s="97"/>
    </row>
    <row r="13" spans="1:11">
      <c r="A13" s="96">
        <v>4</v>
      </c>
      <c r="B13" s="195" t="s">
        <v>292</v>
      </c>
      <c r="C13" s="194" t="s">
        <v>2</v>
      </c>
      <c r="D13" s="99">
        <f>D14</f>
        <v>0</v>
      </c>
      <c r="E13" s="99">
        <f>E14</f>
        <v>32.450000000000003</v>
      </c>
      <c r="F13" s="321"/>
      <c r="G13" s="540"/>
    </row>
    <row r="14" spans="1:11">
      <c r="A14" s="98" t="s">
        <v>12</v>
      </c>
      <c r="B14" s="94" t="s">
        <v>119</v>
      </c>
      <c r="C14" s="95" t="s">
        <v>2</v>
      </c>
      <c r="D14" s="309"/>
      <c r="E14" s="308">
        <v>32.450000000000003</v>
      </c>
      <c r="F14" s="322"/>
      <c r="G14" s="540"/>
    </row>
    <row r="15" spans="1:11" ht="20.25" customHeight="1">
      <c r="A15" s="194" t="s">
        <v>123</v>
      </c>
      <c r="B15" s="195" t="s">
        <v>293</v>
      </c>
      <c r="C15" s="194" t="s">
        <v>2</v>
      </c>
      <c r="D15" s="99">
        <f>SUM(D16)</f>
        <v>27.759999999999998</v>
      </c>
      <c r="E15" s="99">
        <f>SUM(E16)</f>
        <v>33.453999999999994</v>
      </c>
      <c r="F15" s="321">
        <f t="shared" si="0"/>
        <v>20.511527377521588</v>
      </c>
      <c r="G15" s="540"/>
    </row>
    <row r="16" spans="1:11" ht="25.5">
      <c r="A16" s="98">
        <v>5</v>
      </c>
      <c r="B16" s="195" t="s">
        <v>252</v>
      </c>
      <c r="C16" s="194" t="s">
        <v>2</v>
      </c>
      <c r="D16" s="99">
        <f>SUM(D17:D21)</f>
        <v>27.759999999999998</v>
      </c>
      <c r="E16" s="99">
        <f>SUM(E17:E21)</f>
        <v>33.453999999999994</v>
      </c>
      <c r="F16" s="321">
        <f t="shared" si="0"/>
        <v>20.511527377521588</v>
      </c>
      <c r="G16" s="540"/>
      <c r="J16" s="307"/>
      <c r="K16" s="97"/>
    </row>
    <row r="17" spans="1:11">
      <c r="A17" s="98" t="s">
        <v>13</v>
      </c>
      <c r="B17" s="94" t="s">
        <v>417</v>
      </c>
      <c r="C17" s="95" t="s">
        <v>2</v>
      </c>
      <c r="D17" s="311">
        <v>0.19</v>
      </c>
      <c r="E17" s="312">
        <v>5.6000000000000001E-2</v>
      </c>
      <c r="F17" s="322">
        <f t="shared" si="0"/>
        <v>-70.526315789473685</v>
      </c>
      <c r="G17" s="540"/>
    </row>
    <row r="18" spans="1:11">
      <c r="A18" s="98" t="s">
        <v>14</v>
      </c>
      <c r="B18" s="94" t="s">
        <v>120</v>
      </c>
      <c r="C18" s="95" t="s">
        <v>2</v>
      </c>
      <c r="D18" s="308">
        <v>0.26</v>
      </c>
      <c r="E18" s="308"/>
      <c r="F18" s="322">
        <f t="shared" si="0"/>
        <v>-100</v>
      </c>
      <c r="G18" s="540"/>
      <c r="K18" s="97"/>
    </row>
    <row r="19" spans="1:11">
      <c r="A19" s="98" t="s">
        <v>53</v>
      </c>
      <c r="B19" s="94" t="s">
        <v>153</v>
      </c>
      <c r="C19" s="95" t="s">
        <v>2</v>
      </c>
      <c r="D19" s="313">
        <v>13.25</v>
      </c>
      <c r="E19" s="308">
        <v>10.879</v>
      </c>
      <c r="F19" s="322">
        <f t="shared" si="0"/>
        <v>-17.894339622641525</v>
      </c>
      <c r="G19" s="540"/>
    </row>
    <row r="20" spans="1:11">
      <c r="A20" s="98" t="s">
        <v>15</v>
      </c>
      <c r="B20" s="94" t="s">
        <v>131</v>
      </c>
      <c r="C20" s="95" t="s">
        <v>2</v>
      </c>
      <c r="D20" s="313"/>
      <c r="E20" s="308"/>
      <c r="F20" s="322"/>
      <c r="G20" s="540"/>
    </row>
    <row r="21" spans="1:11">
      <c r="A21" s="98">
        <v>6</v>
      </c>
      <c r="B21" s="195" t="s">
        <v>294</v>
      </c>
      <c r="C21" s="194" t="s">
        <v>2</v>
      </c>
      <c r="D21" s="314">
        <f>D22</f>
        <v>14.06</v>
      </c>
      <c r="E21" s="99">
        <f>E22</f>
        <v>22.518999999999998</v>
      </c>
      <c r="F21" s="321">
        <f t="shared" si="0"/>
        <v>60.163584637268826</v>
      </c>
      <c r="G21" s="540"/>
    </row>
    <row r="22" spans="1:11" ht="25.5" customHeight="1">
      <c r="A22" s="98" t="s">
        <v>21</v>
      </c>
      <c r="B22" s="94" t="s">
        <v>418</v>
      </c>
      <c r="C22" s="95" t="s">
        <v>2</v>
      </c>
      <c r="D22" s="313">
        <v>14.06</v>
      </c>
      <c r="E22" s="308">
        <v>22.518999999999998</v>
      </c>
      <c r="F22" s="322">
        <f t="shared" si="0"/>
        <v>60.163584637268826</v>
      </c>
      <c r="G22" s="540"/>
    </row>
    <row r="23" spans="1:11" s="47" customFormat="1" ht="20.25" customHeight="1">
      <c r="A23" s="194" t="s">
        <v>26</v>
      </c>
      <c r="B23" s="195" t="s">
        <v>27</v>
      </c>
      <c r="C23" s="194" t="s">
        <v>2</v>
      </c>
      <c r="D23" s="99">
        <f>SUM(D15+D6)</f>
        <v>268.94</v>
      </c>
      <c r="E23" s="99">
        <f>SUM(E15+E6)</f>
        <v>332.62400000000002</v>
      </c>
      <c r="F23" s="321">
        <f t="shared" si="0"/>
        <v>23.6796311444932</v>
      </c>
      <c r="G23" s="540"/>
      <c r="I23" s="298"/>
    </row>
    <row r="24" spans="1:11" ht="16.5" customHeight="1">
      <c r="A24" s="194" t="s">
        <v>28</v>
      </c>
      <c r="B24" s="195" t="s">
        <v>162</v>
      </c>
      <c r="C24" s="194" t="s">
        <v>2</v>
      </c>
      <c r="D24" s="315">
        <f>D25-D23</f>
        <v>0</v>
      </c>
      <c r="E24" s="315">
        <f>E25-E23</f>
        <v>27.812999999999988</v>
      </c>
      <c r="F24" s="321"/>
      <c r="G24" s="540"/>
      <c r="I24" s="97"/>
    </row>
    <row r="25" spans="1:11" ht="16.5" customHeight="1">
      <c r="A25" s="194" t="s">
        <v>29</v>
      </c>
      <c r="B25" s="195" t="s">
        <v>30</v>
      </c>
      <c r="C25" s="194" t="s">
        <v>2</v>
      </c>
      <c r="D25" s="99">
        <v>268.94</v>
      </c>
      <c r="E25" s="99">
        <v>360.43700000000001</v>
      </c>
      <c r="F25" s="321">
        <f t="shared" si="0"/>
        <v>34.021343050494551</v>
      </c>
      <c r="G25" s="540"/>
      <c r="I25" s="97"/>
    </row>
    <row r="26" spans="1:11">
      <c r="A26" s="318" t="s">
        <v>31</v>
      </c>
      <c r="B26" s="317" t="s">
        <v>32</v>
      </c>
      <c r="C26" s="194" t="s">
        <v>262</v>
      </c>
      <c r="D26" s="316">
        <v>1299.229</v>
      </c>
      <c r="E26" s="99">
        <v>1811.2460000000001</v>
      </c>
      <c r="F26" s="322">
        <f t="shared" si="0"/>
        <v>39.409295820829129</v>
      </c>
      <c r="G26" s="540"/>
    </row>
    <row r="27" spans="1:11" s="47" customFormat="1">
      <c r="A27" s="542" t="s">
        <v>33</v>
      </c>
      <c r="B27" s="543" t="s">
        <v>263</v>
      </c>
      <c r="C27" s="194" t="s">
        <v>79</v>
      </c>
      <c r="D27" s="305">
        <v>15</v>
      </c>
      <c r="E27" s="305">
        <v>26</v>
      </c>
      <c r="F27" s="323">
        <f t="shared" si="0"/>
        <v>73.333333333333343</v>
      </c>
      <c r="G27" s="540"/>
    </row>
    <row r="28" spans="1:11">
      <c r="A28" s="542"/>
      <c r="B28" s="543"/>
      <c r="C28" s="194" t="s">
        <v>165</v>
      </c>
      <c r="D28" s="99">
        <v>229.28</v>
      </c>
      <c r="E28" s="99">
        <v>636.38400000000001</v>
      </c>
      <c r="F28" s="324">
        <f t="shared" si="0"/>
        <v>177.55757152826237</v>
      </c>
      <c r="G28" s="540"/>
    </row>
    <row r="29" spans="1:11">
      <c r="A29" s="194" t="s">
        <v>167</v>
      </c>
      <c r="B29" s="195" t="s">
        <v>80</v>
      </c>
      <c r="C29" s="194" t="s">
        <v>264</v>
      </c>
      <c r="D29" s="306">
        <v>0.20699999999999999</v>
      </c>
      <c r="E29" s="92">
        <f>+E25/E26</f>
        <v>0.19899947329076226</v>
      </c>
      <c r="F29" s="324">
        <f t="shared" si="0"/>
        <v>-3.8649887484240253</v>
      </c>
      <c r="G29" s="541"/>
    </row>
    <row r="31" spans="1:11" ht="20.25" customHeight="1">
      <c r="A31" s="456"/>
      <c r="B31" s="457" t="s">
        <v>379</v>
      </c>
      <c r="C31" s="458" t="s">
        <v>380</v>
      </c>
      <c r="D31" s="459"/>
      <c r="E31" s="457"/>
      <c r="F31" s="460"/>
      <c r="G31" s="2"/>
    </row>
    <row r="32" spans="1:11" ht="18" customHeight="1">
      <c r="A32" s="456"/>
      <c r="B32" s="457" t="s">
        <v>381</v>
      </c>
      <c r="C32" s="458" t="s">
        <v>382</v>
      </c>
      <c r="D32" s="459"/>
      <c r="E32" s="457"/>
      <c r="F32" s="460"/>
      <c r="G32" s="1"/>
    </row>
    <row r="33" spans="1:7" ht="18.75" customHeight="1">
      <c r="A33" s="456"/>
      <c r="B33" s="457" t="s">
        <v>383</v>
      </c>
      <c r="C33" s="458" t="s">
        <v>384</v>
      </c>
      <c r="D33" s="459"/>
      <c r="E33" s="457"/>
      <c r="F33" s="460"/>
      <c r="G33" s="1"/>
    </row>
    <row r="34" spans="1:7" ht="21.75" customHeight="1">
      <c r="A34" s="461"/>
      <c r="B34" s="457" t="s">
        <v>385</v>
      </c>
      <c r="C34" s="462" t="s">
        <v>386</v>
      </c>
      <c r="D34" s="457"/>
      <c r="E34" s="457"/>
      <c r="F34" s="138"/>
      <c r="G34" s="1"/>
    </row>
    <row r="35" spans="1:7" ht="25.5">
      <c r="A35" s="461"/>
      <c r="B35" s="457" t="s">
        <v>387</v>
      </c>
      <c r="C35" s="463" t="s">
        <v>388</v>
      </c>
      <c r="D35" s="457"/>
      <c r="E35" s="457"/>
      <c r="F35" s="138"/>
      <c r="G35" s="1"/>
    </row>
    <row r="36" spans="1:7" ht="27.75" customHeight="1">
      <c r="A36" s="461"/>
      <c r="B36" s="457" t="s">
        <v>301</v>
      </c>
      <c r="C36" s="463" t="s">
        <v>393</v>
      </c>
      <c r="D36" s="464"/>
      <c r="E36" s="464"/>
      <c r="F36" s="138"/>
      <c r="G36" s="1"/>
    </row>
    <row r="37" spans="1:7">
      <c r="A37" s="461"/>
      <c r="B37" s="457"/>
      <c r="C37" s="457"/>
      <c r="D37" s="457"/>
      <c r="E37" s="457"/>
      <c r="F37" s="138"/>
      <c r="G37" s="1"/>
    </row>
    <row r="38" spans="1:7">
      <c r="A38" s="461"/>
      <c r="B38" s="457" t="s">
        <v>460</v>
      </c>
      <c r="C38" s="457"/>
      <c r="D38" s="457"/>
      <c r="E38" s="457"/>
      <c r="F38" s="138"/>
      <c r="G38" s="1"/>
    </row>
    <row r="39" spans="1:7">
      <c r="A39" s="461"/>
      <c r="B39" s="457"/>
      <c r="C39" s="457"/>
      <c r="D39" s="457"/>
      <c r="E39" s="457"/>
      <c r="F39" s="138"/>
      <c r="G39" s="1"/>
    </row>
    <row r="40" spans="1:7">
      <c r="A40" s="461"/>
      <c r="B40" s="465" t="s">
        <v>389</v>
      </c>
      <c r="C40" s="457"/>
      <c r="D40" s="457"/>
      <c r="E40" s="457"/>
      <c r="F40" s="138"/>
      <c r="G40" s="1"/>
    </row>
    <row r="41" spans="1:7">
      <c r="D41" s="304"/>
      <c r="E41" s="304"/>
      <c r="F41" s="1"/>
      <c r="G41" s="1"/>
    </row>
  </sheetData>
  <mergeCells count="6">
    <mergeCell ref="G6:G29"/>
    <mergeCell ref="A27:A28"/>
    <mergeCell ref="B27:B28"/>
    <mergeCell ref="A1:G1"/>
    <mergeCell ref="A2:G2"/>
    <mergeCell ref="A3:G3"/>
  </mergeCells>
  <hyperlinks>
    <hyperlink ref="C34" r:id="rId1"/>
  </hyperlinks>
  <pageMargins left="0.70866141732283472" right="0.70866141732283472" top="0.74803149606299213" bottom="0.74803149606299213" header="0.31496062992125984" footer="0.31496062992125984"/>
  <pageSetup paperSize="9" scale="77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view="pageBreakPreview" topLeftCell="A6" zoomScale="60" workbookViewId="0">
      <selection activeCell="O24" sqref="O24"/>
    </sheetView>
  </sheetViews>
  <sheetFormatPr defaultColWidth="9.140625" defaultRowHeight="15.75"/>
  <cols>
    <col min="1" max="1" width="7.85546875" style="42" customWidth="1"/>
    <col min="2" max="2" width="40.42578125" style="42" customWidth="1"/>
    <col min="3" max="3" width="13" style="42" customWidth="1"/>
    <col min="4" max="4" width="18" style="377" customWidth="1"/>
    <col min="5" max="5" width="21.7109375" style="231" customWidth="1"/>
    <col min="6" max="6" width="15.28515625" style="377" customWidth="1"/>
    <col min="7" max="7" width="17.28515625" style="377" customWidth="1"/>
    <col min="8" max="16384" width="9.140625" style="328"/>
  </cols>
  <sheetData>
    <row r="1" spans="1:7">
      <c r="A1" s="523" t="s">
        <v>373</v>
      </c>
      <c r="B1" s="523"/>
      <c r="C1" s="523"/>
      <c r="D1" s="523"/>
      <c r="E1" s="523"/>
      <c r="F1" s="523"/>
      <c r="G1" s="523"/>
    </row>
    <row r="2" spans="1:7">
      <c r="A2" s="523" t="s">
        <v>431</v>
      </c>
      <c r="B2" s="523"/>
      <c r="C2" s="523"/>
      <c r="D2" s="523"/>
      <c r="E2" s="523"/>
      <c r="F2" s="523"/>
      <c r="G2" s="523"/>
    </row>
    <row r="3" spans="1:7">
      <c r="A3" s="523" t="s">
        <v>399</v>
      </c>
      <c r="B3" s="523"/>
      <c r="C3" s="523"/>
      <c r="D3" s="523"/>
      <c r="E3" s="523"/>
      <c r="F3" s="523"/>
      <c r="G3" s="523"/>
    </row>
    <row r="4" spans="1:7">
      <c r="A4" s="329"/>
      <c r="B4" s="329"/>
      <c r="C4" s="329"/>
      <c r="D4" s="329"/>
      <c r="E4" s="329"/>
      <c r="F4" s="329"/>
      <c r="G4" s="329"/>
    </row>
    <row r="5" spans="1:7" ht="66.75" customHeight="1">
      <c r="A5" s="325" t="s">
        <v>0</v>
      </c>
      <c r="B5" s="325" t="s">
        <v>81</v>
      </c>
      <c r="C5" s="325" t="s">
        <v>244</v>
      </c>
      <c r="D5" s="326" t="s">
        <v>375</v>
      </c>
      <c r="E5" s="326" t="s">
        <v>376</v>
      </c>
      <c r="F5" s="327" t="s">
        <v>377</v>
      </c>
      <c r="G5" s="210" t="s">
        <v>378</v>
      </c>
    </row>
    <row r="6" spans="1:7" ht="31.5">
      <c r="A6" s="330" t="s">
        <v>1</v>
      </c>
      <c r="B6" s="331" t="s">
        <v>265</v>
      </c>
      <c r="C6" s="332" t="s">
        <v>38</v>
      </c>
      <c r="D6" s="333">
        <f>D7+D12+D16+D17+D19</f>
        <v>30996.579999999998</v>
      </c>
      <c r="E6" s="334">
        <f>E7+E12+E16+E17+E19</f>
        <v>25304.146999999997</v>
      </c>
      <c r="F6" s="335">
        <f t="shared" ref="F6:F56" si="0">((E6*100)/D6)-100</f>
        <v>-18.364713139320529</v>
      </c>
      <c r="G6" s="544" t="s">
        <v>459</v>
      </c>
    </row>
    <row r="7" spans="1:7" ht="31.5">
      <c r="A7" s="336">
        <v>1</v>
      </c>
      <c r="B7" s="23" t="s">
        <v>266</v>
      </c>
      <c r="C7" s="337" t="s">
        <v>116</v>
      </c>
      <c r="D7" s="338">
        <f>SUM(D8:D11)</f>
        <v>564.70000000000005</v>
      </c>
      <c r="E7" s="339">
        <f>SUM(E8:E11)</f>
        <v>704.51100000000008</v>
      </c>
      <c r="F7" s="340">
        <f t="shared" si="0"/>
        <v>24.758455817248091</v>
      </c>
      <c r="G7" s="545"/>
    </row>
    <row r="8" spans="1:7">
      <c r="A8" s="39" t="s">
        <v>3</v>
      </c>
      <c r="B8" s="25" t="s">
        <v>105</v>
      </c>
      <c r="C8" s="341" t="s">
        <v>57</v>
      </c>
      <c r="D8" s="342">
        <v>338.2</v>
      </c>
      <c r="E8" s="343">
        <f>598.125-2.203</f>
        <v>595.92200000000003</v>
      </c>
      <c r="F8" s="340">
        <f t="shared" si="0"/>
        <v>76.20402128917803</v>
      </c>
      <c r="G8" s="545"/>
    </row>
    <row r="9" spans="1:7">
      <c r="A9" s="39" t="s">
        <v>4</v>
      </c>
      <c r="B9" s="38" t="s">
        <v>108</v>
      </c>
      <c r="C9" s="341" t="s">
        <v>57</v>
      </c>
      <c r="D9" s="342">
        <v>128.80000000000001</v>
      </c>
      <c r="E9" s="343"/>
      <c r="F9" s="344">
        <f t="shared" si="0"/>
        <v>-100</v>
      </c>
      <c r="G9" s="545"/>
    </row>
    <row r="10" spans="1:7" s="345" customFormat="1">
      <c r="A10" s="39" t="s">
        <v>6</v>
      </c>
      <c r="B10" s="25" t="s">
        <v>172</v>
      </c>
      <c r="C10" s="341" t="s">
        <v>57</v>
      </c>
      <c r="D10" s="342">
        <v>30.5</v>
      </c>
      <c r="E10" s="343">
        <v>77.537000000000006</v>
      </c>
      <c r="F10" s="344">
        <f t="shared" si="0"/>
        <v>154.21967213114758</v>
      </c>
      <c r="G10" s="545"/>
    </row>
    <row r="11" spans="1:7" s="346" customFormat="1">
      <c r="A11" s="39" t="s">
        <v>7</v>
      </c>
      <c r="B11" s="25" t="s">
        <v>420</v>
      </c>
      <c r="C11" s="341" t="s">
        <v>57</v>
      </c>
      <c r="D11" s="342">
        <v>67.2</v>
      </c>
      <c r="E11" s="343">
        <v>31.052</v>
      </c>
      <c r="F11" s="344">
        <f t="shared" si="0"/>
        <v>-53.791666666666671</v>
      </c>
      <c r="G11" s="545"/>
    </row>
    <row r="12" spans="1:7" ht="15.75" customHeight="1">
      <c r="A12" s="336">
        <v>2</v>
      </c>
      <c r="B12" s="23" t="s">
        <v>109</v>
      </c>
      <c r="C12" s="336" t="s">
        <v>116</v>
      </c>
      <c r="D12" s="339">
        <f>SUM(D13:D15)</f>
        <v>26363.3</v>
      </c>
      <c r="E12" s="339">
        <f>SUM(E13:E15)</f>
        <v>22289.010999999999</v>
      </c>
      <c r="F12" s="340">
        <f t="shared" si="0"/>
        <v>-15.454396831959599</v>
      </c>
      <c r="G12" s="545"/>
    </row>
    <row r="13" spans="1:7" s="346" customFormat="1" ht="31.5">
      <c r="A13" s="39" t="s">
        <v>9</v>
      </c>
      <c r="B13" s="25" t="s">
        <v>402</v>
      </c>
      <c r="C13" s="341" t="s">
        <v>116</v>
      </c>
      <c r="D13" s="342">
        <v>23988.44</v>
      </c>
      <c r="E13" s="343">
        <f>20253.319-110.84</f>
        <v>20142.478999999999</v>
      </c>
      <c r="F13" s="344">
        <f t="shared" si="0"/>
        <v>-16.032559849660913</v>
      </c>
      <c r="G13" s="545"/>
    </row>
    <row r="14" spans="1:7">
      <c r="A14" s="39" t="s">
        <v>10</v>
      </c>
      <c r="B14" s="25" t="s">
        <v>421</v>
      </c>
      <c r="C14" s="341" t="s">
        <v>57</v>
      </c>
      <c r="D14" s="342">
        <f>1295.38+1079.48</f>
        <v>2374.86</v>
      </c>
      <c r="E14" s="343">
        <f>194.442+287.017+671.711+909.832-5.505-6.607</f>
        <v>2050.89</v>
      </c>
      <c r="F14" s="344">
        <f t="shared" si="0"/>
        <v>-13.641646244410197</v>
      </c>
      <c r="G14" s="545"/>
    </row>
    <row r="15" spans="1:7">
      <c r="A15" s="39" t="s">
        <v>11</v>
      </c>
      <c r="B15" s="347" t="s">
        <v>423</v>
      </c>
      <c r="C15" s="341" t="s">
        <v>57</v>
      </c>
      <c r="D15" s="342"/>
      <c r="E15" s="343">
        <f>58.652+36.99</f>
        <v>95.641999999999996</v>
      </c>
      <c r="F15" s="344"/>
      <c r="G15" s="545"/>
    </row>
    <row r="16" spans="1:7">
      <c r="A16" s="336">
        <v>3</v>
      </c>
      <c r="B16" s="23" t="s">
        <v>111</v>
      </c>
      <c r="C16" s="336" t="s">
        <v>57</v>
      </c>
      <c r="D16" s="338">
        <v>845.6</v>
      </c>
      <c r="E16" s="339">
        <v>775.13</v>
      </c>
      <c r="F16" s="348">
        <f t="shared" si="0"/>
        <v>-8.3337275307473959</v>
      </c>
      <c r="G16" s="545"/>
    </row>
    <row r="17" spans="1:7" ht="17.25" customHeight="1">
      <c r="A17" s="336">
        <v>4</v>
      </c>
      <c r="B17" s="23" t="s">
        <v>112</v>
      </c>
      <c r="C17" s="336" t="s">
        <v>116</v>
      </c>
      <c r="D17" s="338">
        <f>D18</f>
        <v>1885.76</v>
      </c>
      <c r="E17" s="339">
        <f>E18</f>
        <v>0</v>
      </c>
      <c r="F17" s="348">
        <f t="shared" si="0"/>
        <v>-100</v>
      </c>
      <c r="G17" s="545"/>
    </row>
    <row r="18" spans="1:7" s="354" customFormat="1" ht="47.25">
      <c r="A18" s="349" t="s">
        <v>12</v>
      </c>
      <c r="B18" s="350" t="s">
        <v>267</v>
      </c>
      <c r="C18" s="351" t="s">
        <v>38</v>
      </c>
      <c r="D18" s="352">
        <v>1885.76</v>
      </c>
      <c r="E18" s="343"/>
      <c r="F18" s="353">
        <f t="shared" si="0"/>
        <v>-100</v>
      </c>
      <c r="G18" s="545"/>
    </row>
    <row r="19" spans="1:7">
      <c r="A19" s="40" t="s">
        <v>114</v>
      </c>
      <c r="B19" s="23" t="s">
        <v>115</v>
      </c>
      <c r="C19" s="336" t="s">
        <v>38</v>
      </c>
      <c r="D19" s="339">
        <f>SUM(D20:D24)</f>
        <v>1337.22</v>
      </c>
      <c r="E19" s="339">
        <f>SUM(E20:E24)</f>
        <v>1535.4949999999999</v>
      </c>
      <c r="F19" s="340">
        <f t="shared" si="0"/>
        <v>14.827403119905469</v>
      </c>
      <c r="G19" s="545"/>
    </row>
    <row r="20" spans="1:7" ht="15" customHeight="1">
      <c r="A20" s="39" t="s">
        <v>13</v>
      </c>
      <c r="B20" s="25" t="s">
        <v>151</v>
      </c>
      <c r="C20" s="341" t="s">
        <v>116</v>
      </c>
      <c r="D20" s="352">
        <v>197.21</v>
      </c>
      <c r="E20" s="343">
        <v>195.82900000000001</v>
      </c>
      <c r="F20" s="353">
        <f t="shared" si="0"/>
        <v>-0.7002687490492292</v>
      </c>
      <c r="G20" s="545"/>
    </row>
    <row r="21" spans="1:7" s="356" customFormat="1" ht="15" customHeight="1">
      <c r="A21" s="39" t="s">
        <v>14</v>
      </c>
      <c r="B21" s="355" t="s">
        <v>119</v>
      </c>
      <c r="C21" s="341" t="s">
        <v>57</v>
      </c>
      <c r="D21" s="342">
        <v>195.05</v>
      </c>
      <c r="E21" s="343">
        <f>195.05-32.45</f>
        <v>162.60000000000002</v>
      </c>
      <c r="F21" s="353">
        <f t="shared" si="0"/>
        <v>-16.636759805178158</v>
      </c>
      <c r="G21" s="545"/>
    </row>
    <row r="22" spans="1:7" ht="15" customHeight="1">
      <c r="A22" s="39" t="s">
        <v>53</v>
      </c>
      <c r="B22" s="355" t="s">
        <v>424</v>
      </c>
      <c r="C22" s="341" t="s">
        <v>57</v>
      </c>
      <c r="D22" s="352">
        <v>25.55</v>
      </c>
      <c r="E22" s="343">
        <f>14+118</f>
        <v>132</v>
      </c>
      <c r="F22" s="353">
        <f t="shared" si="0"/>
        <v>416.63405088062621</v>
      </c>
      <c r="G22" s="545"/>
    </row>
    <row r="23" spans="1:7">
      <c r="A23" s="39" t="s">
        <v>15</v>
      </c>
      <c r="B23" s="25" t="s">
        <v>207</v>
      </c>
      <c r="C23" s="341" t="s">
        <v>57</v>
      </c>
      <c r="D23" s="342">
        <v>178.16</v>
      </c>
      <c r="E23" s="343">
        <v>304.04599999999999</v>
      </c>
      <c r="F23" s="353">
        <f t="shared" si="0"/>
        <v>70.658958239784454</v>
      </c>
      <c r="G23" s="545"/>
    </row>
    <row r="24" spans="1:7" ht="47.25">
      <c r="A24" s="39" t="s">
        <v>55</v>
      </c>
      <c r="B24" s="357" t="s">
        <v>425</v>
      </c>
      <c r="C24" s="341" t="s">
        <v>57</v>
      </c>
      <c r="D24" s="342">
        <v>741.25</v>
      </c>
      <c r="E24" s="343">
        <v>741.02</v>
      </c>
      <c r="F24" s="353">
        <f t="shared" si="0"/>
        <v>-3.1028667790891973E-2</v>
      </c>
      <c r="G24" s="545"/>
    </row>
    <row r="25" spans="1:7" ht="31.5">
      <c r="A25" s="358" t="s">
        <v>123</v>
      </c>
      <c r="B25" s="23" t="s">
        <v>269</v>
      </c>
      <c r="C25" s="336" t="s">
        <v>116</v>
      </c>
      <c r="D25" s="359">
        <f>D26+D30+D40</f>
        <v>5753.4559999999992</v>
      </c>
      <c r="E25" s="339">
        <f>+E26+E30+E40</f>
        <v>9797.3467999999993</v>
      </c>
      <c r="F25" s="348">
        <f t="shared" si="0"/>
        <v>70.28629053563634</v>
      </c>
      <c r="G25" s="545"/>
    </row>
    <row r="26" spans="1:7">
      <c r="A26" s="358">
        <v>6</v>
      </c>
      <c r="B26" s="360" t="s">
        <v>270</v>
      </c>
      <c r="C26" s="361" t="s">
        <v>38</v>
      </c>
      <c r="D26" s="362">
        <f>SUM(D27:D29)</f>
        <v>4220.4799999999996</v>
      </c>
      <c r="E26" s="362">
        <f>SUM(E27:E29)</f>
        <v>6129.2260000000006</v>
      </c>
      <c r="F26" s="363">
        <f t="shared" si="0"/>
        <v>45.22580370005312</v>
      </c>
      <c r="G26" s="545"/>
    </row>
    <row r="27" spans="1:7" s="346" customFormat="1" ht="36.75" customHeight="1">
      <c r="A27" s="364" t="s">
        <v>21</v>
      </c>
      <c r="B27" s="365" t="s">
        <v>271</v>
      </c>
      <c r="C27" s="366" t="s">
        <v>38</v>
      </c>
      <c r="D27" s="342">
        <v>3840.29</v>
      </c>
      <c r="E27" s="367">
        <v>5548.0320000000002</v>
      </c>
      <c r="F27" s="368">
        <f t="shared" si="0"/>
        <v>44.469089573964482</v>
      </c>
      <c r="G27" s="545"/>
    </row>
    <row r="28" spans="1:7" ht="20.25" customHeight="1">
      <c r="A28" s="364" t="s">
        <v>22</v>
      </c>
      <c r="B28" s="378" t="s">
        <v>421</v>
      </c>
      <c r="C28" s="366" t="s">
        <v>38</v>
      </c>
      <c r="D28" s="342">
        <f>207.38+172.81</f>
        <v>380.19</v>
      </c>
      <c r="E28" s="367">
        <f>50.616+60.737+204.843+245.811</f>
        <v>562.00700000000006</v>
      </c>
      <c r="F28" s="368">
        <f t="shared" si="0"/>
        <v>47.822667613561663</v>
      </c>
      <c r="G28" s="545"/>
    </row>
    <row r="29" spans="1:7" s="346" customFormat="1">
      <c r="A29" s="364" t="s">
        <v>23</v>
      </c>
      <c r="B29" s="347" t="s">
        <v>422</v>
      </c>
      <c r="C29" s="341" t="s">
        <v>57</v>
      </c>
      <c r="D29" s="342"/>
      <c r="E29" s="367">
        <f>11.441+7.746</f>
        <v>19.187000000000001</v>
      </c>
      <c r="F29" s="368"/>
      <c r="G29" s="545"/>
    </row>
    <row r="30" spans="1:7" ht="31.5">
      <c r="A30" s="369" t="s">
        <v>180</v>
      </c>
      <c r="B30" s="360" t="s">
        <v>272</v>
      </c>
      <c r="C30" s="361" t="s">
        <v>38</v>
      </c>
      <c r="D30" s="359">
        <f>SUM(D31:D39)</f>
        <v>1118.146</v>
      </c>
      <c r="E30" s="362">
        <f>SUM(E31:E39)</f>
        <v>1847.65</v>
      </c>
      <c r="F30" s="370">
        <f t="shared" si="0"/>
        <v>65.242284996771446</v>
      </c>
      <c r="G30" s="545"/>
    </row>
    <row r="31" spans="1:7" ht="31.5">
      <c r="A31" s="364" t="s">
        <v>127</v>
      </c>
      <c r="B31" s="365" t="s">
        <v>16</v>
      </c>
      <c r="C31" s="366" t="s">
        <v>38</v>
      </c>
      <c r="D31" s="342">
        <v>1000</v>
      </c>
      <c r="E31" s="367">
        <f>1075.463-22.519</f>
        <v>1052.944</v>
      </c>
      <c r="F31" s="371">
        <f t="shared" si="0"/>
        <v>5.294399999999996</v>
      </c>
      <c r="G31" s="545"/>
    </row>
    <row r="32" spans="1:7">
      <c r="A32" s="364" t="s">
        <v>129</v>
      </c>
      <c r="B32" s="25" t="s">
        <v>426</v>
      </c>
      <c r="C32" s="341" t="s">
        <v>57</v>
      </c>
      <c r="D32" s="342">
        <v>8.673</v>
      </c>
      <c r="E32" s="343">
        <v>9.9380000000000006</v>
      </c>
      <c r="F32" s="353">
        <f t="shared" si="0"/>
        <v>14.585495215035181</v>
      </c>
      <c r="G32" s="545"/>
    </row>
    <row r="33" spans="1:7">
      <c r="A33" s="364" t="s">
        <v>130</v>
      </c>
      <c r="B33" s="365" t="s">
        <v>137</v>
      </c>
      <c r="C33" s="366" t="s">
        <v>38</v>
      </c>
      <c r="D33" s="342">
        <v>84.893000000000001</v>
      </c>
      <c r="E33" s="367">
        <v>5.1100000000000003</v>
      </c>
      <c r="F33" s="371">
        <f t="shared" si="0"/>
        <v>-93.980658004782484</v>
      </c>
      <c r="G33" s="545"/>
    </row>
    <row r="34" spans="1:7" s="346" customFormat="1">
      <c r="A34" s="364" t="s">
        <v>132</v>
      </c>
      <c r="B34" s="365" t="s">
        <v>273</v>
      </c>
      <c r="C34" s="366" t="s">
        <v>38</v>
      </c>
      <c r="D34" s="342"/>
      <c r="E34" s="367">
        <v>28.257000000000001</v>
      </c>
      <c r="F34" s="368"/>
      <c r="G34" s="545"/>
    </row>
    <row r="35" spans="1:7" s="346" customFormat="1">
      <c r="A35" s="364" t="s">
        <v>134</v>
      </c>
      <c r="B35" s="365" t="s">
        <v>427</v>
      </c>
      <c r="C35" s="366" t="s">
        <v>38</v>
      </c>
      <c r="D35" s="342">
        <v>16.23</v>
      </c>
      <c r="E35" s="367">
        <v>6.8070000000000004</v>
      </c>
      <c r="F35" s="368">
        <f t="shared" si="0"/>
        <v>-58.059149722735675</v>
      </c>
      <c r="G35" s="545"/>
    </row>
    <row r="36" spans="1:7" s="346" customFormat="1">
      <c r="A36" s="364" t="s">
        <v>136</v>
      </c>
      <c r="B36" s="365" t="s">
        <v>99</v>
      </c>
      <c r="C36" s="366" t="s">
        <v>38</v>
      </c>
      <c r="D36" s="342"/>
      <c r="E36" s="367">
        <v>16.670000000000002</v>
      </c>
      <c r="F36" s="368"/>
      <c r="G36" s="545"/>
    </row>
    <row r="37" spans="1:7" s="346" customFormat="1">
      <c r="A37" s="364" t="s">
        <v>138</v>
      </c>
      <c r="B37" s="365" t="s">
        <v>407</v>
      </c>
      <c r="C37" s="366" t="s">
        <v>38</v>
      </c>
      <c r="D37" s="342">
        <v>8.35</v>
      </c>
      <c r="E37" s="367">
        <v>4.1760000000000002</v>
      </c>
      <c r="F37" s="368">
        <f t="shared" si="0"/>
        <v>-49.988023952095801</v>
      </c>
      <c r="G37" s="545"/>
    </row>
    <row r="38" spans="1:7" s="346" customFormat="1">
      <c r="A38" s="364" t="s">
        <v>140</v>
      </c>
      <c r="B38" s="365" t="s">
        <v>275</v>
      </c>
      <c r="C38" s="366" t="s">
        <v>38</v>
      </c>
      <c r="D38" s="342"/>
      <c r="E38" s="367">
        <v>6.2640000000000002</v>
      </c>
      <c r="F38" s="368"/>
      <c r="G38" s="545"/>
    </row>
    <row r="39" spans="1:7" s="346" customFormat="1">
      <c r="A39" s="364" t="s">
        <v>142</v>
      </c>
      <c r="B39" s="365" t="s">
        <v>276</v>
      </c>
      <c r="C39" s="366" t="s">
        <v>38</v>
      </c>
      <c r="D39" s="342"/>
      <c r="E39" s="367">
        <v>717.48400000000004</v>
      </c>
      <c r="F39" s="368"/>
      <c r="G39" s="545"/>
    </row>
    <row r="40" spans="1:7" s="346" customFormat="1">
      <c r="A40" s="40" t="s">
        <v>277</v>
      </c>
      <c r="B40" s="372" t="s">
        <v>126</v>
      </c>
      <c r="C40" s="336" t="s">
        <v>57</v>
      </c>
      <c r="D40" s="373">
        <f>SUM(D41:D49)</f>
        <v>414.83</v>
      </c>
      <c r="E40" s="339">
        <f>SUM(E41:E49)</f>
        <v>1820.4708000000001</v>
      </c>
      <c r="F40" s="340">
        <f t="shared" si="0"/>
        <v>338.8474314779549</v>
      </c>
      <c r="G40" s="545"/>
    </row>
    <row r="41" spans="1:7">
      <c r="A41" s="39" t="s">
        <v>168</v>
      </c>
      <c r="B41" s="25" t="s">
        <v>193</v>
      </c>
      <c r="C41" s="341" t="s">
        <v>57</v>
      </c>
      <c r="D41" s="352">
        <v>17.5</v>
      </c>
      <c r="E41" s="343">
        <v>7.5</v>
      </c>
      <c r="F41" s="353">
        <f t="shared" si="0"/>
        <v>-57.142857142857146</v>
      </c>
      <c r="G41" s="545"/>
    </row>
    <row r="42" spans="1:7" s="354" customFormat="1">
      <c r="A42" s="349" t="s">
        <v>169</v>
      </c>
      <c r="B42" s="350" t="s">
        <v>195</v>
      </c>
      <c r="C42" s="351" t="s">
        <v>57</v>
      </c>
      <c r="D42" s="352">
        <v>80.05</v>
      </c>
      <c r="E42" s="343">
        <v>22.100999999999999</v>
      </c>
      <c r="F42" s="353">
        <f t="shared" si="0"/>
        <v>-72.39100562148657</v>
      </c>
      <c r="G42" s="545"/>
    </row>
    <row r="43" spans="1:7">
      <c r="A43" s="39" t="s">
        <v>183</v>
      </c>
      <c r="B43" s="25" t="s">
        <v>428</v>
      </c>
      <c r="C43" s="341" t="s">
        <v>57</v>
      </c>
      <c r="D43" s="352">
        <v>53.49</v>
      </c>
      <c r="E43" s="343">
        <f>47.18-0.0062</f>
        <v>47.1738</v>
      </c>
      <c r="F43" s="353">
        <f t="shared" si="0"/>
        <v>-11.808188446438592</v>
      </c>
      <c r="G43" s="545"/>
    </row>
    <row r="44" spans="1:7">
      <c r="A44" s="39" t="s">
        <v>185</v>
      </c>
      <c r="B44" s="347" t="s">
        <v>153</v>
      </c>
      <c r="C44" s="341" t="s">
        <v>57</v>
      </c>
      <c r="D44" s="352">
        <v>136.43</v>
      </c>
      <c r="E44" s="343">
        <f>200.394-1.26-10.879</f>
        <v>188.25500000000002</v>
      </c>
      <c r="F44" s="353">
        <f t="shared" si="0"/>
        <v>37.986513230227985</v>
      </c>
      <c r="G44" s="545"/>
    </row>
    <row r="45" spans="1:7">
      <c r="A45" s="39" t="s">
        <v>186</v>
      </c>
      <c r="B45" s="347" t="s">
        <v>278</v>
      </c>
      <c r="C45" s="341" t="s">
        <v>57</v>
      </c>
      <c r="D45" s="352"/>
      <c r="E45" s="343">
        <v>251.642</v>
      </c>
      <c r="F45" s="353"/>
      <c r="G45" s="545"/>
    </row>
    <row r="46" spans="1:7">
      <c r="A46" s="349" t="s">
        <v>188</v>
      </c>
      <c r="B46" s="25" t="s">
        <v>405</v>
      </c>
      <c r="C46" s="341" t="s">
        <v>57</v>
      </c>
      <c r="D46" s="352">
        <v>73.569999999999993</v>
      </c>
      <c r="E46" s="343">
        <f>41.747-0.056</f>
        <v>41.691000000000003</v>
      </c>
      <c r="F46" s="353">
        <f t="shared" si="0"/>
        <v>-43.331521000407761</v>
      </c>
      <c r="G46" s="545"/>
    </row>
    <row r="47" spans="1:7" ht="31.5">
      <c r="A47" s="39" t="s">
        <v>192</v>
      </c>
      <c r="B47" s="25" t="s">
        <v>429</v>
      </c>
      <c r="C47" s="341" t="s">
        <v>57</v>
      </c>
      <c r="D47" s="352">
        <v>22.4</v>
      </c>
      <c r="E47" s="343"/>
      <c r="F47" s="353">
        <f t="shared" si="0"/>
        <v>-100</v>
      </c>
      <c r="G47" s="545"/>
    </row>
    <row r="48" spans="1:7" s="346" customFormat="1">
      <c r="A48" s="39" t="s">
        <v>194</v>
      </c>
      <c r="B48" s="25" t="s">
        <v>120</v>
      </c>
      <c r="C48" s="341" t="s">
        <v>57</v>
      </c>
      <c r="D48" s="352">
        <v>31.39</v>
      </c>
      <c r="E48" s="343">
        <v>13.608000000000001</v>
      </c>
      <c r="F48" s="344">
        <f t="shared" si="0"/>
        <v>-56.648614208346608</v>
      </c>
      <c r="G48" s="545"/>
    </row>
    <row r="49" spans="1:7">
      <c r="A49" s="349" t="s">
        <v>279</v>
      </c>
      <c r="B49" s="25" t="s">
        <v>280</v>
      </c>
      <c r="C49" s="341" t="s">
        <v>57</v>
      </c>
      <c r="D49" s="342"/>
      <c r="E49" s="343">
        <v>1248.5</v>
      </c>
      <c r="F49" s="344"/>
      <c r="G49" s="545"/>
    </row>
    <row r="50" spans="1:7" ht="31.5">
      <c r="A50" s="358" t="s">
        <v>160</v>
      </c>
      <c r="B50" s="23" t="s">
        <v>281</v>
      </c>
      <c r="C50" s="336" t="s">
        <v>116</v>
      </c>
      <c r="D50" s="359">
        <f>D6+D25</f>
        <v>36750.036</v>
      </c>
      <c r="E50" s="339">
        <f>E6+E25</f>
        <v>35101.493799999997</v>
      </c>
      <c r="F50" s="348">
        <f t="shared" si="0"/>
        <v>-4.485824721368985</v>
      </c>
      <c r="G50" s="545"/>
    </row>
    <row r="51" spans="1:7">
      <c r="A51" s="358" t="s">
        <v>28</v>
      </c>
      <c r="B51" s="23" t="s">
        <v>282</v>
      </c>
      <c r="C51" s="336" t="s">
        <v>38</v>
      </c>
      <c r="D51" s="359">
        <f>D52-D50</f>
        <v>-146.1160000000018</v>
      </c>
      <c r="E51" s="339">
        <f>E52-E50</f>
        <v>2884.7262000000046</v>
      </c>
      <c r="F51" s="348">
        <f t="shared" si="0"/>
        <v>-2074.2712639272695</v>
      </c>
      <c r="G51" s="545"/>
    </row>
    <row r="52" spans="1:7">
      <c r="A52" s="336" t="s">
        <v>31</v>
      </c>
      <c r="B52" s="198" t="s">
        <v>198</v>
      </c>
      <c r="C52" s="336" t="s">
        <v>38</v>
      </c>
      <c r="D52" s="338">
        <v>36603.919999999998</v>
      </c>
      <c r="E52" s="339">
        <v>37986.22</v>
      </c>
      <c r="F52" s="340">
        <f t="shared" si="0"/>
        <v>3.776371492452185</v>
      </c>
      <c r="G52" s="545"/>
    </row>
    <row r="53" spans="1:7" ht="31.5">
      <c r="A53" s="336" t="s">
        <v>33</v>
      </c>
      <c r="B53" s="23" t="s">
        <v>283</v>
      </c>
      <c r="C53" s="336" t="s">
        <v>165</v>
      </c>
      <c r="D53" s="359">
        <v>81552</v>
      </c>
      <c r="E53" s="359">
        <v>84944.54</v>
      </c>
      <c r="F53" s="375">
        <f t="shared" si="0"/>
        <v>4.1599715518932641</v>
      </c>
      <c r="G53" s="545"/>
    </row>
    <row r="54" spans="1:7">
      <c r="A54" s="547" t="s">
        <v>284</v>
      </c>
      <c r="B54" s="548" t="s">
        <v>285</v>
      </c>
      <c r="C54" s="336" t="s">
        <v>286</v>
      </c>
      <c r="D54" s="376">
        <v>25</v>
      </c>
      <c r="E54" s="340">
        <v>25.93</v>
      </c>
      <c r="F54" s="340">
        <f t="shared" si="0"/>
        <v>3.7199999999999989</v>
      </c>
      <c r="G54" s="545"/>
    </row>
    <row r="55" spans="1:7">
      <c r="A55" s="547"/>
      <c r="B55" s="549"/>
      <c r="C55" s="336" t="s">
        <v>165</v>
      </c>
      <c r="D55" s="374">
        <v>27144.1</v>
      </c>
      <c r="E55" s="339">
        <v>29731.348681660911</v>
      </c>
      <c r="F55" s="340">
        <f t="shared" si="0"/>
        <v>9.5315323833205383</v>
      </c>
      <c r="G55" s="545"/>
    </row>
    <row r="56" spans="1:7" ht="21" customHeight="1">
      <c r="A56" s="336" t="s">
        <v>287</v>
      </c>
      <c r="B56" s="23" t="s">
        <v>288</v>
      </c>
      <c r="C56" s="336" t="s">
        <v>264</v>
      </c>
      <c r="D56" s="359">
        <f>+D52/D53</f>
        <v>0.4488414753776731</v>
      </c>
      <c r="E56" s="339">
        <f>+E52/E53</f>
        <v>0.44718848321504834</v>
      </c>
      <c r="F56" s="340">
        <f t="shared" si="0"/>
        <v>-0.36827972754386451</v>
      </c>
      <c r="G56" s="546"/>
    </row>
    <row r="58" spans="1:7" ht="31.5">
      <c r="A58" s="229"/>
      <c r="B58" s="235" t="s">
        <v>379</v>
      </c>
      <c r="C58" s="238" t="s">
        <v>380</v>
      </c>
      <c r="D58" s="236"/>
      <c r="E58" s="235"/>
      <c r="F58" s="244"/>
      <c r="G58" s="46"/>
    </row>
    <row r="59" spans="1:7">
      <c r="A59" s="229"/>
      <c r="B59" s="235" t="s">
        <v>381</v>
      </c>
      <c r="C59" s="238" t="s">
        <v>382</v>
      </c>
      <c r="D59" s="236"/>
      <c r="E59" s="235"/>
      <c r="F59" s="244"/>
      <c r="G59" s="44"/>
    </row>
    <row r="60" spans="1:7">
      <c r="A60" s="229"/>
      <c r="B60" s="235" t="s">
        <v>383</v>
      </c>
      <c r="C60" s="238" t="s">
        <v>384</v>
      </c>
      <c r="D60" s="236"/>
      <c r="E60" s="235"/>
      <c r="F60" s="244"/>
      <c r="G60" s="44"/>
    </row>
    <row r="61" spans="1:7" ht="31.5">
      <c r="A61" s="206"/>
      <c r="B61" s="235" t="s">
        <v>385</v>
      </c>
      <c r="C61" s="232" t="s">
        <v>386</v>
      </c>
      <c r="D61" s="235"/>
      <c r="E61" s="235"/>
      <c r="F61" s="245"/>
      <c r="G61" s="44"/>
    </row>
    <row r="62" spans="1:7" ht="31.5">
      <c r="A62" s="206"/>
      <c r="B62" s="235" t="s">
        <v>387</v>
      </c>
      <c r="C62" s="233" t="s">
        <v>388</v>
      </c>
      <c r="D62" s="235"/>
      <c r="E62" s="235"/>
      <c r="F62" s="245"/>
      <c r="G62" s="44"/>
    </row>
    <row r="63" spans="1:7" ht="28.5" customHeight="1">
      <c r="A63" s="206"/>
      <c r="B63" s="235" t="s">
        <v>301</v>
      </c>
      <c r="C63" s="233" t="s">
        <v>393</v>
      </c>
      <c r="D63" s="237"/>
      <c r="E63" s="237"/>
      <c r="F63" s="245"/>
      <c r="G63" s="44"/>
    </row>
    <row r="64" spans="1:7">
      <c r="A64" s="206"/>
      <c r="B64" s="235"/>
      <c r="C64" s="235"/>
      <c r="D64" s="235"/>
      <c r="E64" s="235"/>
      <c r="F64" s="245"/>
      <c r="G64" s="44"/>
    </row>
    <row r="65" spans="1:7">
      <c r="A65" s="206"/>
      <c r="B65" s="235" t="s">
        <v>390</v>
      </c>
      <c r="C65" s="235"/>
      <c r="D65" s="235"/>
      <c r="E65" s="235"/>
      <c r="F65" s="245"/>
      <c r="G65" s="44"/>
    </row>
    <row r="66" spans="1:7">
      <c r="A66" s="206"/>
      <c r="B66" s="235"/>
      <c r="C66" s="235"/>
      <c r="D66" s="235"/>
      <c r="E66" s="235"/>
      <c r="F66" s="245"/>
      <c r="G66" s="44"/>
    </row>
    <row r="67" spans="1:7">
      <c r="A67" s="206"/>
      <c r="B67" s="234" t="s">
        <v>389</v>
      </c>
      <c r="C67" s="235"/>
      <c r="D67" s="235"/>
      <c r="E67" s="235"/>
      <c r="F67" s="245"/>
      <c r="G67" s="44"/>
    </row>
    <row r="68" spans="1:7">
      <c r="A68" s="320"/>
      <c r="B68" s="44"/>
      <c r="C68" s="44"/>
      <c r="D68" s="301"/>
      <c r="E68" s="301"/>
      <c r="F68" s="44"/>
      <c r="G68" s="44"/>
    </row>
    <row r="69" spans="1:7">
      <c r="A69" s="320"/>
      <c r="B69" s="44"/>
      <c r="C69" s="44"/>
      <c r="D69" s="44"/>
      <c r="E69" s="44"/>
      <c r="F69" s="266"/>
      <c r="G69" s="266"/>
    </row>
  </sheetData>
  <mergeCells count="6">
    <mergeCell ref="G6:G56"/>
    <mergeCell ref="A1:G1"/>
    <mergeCell ref="A54:A55"/>
    <mergeCell ref="B54:B55"/>
    <mergeCell ref="A2:G2"/>
    <mergeCell ref="A3:G3"/>
  </mergeCells>
  <hyperlinks>
    <hyperlink ref="C61" r:id="rId1"/>
  </hyperlinks>
  <pageMargins left="0.70866141732283472" right="0.70866141732283472" top="0.74803149606299213" bottom="0.74803149606299213" header="0.31496062992125984" footer="0.31496062992125984"/>
  <pageSetup paperSize="9" scale="97" orientation="landscape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8"/>
  <sheetViews>
    <sheetView topLeftCell="A52" workbookViewId="0">
      <selection activeCell="G7" sqref="G7:G57"/>
    </sheetView>
  </sheetViews>
  <sheetFormatPr defaultColWidth="9.140625" defaultRowHeight="18" customHeight="1"/>
  <cols>
    <col min="1" max="1" width="6.140625" style="140" customWidth="1"/>
    <col min="2" max="2" width="48.5703125" style="140" customWidth="1"/>
    <col min="3" max="3" width="17.7109375" style="140" customWidth="1"/>
    <col min="4" max="4" width="18.5703125" style="403" customWidth="1"/>
    <col min="5" max="5" width="17.7109375" style="401" customWidth="1"/>
    <col min="6" max="6" width="15.28515625" style="384" customWidth="1"/>
    <col min="7" max="7" width="16.5703125" style="380" customWidth="1"/>
    <col min="8" max="8" width="9.140625" style="111" customWidth="1"/>
    <col min="9" max="9" width="10.5703125" style="111" customWidth="1"/>
    <col min="10" max="10" width="7.140625" style="111" customWidth="1"/>
    <col min="11" max="16384" width="9.140625" style="111"/>
  </cols>
  <sheetData>
    <row r="1" spans="1:10" ht="18" customHeight="1">
      <c r="A1" s="523" t="s">
        <v>373</v>
      </c>
      <c r="B1" s="523"/>
      <c r="C1" s="523"/>
      <c r="D1" s="523"/>
      <c r="E1" s="523"/>
      <c r="F1" s="523"/>
      <c r="G1" s="523"/>
    </row>
    <row r="2" spans="1:10" ht="18" customHeight="1">
      <c r="A2" s="523" t="s">
        <v>432</v>
      </c>
      <c r="B2" s="523"/>
      <c r="C2" s="523"/>
      <c r="D2" s="523"/>
      <c r="E2" s="523"/>
      <c r="F2" s="523"/>
      <c r="G2" s="523"/>
    </row>
    <row r="3" spans="1:10" ht="18" customHeight="1">
      <c r="A3" s="523" t="s">
        <v>399</v>
      </c>
      <c r="B3" s="523"/>
      <c r="C3" s="523"/>
      <c r="D3" s="523"/>
      <c r="E3" s="523"/>
      <c r="F3" s="523"/>
      <c r="G3" s="523"/>
    </row>
    <row r="4" spans="1:10" ht="18" customHeight="1">
      <c r="A4" s="196"/>
      <c r="B4" s="196"/>
      <c r="C4" s="196"/>
      <c r="D4" s="400"/>
      <c r="E4" s="400"/>
      <c r="F4" s="379"/>
      <c r="G4" s="379"/>
    </row>
    <row r="5" spans="1:10" ht="18" customHeight="1">
      <c r="A5" s="112"/>
      <c r="B5" s="112"/>
      <c r="C5" s="112"/>
      <c r="D5" s="401"/>
      <c r="F5" s="380"/>
    </row>
    <row r="6" spans="1:10" s="395" customFormat="1" ht="90.75" customHeight="1">
      <c r="A6" s="325" t="s">
        <v>0</v>
      </c>
      <c r="B6" s="325" t="s">
        <v>81</v>
      </c>
      <c r="C6" s="325" t="s">
        <v>244</v>
      </c>
      <c r="D6" s="326" t="s">
        <v>375</v>
      </c>
      <c r="E6" s="326" t="s">
        <v>376</v>
      </c>
      <c r="F6" s="327" t="s">
        <v>377</v>
      </c>
      <c r="G6" s="210" t="s">
        <v>378</v>
      </c>
      <c r="H6" s="394"/>
    </row>
    <row r="7" spans="1:10" s="118" customFormat="1" ht="44.25" customHeight="1">
      <c r="A7" s="114" t="s">
        <v>1</v>
      </c>
      <c r="B7" s="115" t="s">
        <v>325</v>
      </c>
      <c r="C7" s="116" t="s">
        <v>38</v>
      </c>
      <c r="D7" s="130">
        <f>D8+D13+D17+D18+D20</f>
        <v>42240.55</v>
      </c>
      <c r="E7" s="130">
        <f>E8+E13+E17+E18+E20</f>
        <v>44618.790999999997</v>
      </c>
      <c r="F7" s="396">
        <f t="shared" ref="F7:F56" si="0">((E7*100)/D7)-100</f>
        <v>5.6302320874136171</v>
      </c>
      <c r="G7" s="550" t="s">
        <v>459</v>
      </c>
    </row>
    <row r="8" spans="1:10" s="118" customFormat="1" ht="27.75" customHeight="1">
      <c r="A8" s="114">
        <v>1</v>
      </c>
      <c r="B8" s="119" t="s">
        <v>326</v>
      </c>
      <c r="C8" s="116" t="s">
        <v>38</v>
      </c>
      <c r="D8" s="130">
        <f>D9+D10+D11+D12</f>
        <v>3282.53</v>
      </c>
      <c r="E8" s="130">
        <f>E9+E10+E11+E12</f>
        <v>3247.7359999999999</v>
      </c>
      <c r="F8" s="396">
        <f t="shared" si="0"/>
        <v>-1.0599750801973045</v>
      </c>
      <c r="G8" s="551"/>
    </row>
    <row r="9" spans="1:10" s="113" customFormat="1" ht="18" customHeight="1">
      <c r="A9" s="120" t="s">
        <v>3</v>
      </c>
      <c r="B9" s="121" t="s">
        <v>105</v>
      </c>
      <c r="C9" s="122" t="s">
        <v>57</v>
      </c>
      <c r="D9" s="381">
        <v>1306.5</v>
      </c>
      <c r="E9" s="388">
        <v>1243.75</v>
      </c>
      <c r="F9" s="396">
        <f t="shared" si="0"/>
        <v>-4.802908534251813</v>
      </c>
      <c r="G9" s="551"/>
    </row>
    <row r="10" spans="1:10" s="113" customFormat="1" ht="18" customHeight="1">
      <c r="A10" s="120" t="s">
        <v>4</v>
      </c>
      <c r="B10" s="123" t="s">
        <v>201</v>
      </c>
      <c r="C10" s="122" t="s">
        <v>57</v>
      </c>
      <c r="D10" s="381">
        <v>1056.79</v>
      </c>
      <c r="E10" s="388">
        <v>199.291</v>
      </c>
      <c r="F10" s="396">
        <f t="shared" si="0"/>
        <v>-81.141854105356785</v>
      </c>
      <c r="G10" s="551"/>
    </row>
    <row r="11" spans="1:10" s="113" customFormat="1" ht="18" customHeight="1">
      <c r="A11" s="120" t="s">
        <v>6</v>
      </c>
      <c r="B11" s="124" t="s">
        <v>172</v>
      </c>
      <c r="C11" s="122" t="s">
        <v>57</v>
      </c>
      <c r="D11" s="381">
        <v>64.3</v>
      </c>
      <c r="E11" s="388">
        <v>64.478999999999999</v>
      </c>
      <c r="F11" s="396">
        <f t="shared" si="0"/>
        <v>0.27838258164851482</v>
      </c>
      <c r="G11" s="551"/>
    </row>
    <row r="12" spans="1:10" s="113" customFormat="1" ht="18" customHeight="1">
      <c r="A12" s="120" t="s">
        <v>7</v>
      </c>
      <c r="B12" s="124" t="s">
        <v>434</v>
      </c>
      <c r="C12" s="122" t="s">
        <v>57</v>
      </c>
      <c r="D12" s="381">
        <v>854.94</v>
      </c>
      <c r="E12" s="388">
        <v>1740.2159999999999</v>
      </c>
      <c r="F12" s="396">
        <f t="shared" si="0"/>
        <v>103.5483191802933</v>
      </c>
      <c r="G12" s="551"/>
    </row>
    <row r="13" spans="1:10" s="118" customFormat="1" ht="18" customHeight="1">
      <c r="A13" s="114">
        <v>2</v>
      </c>
      <c r="B13" s="115" t="s">
        <v>327</v>
      </c>
      <c r="C13" s="116" t="s">
        <v>116</v>
      </c>
      <c r="D13" s="130">
        <f>D14+D15+D16</f>
        <v>32345.899999999998</v>
      </c>
      <c r="E13" s="130">
        <f>E14+E15+E16</f>
        <v>31572.440999999999</v>
      </c>
      <c r="F13" s="396">
        <f t="shared" si="0"/>
        <v>-2.3912118692013422</v>
      </c>
      <c r="G13" s="551"/>
    </row>
    <row r="14" spans="1:10" s="113" customFormat="1" ht="18" customHeight="1">
      <c r="A14" s="120" t="s">
        <v>9</v>
      </c>
      <c r="B14" s="125" t="s">
        <v>110</v>
      </c>
      <c r="C14" s="122" t="s">
        <v>116</v>
      </c>
      <c r="D14" s="381">
        <v>29432.12</v>
      </c>
      <c r="E14" s="388">
        <v>28529.811000000002</v>
      </c>
      <c r="F14" s="396">
        <f t="shared" si="0"/>
        <v>-3.0657288703633867</v>
      </c>
      <c r="G14" s="551"/>
    </row>
    <row r="15" spans="1:10" s="113" customFormat="1" ht="18" customHeight="1">
      <c r="A15" s="120" t="s">
        <v>10</v>
      </c>
      <c r="B15" s="121" t="s">
        <v>435</v>
      </c>
      <c r="C15" s="122" t="s">
        <v>57</v>
      </c>
      <c r="D15" s="381">
        <f>1589.33+1324.45</f>
        <v>2913.7799999999997</v>
      </c>
      <c r="E15" s="388">
        <f>247.105+348.375+953.98+1349.155</f>
        <v>2898.6149999999998</v>
      </c>
      <c r="F15" s="396">
        <f t="shared" si="0"/>
        <v>-0.52045796182277115</v>
      </c>
      <c r="G15" s="551"/>
      <c r="I15" s="118"/>
      <c r="J15" s="118"/>
    </row>
    <row r="16" spans="1:10" s="113" customFormat="1" ht="18" customHeight="1">
      <c r="A16" s="120" t="s">
        <v>11</v>
      </c>
      <c r="B16" s="126" t="s">
        <v>436</v>
      </c>
      <c r="C16" s="122" t="s">
        <v>57</v>
      </c>
      <c r="D16" s="381">
        <v>0</v>
      </c>
      <c r="E16" s="388">
        <f>51.38+92.635</f>
        <v>144.01500000000001</v>
      </c>
      <c r="F16" s="396"/>
      <c r="G16" s="551"/>
      <c r="I16" s="118"/>
      <c r="J16" s="118"/>
    </row>
    <row r="17" spans="1:7" s="118" customFormat="1" ht="18" customHeight="1">
      <c r="A17" s="114">
        <v>3</v>
      </c>
      <c r="B17" s="115" t="s">
        <v>111</v>
      </c>
      <c r="C17" s="116" t="s">
        <v>57</v>
      </c>
      <c r="D17" s="130">
        <v>3929.84</v>
      </c>
      <c r="E17" s="130">
        <v>3602</v>
      </c>
      <c r="F17" s="396">
        <f t="shared" si="0"/>
        <v>-8.3423243694399787</v>
      </c>
      <c r="G17" s="551"/>
    </row>
    <row r="18" spans="1:7" s="118" customFormat="1" ht="18" customHeight="1">
      <c r="A18" s="114">
        <v>4</v>
      </c>
      <c r="B18" s="127" t="s">
        <v>328</v>
      </c>
      <c r="C18" s="116" t="s">
        <v>38</v>
      </c>
      <c r="D18" s="130">
        <f>D19</f>
        <v>762.52</v>
      </c>
      <c r="E18" s="130">
        <f>E19</f>
        <v>3844.7089999999998</v>
      </c>
      <c r="F18" s="396">
        <f t="shared" si="0"/>
        <v>404.21090594345065</v>
      </c>
      <c r="G18" s="551"/>
    </row>
    <row r="19" spans="1:7" s="118" customFormat="1" ht="18" customHeight="1">
      <c r="A19" s="120" t="s">
        <v>12</v>
      </c>
      <c r="B19" s="121" t="s">
        <v>416</v>
      </c>
      <c r="C19" s="122" t="s">
        <v>38</v>
      </c>
      <c r="D19" s="381">
        <v>762.52</v>
      </c>
      <c r="E19" s="388">
        <f>71.73+3772.979</f>
        <v>3844.7089999999998</v>
      </c>
      <c r="F19" s="396">
        <f t="shared" si="0"/>
        <v>404.21090594345065</v>
      </c>
      <c r="G19" s="551"/>
    </row>
    <row r="20" spans="1:7" s="118" customFormat="1" ht="18" customHeight="1">
      <c r="A20" s="114">
        <v>5</v>
      </c>
      <c r="B20" s="127" t="s">
        <v>329</v>
      </c>
      <c r="C20" s="116" t="s">
        <v>38</v>
      </c>
      <c r="D20" s="130">
        <f>SUM(D21:D28)</f>
        <v>1919.7600000000002</v>
      </c>
      <c r="E20" s="130">
        <f>E21+E23+E24+E25+E26+E27+E28</f>
        <v>2351.9050000000002</v>
      </c>
      <c r="F20" s="396">
        <f t="shared" si="0"/>
        <v>22.510365879068218</v>
      </c>
      <c r="G20" s="551"/>
    </row>
    <row r="21" spans="1:7" s="113" customFormat="1" ht="18" customHeight="1">
      <c r="A21" s="120" t="s">
        <v>13</v>
      </c>
      <c r="B21" s="124" t="s">
        <v>151</v>
      </c>
      <c r="C21" s="122" t="s">
        <v>38</v>
      </c>
      <c r="D21" s="381">
        <v>244.5</v>
      </c>
      <c r="E21" s="381">
        <v>234.03</v>
      </c>
      <c r="F21" s="396">
        <f t="shared" si="0"/>
        <v>-4.2822085889570616</v>
      </c>
      <c r="G21" s="551"/>
    </row>
    <row r="22" spans="1:7" s="113" customFormat="1" ht="18" customHeight="1">
      <c r="A22" s="120" t="s">
        <v>14</v>
      </c>
      <c r="B22" s="124" t="s">
        <v>119</v>
      </c>
      <c r="C22" s="122" t="s">
        <v>38</v>
      </c>
      <c r="D22" s="381">
        <v>280.77</v>
      </c>
      <c r="E22" s="381"/>
      <c r="F22" s="396"/>
      <c r="G22" s="551"/>
    </row>
    <row r="23" spans="1:7" s="113" customFormat="1" ht="18" customHeight="1">
      <c r="A23" s="120" t="s">
        <v>53</v>
      </c>
      <c r="B23" s="123" t="s">
        <v>424</v>
      </c>
      <c r="C23" s="122" t="s">
        <v>38</v>
      </c>
      <c r="D23" s="381">
        <v>329.43</v>
      </c>
      <c r="E23" s="381">
        <v>134.93700000000001</v>
      </c>
      <c r="F23" s="396">
        <f t="shared" si="0"/>
        <v>-59.039249612967851</v>
      </c>
      <c r="G23" s="551"/>
    </row>
    <row r="24" spans="1:7" s="113" customFormat="1" ht="18" customHeight="1">
      <c r="A24" s="120" t="s">
        <v>15</v>
      </c>
      <c r="B24" s="123" t="s">
        <v>135</v>
      </c>
      <c r="C24" s="122" t="s">
        <v>38</v>
      </c>
      <c r="D24" s="381">
        <v>12.12</v>
      </c>
      <c r="E24" s="381"/>
      <c r="F24" s="396">
        <f t="shared" si="0"/>
        <v>-100</v>
      </c>
      <c r="G24" s="551"/>
    </row>
    <row r="25" spans="1:7" s="113" customFormat="1" ht="18" customHeight="1">
      <c r="A25" s="120" t="s">
        <v>55</v>
      </c>
      <c r="B25" s="123" t="s">
        <v>128</v>
      </c>
      <c r="C25" s="122" t="s">
        <v>38</v>
      </c>
      <c r="D25" s="381">
        <v>1.34</v>
      </c>
      <c r="E25" s="381">
        <v>217.82400000000001</v>
      </c>
      <c r="F25" s="396">
        <f t="shared" si="0"/>
        <v>16155.522388059702</v>
      </c>
      <c r="G25" s="551"/>
    </row>
    <row r="26" spans="1:7" s="113" customFormat="1" ht="18" customHeight="1">
      <c r="A26" s="120" t="s">
        <v>17</v>
      </c>
      <c r="B26" s="128" t="s">
        <v>437</v>
      </c>
      <c r="C26" s="122" t="s">
        <v>38</v>
      </c>
      <c r="D26" s="381">
        <v>991.6</v>
      </c>
      <c r="E26" s="381">
        <v>1685.07</v>
      </c>
      <c r="F26" s="396">
        <f t="shared" si="0"/>
        <v>69.934449374747885</v>
      </c>
      <c r="G26" s="551"/>
    </row>
    <row r="27" spans="1:7" s="113" customFormat="1" ht="18" customHeight="1">
      <c r="A27" s="120" t="s">
        <v>18</v>
      </c>
      <c r="B27" s="35" t="s">
        <v>193</v>
      </c>
      <c r="C27" s="122" t="s">
        <v>38</v>
      </c>
      <c r="D27" s="381">
        <v>12.5</v>
      </c>
      <c r="E27" s="381">
        <v>12.3</v>
      </c>
      <c r="F27" s="396">
        <f t="shared" si="0"/>
        <v>-1.5999999999999943</v>
      </c>
      <c r="G27" s="551"/>
    </row>
    <row r="28" spans="1:7" s="113" customFormat="1" ht="18" customHeight="1">
      <c r="A28" s="120" t="s">
        <v>19</v>
      </c>
      <c r="B28" s="35" t="s">
        <v>433</v>
      </c>
      <c r="C28" s="122" t="s">
        <v>38</v>
      </c>
      <c r="D28" s="381">
        <v>47.5</v>
      </c>
      <c r="E28" s="381">
        <v>67.744</v>
      </c>
      <c r="F28" s="396">
        <f t="shared" si="0"/>
        <v>42.618947368421033</v>
      </c>
      <c r="G28" s="551"/>
    </row>
    <row r="29" spans="1:7" s="113" customFormat="1" ht="18" customHeight="1">
      <c r="A29" s="129" t="s">
        <v>123</v>
      </c>
      <c r="B29" s="115" t="s">
        <v>331</v>
      </c>
      <c r="C29" s="122" t="s">
        <v>116</v>
      </c>
      <c r="D29" s="130">
        <f>D30+D34+D42</f>
        <v>8872.1859999999997</v>
      </c>
      <c r="E29" s="130">
        <f>E30+E34+E42</f>
        <v>9759.9069999999992</v>
      </c>
      <c r="F29" s="396">
        <f t="shared" si="0"/>
        <v>10.005662640526239</v>
      </c>
      <c r="G29" s="551"/>
    </row>
    <row r="30" spans="1:7" s="113" customFormat="1" ht="18" customHeight="1">
      <c r="A30" s="114">
        <v>6</v>
      </c>
      <c r="B30" s="127" t="s">
        <v>332</v>
      </c>
      <c r="C30" s="122" t="s">
        <v>116</v>
      </c>
      <c r="D30" s="130">
        <f>D31+D32</f>
        <v>5941.1900000000005</v>
      </c>
      <c r="E30" s="130">
        <f>E31+E32+E33</f>
        <v>5712.7789999999995</v>
      </c>
      <c r="F30" s="396">
        <f t="shared" si="0"/>
        <v>-3.8445328292817038</v>
      </c>
      <c r="G30" s="551"/>
    </row>
    <row r="31" spans="1:7" s="113" customFormat="1" ht="39.75" customHeight="1">
      <c r="A31" s="120" t="s">
        <v>21</v>
      </c>
      <c r="B31" s="121" t="s">
        <v>438</v>
      </c>
      <c r="C31" s="122" t="s">
        <v>116</v>
      </c>
      <c r="D31" s="381">
        <v>5406</v>
      </c>
      <c r="E31" s="352">
        <v>5168.5709999999999</v>
      </c>
      <c r="F31" s="396">
        <f t="shared" si="0"/>
        <v>-4.3919533851276356</v>
      </c>
      <c r="G31" s="551"/>
    </row>
    <row r="32" spans="1:7" s="113" customFormat="1" ht="18" customHeight="1">
      <c r="A32" s="120" t="s">
        <v>22</v>
      </c>
      <c r="B32" s="121" t="s">
        <v>435</v>
      </c>
      <c r="C32" s="122" t="s">
        <v>57</v>
      </c>
      <c r="D32" s="381">
        <v>535.19000000000005</v>
      </c>
      <c r="E32" s="352">
        <f>44.46+53.349+191.301+229.56</f>
        <v>518.67000000000007</v>
      </c>
      <c r="F32" s="396">
        <f t="shared" si="0"/>
        <v>-3.0867542368130927</v>
      </c>
      <c r="G32" s="551"/>
    </row>
    <row r="33" spans="1:7" s="118" customFormat="1" ht="18" customHeight="1">
      <c r="A33" s="120" t="s">
        <v>23</v>
      </c>
      <c r="B33" s="126" t="s">
        <v>436</v>
      </c>
      <c r="C33" s="122" t="s">
        <v>57</v>
      </c>
      <c r="D33" s="382"/>
      <c r="E33" s="381">
        <f>8.527+17.011</f>
        <v>25.537999999999997</v>
      </c>
      <c r="F33" s="396"/>
      <c r="G33" s="551"/>
    </row>
    <row r="34" spans="1:7" s="113" customFormat="1" ht="18" customHeight="1">
      <c r="A34" s="114">
        <v>7</v>
      </c>
      <c r="B34" s="131" t="s">
        <v>272</v>
      </c>
      <c r="C34" s="116" t="s">
        <v>57</v>
      </c>
      <c r="D34" s="130">
        <f>D35+D36+D37+D39+D40</f>
        <v>2083.4129999999996</v>
      </c>
      <c r="E34" s="130">
        <f>E35+E36+E37+E39+E40+E41+E38</f>
        <v>2341.9639999999999</v>
      </c>
      <c r="F34" s="396">
        <f t="shared" si="0"/>
        <v>12.409973442615581</v>
      </c>
      <c r="G34" s="551"/>
    </row>
    <row r="35" spans="1:7" s="113" customFormat="1" ht="18" customHeight="1">
      <c r="A35" s="120" t="s">
        <v>127</v>
      </c>
      <c r="B35" s="132" t="s">
        <v>16</v>
      </c>
      <c r="C35" s="122" t="s">
        <v>57</v>
      </c>
      <c r="D35" s="381">
        <v>1797.83</v>
      </c>
      <c r="E35" s="381">
        <v>1954.665</v>
      </c>
      <c r="F35" s="396">
        <f t="shared" si="0"/>
        <v>8.7235723066140878</v>
      </c>
      <c r="G35" s="551"/>
    </row>
    <row r="36" spans="1:7" s="113" customFormat="1" ht="18" customHeight="1">
      <c r="A36" s="120" t="s">
        <v>129</v>
      </c>
      <c r="B36" s="132" t="s">
        <v>54</v>
      </c>
      <c r="C36" s="122" t="s">
        <v>57</v>
      </c>
      <c r="D36" s="381">
        <v>12.12</v>
      </c>
      <c r="E36" s="389">
        <v>7.452</v>
      </c>
      <c r="F36" s="396">
        <f t="shared" si="0"/>
        <v>-38.514851485148505</v>
      </c>
      <c r="G36" s="551"/>
    </row>
    <row r="37" spans="1:7" s="113" customFormat="1" ht="18" customHeight="1">
      <c r="A37" s="120" t="s">
        <v>130</v>
      </c>
      <c r="B37" s="132" t="s">
        <v>97</v>
      </c>
      <c r="C37" s="122" t="s">
        <v>57</v>
      </c>
      <c r="D37" s="381">
        <v>221.96</v>
      </c>
      <c r="E37" s="389">
        <v>220.48599999999999</v>
      </c>
      <c r="F37" s="396">
        <f t="shared" si="0"/>
        <v>-0.66408361867003407</v>
      </c>
      <c r="G37" s="551"/>
    </row>
    <row r="38" spans="1:7" s="113" customFormat="1" ht="18" customHeight="1">
      <c r="A38" s="120" t="s">
        <v>132</v>
      </c>
      <c r="B38" s="132" t="s">
        <v>230</v>
      </c>
      <c r="C38" s="122" t="s">
        <v>57</v>
      </c>
      <c r="D38" s="381"/>
      <c r="E38" s="389">
        <v>102.44499999999999</v>
      </c>
      <c r="F38" s="396"/>
      <c r="G38" s="551"/>
    </row>
    <row r="39" spans="1:7" s="113" customFormat="1" ht="18" customHeight="1">
      <c r="A39" s="120" t="s">
        <v>134</v>
      </c>
      <c r="B39" s="132" t="s">
        <v>409</v>
      </c>
      <c r="C39" s="122" t="s">
        <v>57</v>
      </c>
      <c r="D39" s="381">
        <v>29.89</v>
      </c>
      <c r="E39" s="389">
        <v>29.888000000000002</v>
      </c>
      <c r="F39" s="396">
        <f t="shared" si="0"/>
        <v>-6.6912010705948433E-3</v>
      </c>
      <c r="G39" s="551"/>
    </row>
    <row r="40" spans="1:7" s="113" customFormat="1" ht="18" customHeight="1">
      <c r="A40" s="120" t="s">
        <v>136</v>
      </c>
      <c r="B40" s="132" t="s">
        <v>408</v>
      </c>
      <c r="C40" s="122" t="s">
        <v>57</v>
      </c>
      <c r="D40" s="381">
        <v>21.613</v>
      </c>
      <c r="E40" s="389">
        <v>10.808</v>
      </c>
      <c r="F40" s="396">
        <f t="shared" si="0"/>
        <v>-49.993059732568362</v>
      </c>
      <c r="G40" s="551"/>
    </row>
    <row r="41" spans="1:7" s="113" customFormat="1" ht="18" customHeight="1">
      <c r="A41" s="120" t="s">
        <v>138</v>
      </c>
      <c r="B41" s="132" t="s">
        <v>407</v>
      </c>
      <c r="C41" s="122" t="s">
        <v>57</v>
      </c>
      <c r="D41" s="381"/>
      <c r="E41" s="389">
        <v>16.22</v>
      </c>
      <c r="F41" s="396"/>
      <c r="G41" s="551"/>
    </row>
    <row r="42" spans="1:7" s="118" customFormat="1" ht="18" customHeight="1">
      <c r="A42" s="133" t="s">
        <v>277</v>
      </c>
      <c r="B42" s="134" t="s">
        <v>292</v>
      </c>
      <c r="C42" s="116"/>
      <c r="D42" s="130">
        <f>D43+D44+D45+D46+D47+D49+D50</f>
        <v>847.58300000000008</v>
      </c>
      <c r="E42" s="130">
        <f>E43+E44+E45+E46+E47+E48+E49+E50</f>
        <v>1705.1640000000002</v>
      </c>
      <c r="F42" s="396">
        <f t="shared" si="0"/>
        <v>101.17958949153063</v>
      </c>
      <c r="G42" s="551"/>
    </row>
    <row r="43" spans="1:7" s="113" customFormat="1" ht="18" customHeight="1">
      <c r="A43" s="120" t="s">
        <v>168</v>
      </c>
      <c r="B43" s="126" t="s">
        <v>131</v>
      </c>
      <c r="C43" s="122" t="s">
        <v>57</v>
      </c>
      <c r="D43" s="381">
        <v>138</v>
      </c>
      <c r="E43" s="342">
        <v>85.462999999999994</v>
      </c>
      <c r="F43" s="396">
        <f t="shared" si="0"/>
        <v>-38.070289855072467</v>
      </c>
      <c r="G43" s="551"/>
    </row>
    <row r="44" spans="1:7" s="113" customFormat="1" ht="18" customHeight="1">
      <c r="A44" s="120" t="s">
        <v>169</v>
      </c>
      <c r="B44" s="126" t="s">
        <v>153</v>
      </c>
      <c r="C44" s="122" t="s">
        <v>57</v>
      </c>
      <c r="D44" s="381">
        <v>370</v>
      </c>
      <c r="E44" s="342">
        <f>284.384-0.21</f>
        <v>284.17400000000004</v>
      </c>
      <c r="F44" s="396">
        <f t="shared" si="0"/>
        <v>-23.1962162162162</v>
      </c>
      <c r="G44" s="551"/>
    </row>
    <row r="45" spans="1:7" s="113" customFormat="1" ht="18" customHeight="1">
      <c r="A45" s="120" t="s">
        <v>183</v>
      </c>
      <c r="B45" s="124" t="s">
        <v>439</v>
      </c>
      <c r="C45" s="122" t="s">
        <v>57</v>
      </c>
      <c r="D45" s="381">
        <v>71.239999999999995</v>
      </c>
      <c r="E45" s="388">
        <f>34.781+49.646</f>
        <v>84.426999999999992</v>
      </c>
      <c r="F45" s="396">
        <f t="shared" si="0"/>
        <v>18.510668163952829</v>
      </c>
      <c r="G45" s="551"/>
    </row>
    <row r="46" spans="1:7" s="113" customFormat="1" ht="18" customHeight="1">
      <c r="A46" s="120" t="s">
        <v>185</v>
      </c>
      <c r="B46" s="124" t="s">
        <v>429</v>
      </c>
      <c r="C46" s="122" t="s">
        <v>57</v>
      </c>
      <c r="D46" s="381">
        <v>127.1</v>
      </c>
      <c r="E46" s="342">
        <v>133.19999999999999</v>
      </c>
      <c r="F46" s="396">
        <f t="shared" si="0"/>
        <v>4.7993705743508883</v>
      </c>
      <c r="G46" s="551"/>
    </row>
    <row r="47" spans="1:7" s="113" customFormat="1" ht="18" customHeight="1">
      <c r="A47" s="120" t="s">
        <v>186</v>
      </c>
      <c r="B47" s="124" t="s">
        <v>280</v>
      </c>
      <c r="C47" s="122" t="s">
        <v>57</v>
      </c>
      <c r="D47" s="381"/>
      <c r="E47" s="342">
        <v>850.875</v>
      </c>
      <c r="F47" s="396"/>
      <c r="G47" s="551"/>
    </row>
    <row r="48" spans="1:7" s="113" customFormat="1" ht="18" customHeight="1">
      <c r="A48" s="120" t="s">
        <v>188</v>
      </c>
      <c r="B48" s="124" t="s">
        <v>334</v>
      </c>
      <c r="C48" s="122" t="s">
        <v>57</v>
      </c>
      <c r="D48" s="381"/>
      <c r="E48" s="342">
        <f>17.049+0.058+0.026</f>
        <v>17.132999999999999</v>
      </c>
      <c r="F48" s="396"/>
      <c r="G48" s="551"/>
    </row>
    <row r="49" spans="1:7" s="118" customFormat="1" ht="18" customHeight="1">
      <c r="A49" s="120" t="s">
        <v>192</v>
      </c>
      <c r="B49" s="124" t="s">
        <v>257</v>
      </c>
      <c r="C49" s="122" t="s">
        <v>38</v>
      </c>
      <c r="D49" s="381">
        <v>15</v>
      </c>
      <c r="E49" s="342">
        <v>55</v>
      </c>
      <c r="F49" s="396">
        <f t="shared" si="0"/>
        <v>266.66666666666669</v>
      </c>
      <c r="G49" s="551"/>
    </row>
    <row r="50" spans="1:7" s="113" customFormat="1" ht="18" customHeight="1">
      <c r="A50" s="120" t="s">
        <v>194</v>
      </c>
      <c r="B50" s="128" t="s">
        <v>335</v>
      </c>
      <c r="C50" s="122" t="s">
        <v>57</v>
      </c>
      <c r="D50" s="381">
        <v>126.24299999999999</v>
      </c>
      <c r="E50" s="342">
        <v>194.892</v>
      </c>
      <c r="F50" s="396">
        <f t="shared" si="0"/>
        <v>54.378460587913793</v>
      </c>
      <c r="G50" s="551"/>
    </row>
    <row r="51" spans="1:7" s="113" customFormat="1" ht="18" customHeight="1">
      <c r="A51" s="129" t="s">
        <v>160</v>
      </c>
      <c r="B51" s="115" t="s">
        <v>161</v>
      </c>
      <c r="C51" s="116" t="s">
        <v>38</v>
      </c>
      <c r="D51" s="383">
        <f>D7+D29</f>
        <v>51112.736000000004</v>
      </c>
      <c r="E51" s="383">
        <f>E7+E29</f>
        <v>54378.697999999997</v>
      </c>
      <c r="F51" s="396">
        <f t="shared" si="0"/>
        <v>6.389722514560745</v>
      </c>
      <c r="G51" s="551"/>
    </row>
    <row r="52" spans="1:7" s="118" customFormat="1" ht="18" customHeight="1">
      <c r="A52" s="129" t="s">
        <v>28</v>
      </c>
      <c r="B52" s="127" t="s">
        <v>162</v>
      </c>
      <c r="C52" s="116" t="s">
        <v>116</v>
      </c>
      <c r="D52" s="383"/>
      <c r="E52" s="130">
        <f>E53-E51</f>
        <v>3013.8640000000014</v>
      </c>
      <c r="F52" s="396"/>
      <c r="G52" s="551"/>
    </row>
    <row r="53" spans="1:7" s="118" customFormat="1" ht="18" customHeight="1">
      <c r="A53" s="114" t="s">
        <v>31</v>
      </c>
      <c r="B53" s="119" t="s">
        <v>198</v>
      </c>
      <c r="C53" s="116" t="s">
        <v>38</v>
      </c>
      <c r="D53" s="383">
        <f>D51+D52</f>
        <v>51112.736000000004</v>
      </c>
      <c r="E53" s="383">
        <v>57392.561999999998</v>
      </c>
      <c r="F53" s="397">
        <f t="shared" si="0"/>
        <v>12.28622549182262</v>
      </c>
      <c r="G53" s="551"/>
    </row>
    <row r="54" spans="1:7" s="113" customFormat="1" ht="18" customHeight="1">
      <c r="A54" s="114" t="s">
        <v>33</v>
      </c>
      <c r="B54" s="115" t="s">
        <v>337</v>
      </c>
      <c r="C54" s="116" t="s">
        <v>165</v>
      </c>
      <c r="D54" s="383">
        <v>150861.66</v>
      </c>
      <c r="E54" s="383">
        <v>178400.62100000001</v>
      </c>
      <c r="F54" s="396">
        <f t="shared" si="0"/>
        <v>18.254446490910951</v>
      </c>
      <c r="G54" s="551"/>
    </row>
    <row r="55" spans="1:7" s="113" customFormat="1" ht="18" customHeight="1">
      <c r="A55" s="553" t="s">
        <v>284</v>
      </c>
      <c r="B55" s="554" t="s">
        <v>285</v>
      </c>
      <c r="C55" s="116" t="s">
        <v>286</v>
      </c>
      <c r="D55" s="398">
        <v>23</v>
      </c>
      <c r="E55" s="398">
        <v>16</v>
      </c>
      <c r="F55" s="398">
        <f t="shared" si="0"/>
        <v>-30.434782608695656</v>
      </c>
      <c r="G55" s="551"/>
    </row>
    <row r="56" spans="1:7" s="113" customFormat="1" ht="18" customHeight="1">
      <c r="A56" s="553"/>
      <c r="B56" s="555"/>
      <c r="C56" s="116" t="s">
        <v>165</v>
      </c>
      <c r="D56" s="383">
        <v>44555</v>
      </c>
      <c r="E56" s="383">
        <v>34062.947999999997</v>
      </c>
      <c r="F56" s="397">
        <f t="shared" si="0"/>
        <v>-23.548540006733262</v>
      </c>
      <c r="G56" s="551"/>
    </row>
    <row r="57" spans="1:7" s="137" customFormat="1" ht="18" customHeight="1">
      <c r="A57" s="17" t="s">
        <v>287</v>
      </c>
      <c r="B57" s="135" t="s">
        <v>288</v>
      </c>
      <c r="C57" s="136" t="s">
        <v>264</v>
      </c>
      <c r="D57" s="402">
        <v>0.33900000000000002</v>
      </c>
      <c r="E57" s="402">
        <f>+E53/E54</f>
        <v>0.32170606625859222</v>
      </c>
      <c r="F57" s="399"/>
      <c r="G57" s="552"/>
    </row>
    <row r="59" spans="1:7" ht="18" customHeight="1">
      <c r="A59" s="229"/>
      <c r="B59" s="235" t="s">
        <v>379</v>
      </c>
      <c r="C59" s="238" t="s">
        <v>380</v>
      </c>
      <c r="D59" s="385"/>
      <c r="E59" s="386"/>
      <c r="F59" s="390"/>
      <c r="G59" s="391"/>
    </row>
    <row r="60" spans="1:7" ht="18" customHeight="1">
      <c r="A60" s="229"/>
      <c r="B60" s="235" t="s">
        <v>381</v>
      </c>
      <c r="C60" s="238" t="s">
        <v>382</v>
      </c>
      <c r="D60" s="385"/>
      <c r="E60" s="386"/>
      <c r="F60" s="390"/>
      <c r="G60" s="392"/>
    </row>
    <row r="61" spans="1:7" ht="18" customHeight="1">
      <c r="A61" s="229"/>
      <c r="B61" s="235" t="s">
        <v>383</v>
      </c>
      <c r="C61" s="238" t="s">
        <v>384</v>
      </c>
      <c r="D61" s="385"/>
      <c r="E61" s="386"/>
      <c r="F61" s="390"/>
      <c r="G61" s="392"/>
    </row>
    <row r="62" spans="1:7" ht="18" customHeight="1">
      <c r="A62" s="206"/>
      <c r="B62" s="235" t="s">
        <v>385</v>
      </c>
      <c r="C62" s="232" t="s">
        <v>386</v>
      </c>
      <c r="D62" s="386"/>
      <c r="E62" s="386"/>
      <c r="F62" s="393"/>
      <c r="G62" s="392"/>
    </row>
    <row r="63" spans="1:7" ht="18" customHeight="1">
      <c r="A63" s="206"/>
      <c r="B63" s="235" t="s">
        <v>387</v>
      </c>
      <c r="C63" s="233" t="s">
        <v>388</v>
      </c>
      <c r="D63" s="386"/>
      <c r="E63" s="386"/>
      <c r="F63" s="393"/>
      <c r="G63" s="392"/>
    </row>
    <row r="64" spans="1:7" ht="18" customHeight="1">
      <c r="A64" s="206"/>
      <c r="B64" s="235" t="s">
        <v>301</v>
      </c>
      <c r="C64" s="233" t="s">
        <v>393</v>
      </c>
      <c r="D64" s="387"/>
      <c r="E64" s="387"/>
      <c r="F64" s="393"/>
      <c r="G64" s="392"/>
    </row>
    <row r="65" spans="1:7" ht="18" customHeight="1">
      <c r="A65" s="206"/>
      <c r="B65" s="235"/>
      <c r="C65" s="235"/>
      <c r="D65" s="386"/>
      <c r="E65" s="386"/>
      <c r="F65" s="393"/>
      <c r="G65" s="392"/>
    </row>
    <row r="66" spans="1:7" ht="18" customHeight="1">
      <c r="A66" s="206"/>
      <c r="B66" s="235" t="s">
        <v>390</v>
      </c>
      <c r="C66" s="235"/>
      <c r="D66" s="386"/>
      <c r="E66" s="386"/>
      <c r="F66" s="393"/>
      <c r="G66" s="392"/>
    </row>
    <row r="67" spans="1:7" ht="18" customHeight="1">
      <c r="A67" s="206"/>
      <c r="B67" s="235"/>
      <c r="C67" s="235"/>
      <c r="D67" s="386"/>
      <c r="E67" s="386"/>
      <c r="F67" s="393"/>
      <c r="G67" s="392"/>
    </row>
    <row r="68" spans="1:7" ht="18" customHeight="1">
      <c r="A68" s="206"/>
      <c r="B68" s="234" t="s">
        <v>389</v>
      </c>
      <c r="C68" s="235"/>
      <c r="D68" s="386"/>
      <c r="E68" s="386"/>
      <c r="F68" s="393"/>
      <c r="G68" s="392"/>
    </row>
  </sheetData>
  <mergeCells count="6">
    <mergeCell ref="A3:G3"/>
    <mergeCell ref="G7:G57"/>
    <mergeCell ref="A1:G1"/>
    <mergeCell ref="A2:G2"/>
    <mergeCell ref="A55:A56"/>
    <mergeCell ref="B55:B56"/>
  </mergeCells>
  <hyperlinks>
    <hyperlink ref="C62" r:id="rId1"/>
  </hyperlinks>
  <pageMargins left="0.70866141732283472" right="0.70866141732283472" top="0.74803149606299213" bottom="0.74803149606299213" header="0.31496062992125984" footer="0.31496062992125984"/>
  <pageSetup paperSize="9" scale="93" orientation="landscape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4"/>
  <sheetViews>
    <sheetView view="pageBreakPreview" zoomScale="60" workbookViewId="0">
      <selection activeCell="G6" sqref="G6:G53"/>
    </sheetView>
  </sheetViews>
  <sheetFormatPr defaultRowHeight="15.75"/>
  <cols>
    <col min="1" max="1" width="5.7109375" style="48" customWidth="1"/>
    <col min="2" max="2" width="54" style="48" customWidth="1"/>
    <col min="3" max="3" width="14.5703125" style="48" customWidth="1"/>
    <col min="4" max="4" width="17.7109375" style="231" customWidth="1"/>
    <col min="5" max="5" width="21.5703125" style="172" customWidth="1"/>
    <col min="6" max="6" width="16.28515625" style="22" customWidth="1"/>
    <col min="7" max="7" width="15.28515625" style="22" customWidth="1"/>
    <col min="8" max="8" width="11.85546875" style="22" customWidth="1"/>
    <col min="9" max="9" width="12.140625" style="22" customWidth="1"/>
    <col min="10" max="10" width="14.7109375" style="22" customWidth="1"/>
    <col min="11" max="11" width="15.5703125" style="22" customWidth="1"/>
    <col min="12" max="12" width="13.5703125" style="22" customWidth="1"/>
    <col min="13" max="13" width="14.5703125" style="22" customWidth="1"/>
    <col min="14" max="16384" width="9.140625" style="22"/>
  </cols>
  <sheetData>
    <row r="1" spans="1:13" s="48" customFormat="1" ht="18" customHeight="1">
      <c r="A1" s="523" t="s">
        <v>373</v>
      </c>
      <c r="B1" s="523"/>
      <c r="C1" s="523"/>
      <c r="D1" s="523"/>
      <c r="E1" s="523"/>
      <c r="F1" s="523"/>
      <c r="G1" s="523"/>
    </row>
    <row r="2" spans="1:13" s="48" customFormat="1" ht="18" customHeight="1">
      <c r="A2" s="523" t="s">
        <v>440</v>
      </c>
      <c r="B2" s="523"/>
      <c r="C2" s="523"/>
      <c r="D2" s="523"/>
      <c r="E2" s="523"/>
      <c r="F2" s="523"/>
      <c r="G2" s="523"/>
    </row>
    <row r="3" spans="1:13" s="48" customFormat="1" ht="18" customHeight="1">
      <c r="A3" s="523" t="s">
        <v>399</v>
      </c>
      <c r="B3" s="523"/>
      <c r="C3" s="523"/>
      <c r="D3" s="523"/>
      <c r="E3" s="523"/>
      <c r="F3" s="523"/>
      <c r="G3" s="523"/>
    </row>
    <row r="4" spans="1:13" s="48" customFormat="1" ht="18" customHeight="1">
      <c r="A4" s="199"/>
      <c r="B4" s="199"/>
      <c r="C4" s="199"/>
      <c r="D4" s="405"/>
    </row>
    <row r="5" spans="1:13" s="48" customFormat="1" ht="66.75" customHeight="1">
      <c r="A5" s="325" t="s">
        <v>0</v>
      </c>
      <c r="B5" s="325" t="s">
        <v>81</v>
      </c>
      <c r="C5" s="325" t="s">
        <v>244</v>
      </c>
      <c r="D5" s="326" t="s">
        <v>375</v>
      </c>
      <c r="E5" s="326" t="s">
        <v>376</v>
      </c>
      <c r="F5" s="327" t="s">
        <v>377</v>
      </c>
      <c r="G5" s="210" t="s">
        <v>378</v>
      </c>
      <c r="I5" s="14"/>
      <c r="J5" s="15"/>
      <c r="K5" s="15"/>
      <c r="L5" s="84"/>
      <c r="M5" s="85"/>
    </row>
    <row r="6" spans="1:13" s="42" customFormat="1" ht="32.25" customHeight="1">
      <c r="A6" s="79" t="s">
        <v>1</v>
      </c>
      <c r="B6" s="18" t="s">
        <v>103</v>
      </c>
      <c r="C6" s="19" t="s">
        <v>38</v>
      </c>
      <c r="D6" s="408">
        <f>D7+D12+D16+D17+D19</f>
        <v>44835.362999999998</v>
      </c>
      <c r="E6" s="408">
        <f>E7+E12+E16+E17+E19</f>
        <v>27857.022000000001</v>
      </c>
      <c r="F6" s="404">
        <f t="shared" ref="F6:F49" si="0">((E6*100)/D6)-100</f>
        <v>-37.868191231104781</v>
      </c>
      <c r="G6" s="558" t="s">
        <v>459</v>
      </c>
      <c r="H6" s="407"/>
      <c r="I6" s="86"/>
      <c r="J6" s="86"/>
      <c r="K6" s="86"/>
      <c r="L6" s="86"/>
      <c r="M6" s="86"/>
    </row>
    <row r="7" spans="1:13" s="42" customFormat="1" ht="32.25" customHeight="1">
      <c r="A7" s="79">
        <v>1</v>
      </c>
      <c r="B7" s="23" t="s">
        <v>104</v>
      </c>
      <c r="C7" s="19" t="s">
        <v>38</v>
      </c>
      <c r="D7" s="408">
        <f>SUM(D8:D11)</f>
        <v>3205.1</v>
      </c>
      <c r="E7" s="408">
        <f>SUM(E8:E11)</f>
        <v>1268.807</v>
      </c>
      <c r="F7" s="404">
        <f t="shared" si="0"/>
        <v>-60.412873233284451</v>
      </c>
      <c r="G7" s="559"/>
      <c r="H7" s="87"/>
      <c r="I7" s="87"/>
      <c r="J7" s="87"/>
      <c r="K7" s="87"/>
      <c r="L7" s="87"/>
      <c r="M7" s="87"/>
    </row>
    <row r="8" spans="1:13" s="48" customFormat="1" ht="17.25" customHeight="1">
      <c r="A8" s="24" t="s">
        <v>3</v>
      </c>
      <c r="B8" s="25" t="s">
        <v>105</v>
      </c>
      <c r="C8" s="26" t="s">
        <v>57</v>
      </c>
      <c r="D8" s="409">
        <v>1875</v>
      </c>
      <c r="E8" s="409">
        <f>1037.308-11.488</f>
        <v>1025.82</v>
      </c>
      <c r="F8" s="410">
        <f t="shared" si="0"/>
        <v>-45.2896</v>
      </c>
      <c r="G8" s="559"/>
      <c r="H8" s="88"/>
      <c r="I8" s="85"/>
      <c r="J8" s="85"/>
      <c r="K8" s="85"/>
      <c r="L8" s="85"/>
      <c r="M8" s="85"/>
    </row>
    <row r="9" spans="1:13" s="48" customFormat="1" ht="17.25" customHeight="1">
      <c r="A9" s="24" t="s">
        <v>4</v>
      </c>
      <c r="B9" s="28" t="s">
        <v>106</v>
      </c>
      <c r="C9" s="26" t="s">
        <v>57</v>
      </c>
      <c r="D9" s="409">
        <v>82</v>
      </c>
      <c r="E9" s="409"/>
      <c r="F9" s="410">
        <f t="shared" si="0"/>
        <v>-100</v>
      </c>
      <c r="G9" s="559"/>
    </row>
    <row r="10" spans="1:13" s="48" customFormat="1" ht="17.25" customHeight="1">
      <c r="A10" s="24" t="s">
        <v>6</v>
      </c>
      <c r="B10" s="29" t="s">
        <v>107</v>
      </c>
      <c r="C10" s="26" t="s">
        <v>57</v>
      </c>
      <c r="D10" s="409">
        <v>248</v>
      </c>
      <c r="E10" s="409">
        <v>242.98699999999999</v>
      </c>
      <c r="F10" s="410">
        <f t="shared" si="0"/>
        <v>-2.0213709677419303</v>
      </c>
      <c r="G10" s="559"/>
    </row>
    <row r="11" spans="1:13" s="48" customFormat="1" ht="17.25" customHeight="1">
      <c r="A11" s="24" t="s">
        <v>7</v>
      </c>
      <c r="B11" s="29" t="s">
        <v>108</v>
      </c>
      <c r="C11" s="26" t="s">
        <v>57</v>
      </c>
      <c r="D11" s="409">
        <v>1000.1</v>
      </c>
      <c r="E11" s="408"/>
      <c r="F11" s="410">
        <f t="shared" si="0"/>
        <v>-100</v>
      </c>
      <c r="G11" s="559"/>
    </row>
    <row r="12" spans="1:13" s="48" customFormat="1" ht="17.25" customHeight="1">
      <c r="A12" s="79">
        <v>2</v>
      </c>
      <c r="B12" s="18" t="s">
        <v>109</v>
      </c>
      <c r="C12" s="19" t="s">
        <v>38</v>
      </c>
      <c r="D12" s="408">
        <f>SUM(D13:D15)</f>
        <v>35786.913</v>
      </c>
      <c r="E12" s="408">
        <f>SUM(E13:E15)</f>
        <v>23643.216</v>
      </c>
      <c r="F12" s="408">
        <f t="shared" si="0"/>
        <v>-33.933345969237408</v>
      </c>
      <c r="G12" s="559"/>
    </row>
    <row r="13" spans="1:13" s="48" customFormat="1" ht="17.25" customHeight="1">
      <c r="A13" s="24" t="s">
        <v>9</v>
      </c>
      <c r="B13" s="25" t="s">
        <v>110</v>
      </c>
      <c r="C13" s="26" t="s">
        <v>38</v>
      </c>
      <c r="D13" s="409">
        <v>32563.200000000001</v>
      </c>
      <c r="E13" s="409">
        <v>21357.56</v>
      </c>
      <c r="F13" s="410">
        <f t="shared" si="0"/>
        <v>-34.411974253144649</v>
      </c>
      <c r="G13" s="559"/>
    </row>
    <row r="14" spans="1:13" s="48" customFormat="1" ht="17.25" customHeight="1">
      <c r="A14" s="24" t="s">
        <v>10</v>
      </c>
      <c r="B14" s="25" t="s">
        <v>419</v>
      </c>
      <c r="C14" s="26" t="s">
        <v>57</v>
      </c>
      <c r="D14" s="409">
        <f>1465.3+1758.413</f>
        <v>3223.7129999999997</v>
      </c>
      <c r="E14" s="409">
        <f>215.087+157.807+1025.182+779.379</f>
        <v>2177.4549999999999</v>
      </c>
      <c r="F14" s="410">
        <f t="shared" si="0"/>
        <v>-32.455060360522168</v>
      </c>
      <c r="G14" s="559"/>
    </row>
    <row r="15" spans="1:13" s="48" customFormat="1">
      <c r="A15" s="24" t="s">
        <v>11</v>
      </c>
      <c r="B15" s="30" t="s">
        <v>441</v>
      </c>
      <c r="C15" s="26" t="s">
        <v>57</v>
      </c>
      <c r="D15" s="409"/>
      <c r="E15" s="409">
        <f>30.57+77.631</f>
        <v>108.20099999999999</v>
      </c>
      <c r="F15" s="410"/>
      <c r="G15" s="559"/>
    </row>
    <row r="16" spans="1:13" s="48" customFormat="1" ht="17.25" customHeight="1">
      <c r="A16" s="79">
        <v>3</v>
      </c>
      <c r="B16" s="23" t="s">
        <v>111</v>
      </c>
      <c r="C16" s="19" t="s">
        <v>57</v>
      </c>
      <c r="D16" s="408">
        <v>3064.65</v>
      </c>
      <c r="E16" s="408">
        <v>2809</v>
      </c>
      <c r="F16" s="410">
        <f t="shared" si="0"/>
        <v>-8.3418987486336107</v>
      </c>
      <c r="G16" s="559"/>
    </row>
    <row r="17" spans="1:7" s="48" customFormat="1" ht="17.25" customHeight="1">
      <c r="A17" s="79">
        <v>4</v>
      </c>
      <c r="B17" s="23" t="s">
        <v>112</v>
      </c>
      <c r="C17" s="19" t="s">
        <v>38</v>
      </c>
      <c r="D17" s="408">
        <f t="shared" ref="D17" si="1">D18</f>
        <v>1284</v>
      </c>
      <c r="E17" s="408">
        <f t="shared" ref="E17" si="2">E18</f>
        <v>0</v>
      </c>
      <c r="F17" s="408">
        <f t="shared" si="0"/>
        <v>-100</v>
      </c>
      <c r="G17" s="559"/>
    </row>
    <row r="18" spans="1:7" s="48" customFormat="1" ht="29.25" customHeight="1">
      <c r="A18" s="24" t="s">
        <v>12</v>
      </c>
      <c r="B18" s="25" t="s">
        <v>113</v>
      </c>
      <c r="C18" s="26" t="s">
        <v>38</v>
      </c>
      <c r="D18" s="409">
        <v>1284</v>
      </c>
      <c r="E18" s="408"/>
      <c r="F18" s="410">
        <f t="shared" si="0"/>
        <v>-100</v>
      </c>
      <c r="G18" s="559"/>
    </row>
    <row r="19" spans="1:7" s="48" customFormat="1" ht="16.5" customHeight="1">
      <c r="A19" s="32" t="s">
        <v>114</v>
      </c>
      <c r="B19" s="23" t="s">
        <v>115</v>
      </c>
      <c r="C19" s="19" t="s">
        <v>38</v>
      </c>
      <c r="D19" s="408">
        <f>SUM(D20:D23)</f>
        <v>1494.6999999999998</v>
      </c>
      <c r="E19" s="408">
        <f>SUM(E20:E23)</f>
        <v>135.999</v>
      </c>
      <c r="F19" s="408">
        <f t="shared" si="0"/>
        <v>-90.901251087174685</v>
      </c>
      <c r="G19" s="559"/>
    </row>
    <row r="20" spans="1:7" s="48" customFormat="1" ht="16.5" customHeight="1">
      <c r="A20" s="24" t="s">
        <v>13</v>
      </c>
      <c r="B20" s="25" t="s">
        <v>151</v>
      </c>
      <c r="C20" s="26" t="s">
        <v>2</v>
      </c>
      <c r="D20" s="409">
        <v>377.73</v>
      </c>
      <c r="E20" s="409"/>
      <c r="F20" s="409">
        <f t="shared" si="0"/>
        <v>-100</v>
      </c>
      <c r="G20" s="559"/>
    </row>
    <row r="21" spans="1:7" s="48" customFormat="1" ht="16.5" customHeight="1">
      <c r="A21" s="24" t="s">
        <v>55</v>
      </c>
      <c r="B21" s="30" t="s">
        <v>118</v>
      </c>
      <c r="C21" s="26" t="s">
        <v>116</v>
      </c>
      <c r="D21" s="409">
        <v>640.11</v>
      </c>
      <c r="E21" s="409">
        <f>17.999+118</f>
        <v>135.999</v>
      </c>
      <c r="F21" s="410">
        <f t="shared" si="0"/>
        <v>-78.75380793926044</v>
      </c>
      <c r="G21" s="559"/>
    </row>
    <row r="22" spans="1:7" s="48" customFormat="1" ht="31.5">
      <c r="A22" s="24" t="s">
        <v>17</v>
      </c>
      <c r="B22" s="30" t="s">
        <v>117</v>
      </c>
      <c r="C22" s="26" t="s">
        <v>116</v>
      </c>
      <c r="D22" s="409">
        <v>22.46</v>
      </c>
      <c r="E22" s="409"/>
      <c r="F22" s="410">
        <f t="shared" si="0"/>
        <v>-100</v>
      </c>
      <c r="G22" s="559"/>
    </row>
    <row r="23" spans="1:7" s="48" customFormat="1" ht="31.5">
      <c r="A23" s="24" t="s">
        <v>18</v>
      </c>
      <c r="B23" s="30" t="s">
        <v>119</v>
      </c>
      <c r="C23" s="26" t="s">
        <v>116</v>
      </c>
      <c r="D23" s="409">
        <v>454.4</v>
      </c>
      <c r="E23" s="408"/>
      <c r="F23" s="410">
        <f t="shared" si="0"/>
        <v>-100</v>
      </c>
      <c r="G23" s="559"/>
    </row>
    <row r="24" spans="1:7" s="48" customFormat="1" ht="16.5" customHeight="1">
      <c r="A24" s="78" t="s">
        <v>123</v>
      </c>
      <c r="B24" s="18" t="s">
        <v>124</v>
      </c>
      <c r="C24" s="19" t="s">
        <v>38</v>
      </c>
      <c r="D24" s="408">
        <f>+D25+D29+D36</f>
        <v>8468.64</v>
      </c>
      <c r="E24" s="408">
        <f>+E25+E29+E36</f>
        <v>7001.5179999999991</v>
      </c>
      <c r="F24" s="408">
        <f t="shared" si="0"/>
        <v>-17.324174837990512</v>
      </c>
      <c r="G24" s="559"/>
    </row>
    <row r="25" spans="1:7" s="406" customFormat="1" ht="16.5" customHeight="1">
      <c r="A25" s="197">
        <v>6</v>
      </c>
      <c r="B25" s="18" t="s">
        <v>44</v>
      </c>
      <c r="C25" s="19" t="s">
        <v>38</v>
      </c>
      <c r="D25" s="408">
        <f>SUM(D26:D28)</f>
        <v>6823.6500000000005</v>
      </c>
      <c r="E25" s="408">
        <f>SUM(E26:E28)</f>
        <v>5157.5949999999993</v>
      </c>
      <c r="F25" s="376">
        <f t="shared" si="0"/>
        <v>-24.415891788119282</v>
      </c>
      <c r="G25" s="559"/>
    </row>
    <row r="26" spans="1:7" s="48" customFormat="1" ht="16.5" customHeight="1">
      <c r="A26" s="24" t="s">
        <v>21</v>
      </c>
      <c r="B26" s="29" t="s">
        <v>125</v>
      </c>
      <c r="C26" s="26" t="s">
        <v>38</v>
      </c>
      <c r="D26" s="409">
        <v>6208.93</v>
      </c>
      <c r="E26" s="409">
        <v>4667.2539999999999</v>
      </c>
      <c r="F26" s="410">
        <f t="shared" si="0"/>
        <v>-24.829978756404088</v>
      </c>
      <c r="G26" s="559"/>
    </row>
    <row r="27" spans="1:7" s="48" customFormat="1" ht="16.5" customHeight="1">
      <c r="A27" s="24" t="s">
        <v>22</v>
      </c>
      <c r="B27" s="29" t="s">
        <v>419</v>
      </c>
      <c r="C27" s="26" t="s">
        <v>38</v>
      </c>
      <c r="D27" s="409">
        <f>335.3+279.4+0.02</f>
        <v>614.72</v>
      </c>
      <c r="E27" s="409">
        <f>37.593+45.113+176.002+211.202</f>
        <v>469.91</v>
      </c>
      <c r="F27" s="410">
        <f t="shared" si="0"/>
        <v>-23.557066631962527</v>
      </c>
      <c r="G27" s="559"/>
    </row>
    <row r="28" spans="1:7" s="48" customFormat="1" ht="21" customHeight="1">
      <c r="A28" s="24" t="s">
        <v>24</v>
      </c>
      <c r="B28" s="29" t="s">
        <v>443</v>
      </c>
      <c r="C28" s="26" t="s">
        <v>38</v>
      </c>
      <c r="D28" s="409"/>
      <c r="E28" s="409">
        <f>7.869+12.562</f>
        <v>20.430999999999997</v>
      </c>
      <c r="F28" s="410"/>
      <c r="G28" s="559"/>
    </row>
    <row r="29" spans="1:7" s="406" customFormat="1">
      <c r="A29" s="32" t="s">
        <v>180</v>
      </c>
      <c r="B29" s="34" t="s">
        <v>300</v>
      </c>
      <c r="C29" s="19" t="s">
        <v>2</v>
      </c>
      <c r="D29" s="411">
        <f>SUM(D30:D35)</f>
        <v>1185.44</v>
      </c>
      <c r="E29" s="411">
        <f>SUM(E30:E35)</f>
        <v>1077.3110000000001</v>
      </c>
      <c r="F29" s="376">
        <f t="shared" si="0"/>
        <v>-9.1214232689971482</v>
      </c>
      <c r="G29" s="559"/>
    </row>
    <row r="30" spans="1:7" s="48" customFormat="1">
      <c r="A30" s="24" t="s">
        <v>127</v>
      </c>
      <c r="B30" s="35" t="s">
        <v>135</v>
      </c>
      <c r="C30" s="26" t="s">
        <v>57</v>
      </c>
      <c r="D30" s="412">
        <v>99.4</v>
      </c>
      <c r="E30" s="409">
        <v>8.1850000000000005</v>
      </c>
      <c r="F30" s="410">
        <f t="shared" si="0"/>
        <v>-91.765593561368206</v>
      </c>
      <c r="G30" s="559"/>
    </row>
    <row r="31" spans="1:7" s="48" customFormat="1" ht="17.25" customHeight="1">
      <c r="A31" s="24" t="s">
        <v>129</v>
      </c>
      <c r="B31" s="33" t="s">
        <v>137</v>
      </c>
      <c r="C31" s="26" t="s">
        <v>57</v>
      </c>
      <c r="D31" s="412"/>
      <c r="E31" s="409">
        <v>6.9020000000000001</v>
      </c>
      <c r="F31" s="410"/>
      <c r="G31" s="559"/>
    </row>
    <row r="32" spans="1:7" s="48" customFormat="1">
      <c r="A32" s="24" t="s">
        <v>130</v>
      </c>
      <c r="B32" s="33" t="s">
        <v>139</v>
      </c>
      <c r="C32" s="26" t="s">
        <v>57</v>
      </c>
      <c r="D32" s="412">
        <v>26.8</v>
      </c>
      <c r="E32" s="409">
        <v>0.86699999999999999</v>
      </c>
      <c r="F32" s="410">
        <f t="shared" si="0"/>
        <v>-96.764925373134332</v>
      </c>
      <c r="G32" s="559"/>
    </row>
    <row r="33" spans="1:7" s="48" customFormat="1">
      <c r="A33" s="24" t="s">
        <v>132</v>
      </c>
      <c r="B33" s="33" t="s">
        <v>141</v>
      </c>
      <c r="C33" s="26" t="s">
        <v>57</v>
      </c>
      <c r="D33" s="412">
        <v>1.44</v>
      </c>
      <c r="E33" s="409">
        <v>1.5089999999999999</v>
      </c>
      <c r="F33" s="410">
        <f t="shared" si="0"/>
        <v>4.7916666666666572</v>
      </c>
      <c r="G33" s="559"/>
    </row>
    <row r="34" spans="1:7" s="48" customFormat="1">
      <c r="A34" s="24" t="s">
        <v>134</v>
      </c>
      <c r="B34" s="33" t="s">
        <v>143</v>
      </c>
      <c r="C34" s="26" t="s">
        <v>57</v>
      </c>
      <c r="D34" s="412">
        <v>94.3</v>
      </c>
      <c r="E34" s="409">
        <v>97.450999999999993</v>
      </c>
      <c r="F34" s="410">
        <f t="shared" si="0"/>
        <v>3.3414634146341342</v>
      </c>
      <c r="G34" s="559"/>
    </row>
    <row r="35" spans="1:7" s="48" customFormat="1">
      <c r="A35" s="24" t="s">
        <v>136</v>
      </c>
      <c r="B35" s="36" t="s">
        <v>16</v>
      </c>
      <c r="C35" s="26" t="s">
        <v>57</v>
      </c>
      <c r="D35" s="409">
        <v>963.5</v>
      </c>
      <c r="E35" s="409">
        <v>962.39700000000005</v>
      </c>
      <c r="F35" s="410">
        <f t="shared" si="0"/>
        <v>-0.11447846393356542</v>
      </c>
      <c r="G35" s="559"/>
    </row>
    <row r="36" spans="1:7" s="48" customFormat="1" ht="17.25" customHeight="1">
      <c r="A36" s="79">
        <v>8</v>
      </c>
      <c r="B36" s="34" t="s">
        <v>126</v>
      </c>
      <c r="C36" s="19" t="s">
        <v>57</v>
      </c>
      <c r="D36" s="408">
        <f>SUM(D37:D46)</f>
        <v>459.55</v>
      </c>
      <c r="E36" s="408">
        <f>SUM(E37:E46)</f>
        <v>766.61200000000008</v>
      </c>
      <c r="F36" s="408">
        <f t="shared" si="0"/>
        <v>66.817974105102849</v>
      </c>
      <c r="G36" s="559"/>
    </row>
    <row r="37" spans="1:7" s="48" customFormat="1" ht="17.25" customHeight="1">
      <c r="A37" s="24" t="s">
        <v>168</v>
      </c>
      <c r="B37" s="33" t="s">
        <v>145</v>
      </c>
      <c r="C37" s="26" t="s">
        <v>57</v>
      </c>
      <c r="D37" s="412"/>
      <c r="E37" s="409">
        <v>38.604999999999997</v>
      </c>
      <c r="F37" s="410"/>
      <c r="G37" s="559"/>
    </row>
    <row r="38" spans="1:7" s="48" customFormat="1">
      <c r="A38" s="24" t="s">
        <v>183</v>
      </c>
      <c r="B38" s="35" t="s">
        <v>148</v>
      </c>
      <c r="C38" s="26" t="s">
        <v>57</v>
      </c>
      <c r="D38" s="412">
        <v>56.94</v>
      </c>
      <c r="E38" s="409">
        <f>49.421+15.434</f>
        <v>64.855000000000004</v>
      </c>
      <c r="F38" s="410">
        <f t="shared" si="0"/>
        <v>13.900597119775213</v>
      </c>
      <c r="G38" s="559"/>
    </row>
    <row r="39" spans="1:7" s="48" customFormat="1" ht="17.25" customHeight="1">
      <c r="A39" s="24" t="s">
        <v>185</v>
      </c>
      <c r="B39" s="25" t="s">
        <v>151</v>
      </c>
      <c r="C39" s="26" t="s">
        <v>57</v>
      </c>
      <c r="D39" s="409"/>
      <c r="E39" s="409">
        <v>380.58100000000002</v>
      </c>
      <c r="F39" s="410"/>
      <c r="G39" s="559"/>
    </row>
    <row r="40" spans="1:7" s="48" customFormat="1" ht="17.25" customHeight="1">
      <c r="A40" s="24" t="s">
        <v>186</v>
      </c>
      <c r="B40" s="30" t="s">
        <v>153</v>
      </c>
      <c r="C40" s="26" t="s">
        <v>57</v>
      </c>
      <c r="D40" s="409">
        <v>133.31</v>
      </c>
      <c r="E40" s="409">
        <f>157.47-1.26</f>
        <v>156.21</v>
      </c>
      <c r="F40" s="410">
        <f t="shared" si="0"/>
        <v>17.178006151076431</v>
      </c>
      <c r="G40" s="559"/>
    </row>
    <row r="41" spans="1:7" s="42" customFormat="1" ht="17.25" customHeight="1">
      <c r="A41" s="24" t="s">
        <v>188</v>
      </c>
      <c r="B41" s="30" t="s">
        <v>120</v>
      </c>
      <c r="C41" s="26" t="s">
        <v>57</v>
      </c>
      <c r="D41" s="409"/>
      <c r="E41" s="413">
        <f>58.199+0.009+0.005+0.005</f>
        <v>58.218000000000004</v>
      </c>
      <c r="F41" s="410"/>
      <c r="G41" s="559"/>
    </row>
    <row r="42" spans="1:7" s="48" customFormat="1" ht="24.75" customHeight="1">
      <c r="A42" s="24" t="s">
        <v>192</v>
      </c>
      <c r="B42" s="35" t="s">
        <v>128</v>
      </c>
      <c r="C42" s="26" t="s">
        <v>57</v>
      </c>
      <c r="D42" s="410"/>
      <c r="E42" s="409">
        <v>18.152000000000001</v>
      </c>
      <c r="F42" s="410"/>
      <c r="G42" s="559"/>
    </row>
    <row r="43" spans="1:7" s="48" customFormat="1" ht="18.75" customHeight="1">
      <c r="A43" s="24" t="s">
        <v>279</v>
      </c>
      <c r="B43" s="35" t="s">
        <v>131</v>
      </c>
      <c r="C43" s="26" t="s">
        <v>57</v>
      </c>
      <c r="D43" s="412">
        <v>93</v>
      </c>
      <c r="E43" s="409">
        <v>49.991</v>
      </c>
      <c r="F43" s="410">
        <f t="shared" si="0"/>
        <v>-46.246236559139781</v>
      </c>
      <c r="G43" s="559"/>
    </row>
    <row r="44" spans="1:7" s="48" customFormat="1" ht="35.25" customHeight="1">
      <c r="A44" s="24" t="s">
        <v>196</v>
      </c>
      <c r="B44" s="35" t="s">
        <v>133</v>
      </c>
      <c r="C44" s="26" t="s">
        <v>57</v>
      </c>
      <c r="D44" s="412">
        <v>30.6</v>
      </c>
      <c r="E44" s="409"/>
      <c r="F44" s="410">
        <f t="shared" si="0"/>
        <v>-100</v>
      </c>
      <c r="G44" s="559"/>
    </row>
    <row r="45" spans="1:7" s="42" customFormat="1" ht="23.25" customHeight="1">
      <c r="A45" s="24" t="s">
        <v>197</v>
      </c>
      <c r="B45" s="30" t="s">
        <v>444</v>
      </c>
      <c r="C45" s="26" t="s">
        <v>2</v>
      </c>
      <c r="D45" s="409">
        <v>27</v>
      </c>
      <c r="E45" s="413"/>
      <c r="F45" s="410">
        <f t="shared" si="0"/>
        <v>-100</v>
      </c>
      <c r="G45" s="559"/>
    </row>
    <row r="46" spans="1:7" s="42" customFormat="1" ht="18" customHeight="1">
      <c r="A46" s="24" t="s">
        <v>446</v>
      </c>
      <c r="B46" s="30" t="s">
        <v>445</v>
      </c>
      <c r="C46" s="26" t="s">
        <v>2</v>
      </c>
      <c r="D46" s="409">
        <v>118.7</v>
      </c>
      <c r="E46" s="413"/>
      <c r="F46" s="410">
        <f t="shared" si="0"/>
        <v>-100</v>
      </c>
      <c r="G46" s="559"/>
    </row>
    <row r="47" spans="1:7" s="42" customFormat="1" ht="21" customHeight="1">
      <c r="A47" s="78" t="s">
        <v>160</v>
      </c>
      <c r="B47" s="18" t="s">
        <v>161</v>
      </c>
      <c r="C47" s="19" t="s">
        <v>38</v>
      </c>
      <c r="D47" s="408">
        <f>D6+D24</f>
        <v>53304.002999999997</v>
      </c>
      <c r="E47" s="408">
        <f>E6+E24</f>
        <v>34858.54</v>
      </c>
      <c r="F47" s="404">
        <f t="shared" si="0"/>
        <v>-34.604273528950529</v>
      </c>
      <c r="G47" s="559"/>
    </row>
    <row r="48" spans="1:7" s="42" customFormat="1" ht="21.75" customHeight="1">
      <c r="A48" s="78" t="s">
        <v>28</v>
      </c>
      <c r="B48" s="18" t="s">
        <v>162</v>
      </c>
      <c r="C48" s="19"/>
      <c r="D48" s="27">
        <f>D49-D47</f>
        <v>-73.102999999995518</v>
      </c>
      <c r="E48" s="27">
        <f>E49-E47</f>
        <v>3914.5400000000009</v>
      </c>
      <c r="F48" s="83"/>
      <c r="G48" s="559"/>
    </row>
    <row r="49" spans="1:7" s="42" customFormat="1" ht="17.25" customHeight="1">
      <c r="A49" s="78" t="s">
        <v>29</v>
      </c>
      <c r="B49" s="18" t="s">
        <v>163</v>
      </c>
      <c r="C49" s="19" t="s">
        <v>38</v>
      </c>
      <c r="D49" s="408">
        <v>53230.9</v>
      </c>
      <c r="E49" s="408">
        <v>38773.08</v>
      </c>
      <c r="F49" s="415">
        <f t="shared" si="0"/>
        <v>-27.160577784707755</v>
      </c>
      <c r="G49" s="559"/>
    </row>
    <row r="50" spans="1:7" s="42" customFormat="1" ht="37.5" customHeight="1">
      <c r="A50" s="197" t="s">
        <v>31</v>
      </c>
      <c r="B50" s="198" t="s">
        <v>164</v>
      </c>
      <c r="C50" s="19" t="s">
        <v>165</v>
      </c>
      <c r="D50" s="408">
        <v>89963</v>
      </c>
      <c r="E50" s="408">
        <v>89963.225999999995</v>
      </c>
      <c r="F50" s="82"/>
      <c r="G50" s="559"/>
    </row>
    <row r="51" spans="1:7" s="42" customFormat="1" ht="16.5" customHeight="1">
      <c r="A51" s="556" t="s">
        <v>33</v>
      </c>
      <c r="B51" s="557" t="s">
        <v>166</v>
      </c>
      <c r="C51" s="19" t="s">
        <v>79</v>
      </c>
      <c r="D51" s="408">
        <v>14</v>
      </c>
      <c r="E51" s="408">
        <v>14</v>
      </c>
      <c r="F51" s="83"/>
      <c r="G51" s="559"/>
    </row>
    <row r="52" spans="1:7" s="90" customFormat="1" ht="21" customHeight="1">
      <c r="A52" s="556"/>
      <c r="B52" s="557"/>
      <c r="C52" s="19" t="s">
        <v>391</v>
      </c>
      <c r="D52" s="171">
        <v>14765.2</v>
      </c>
      <c r="E52" s="374">
        <v>14645.174999999999</v>
      </c>
      <c r="F52" s="414"/>
      <c r="G52" s="559"/>
    </row>
    <row r="53" spans="1:7" s="42" customFormat="1" ht="34.5" customHeight="1">
      <c r="A53" s="79" t="s">
        <v>167</v>
      </c>
      <c r="B53" s="80" t="s">
        <v>80</v>
      </c>
      <c r="C53" s="18" t="s">
        <v>2</v>
      </c>
      <c r="D53" s="21">
        <v>0.59199999999999997</v>
      </c>
      <c r="E53" s="171">
        <f>+E49/E50</f>
        <v>0.43098810173837032</v>
      </c>
      <c r="F53" s="83"/>
      <c r="G53" s="560"/>
    </row>
    <row r="54" spans="1:7" s="45" customFormat="1">
      <c r="A54" s="43"/>
      <c r="B54" s="44"/>
      <c r="C54" s="44"/>
      <c r="D54" s="301"/>
      <c r="E54" s="1"/>
    </row>
    <row r="55" spans="1:7" s="47" customFormat="1" ht="15" customHeight="1">
      <c r="A55" s="229"/>
      <c r="B55" s="235" t="s">
        <v>379</v>
      </c>
      <c r="C55" s="238" t="s">
        <v>380</v>
      </c>
      <c r="D55" s="385"/>
      <c r="E55" s="386"/>
      <c r="F55" s="390"/>
    </row>
    <row r="56" spans="1:7" s="47" customFormat="1">
      <c r="A56" s="229"/>
      <c r="B56" s="235" t="s">
        <v>381</v>
      </c>
      <c r="C56" s="238" t="s">
        <v>382</v>
      </c>
      <c r="D56" s="385"/>
      <c r="E56" s="386"/>
      <c r="F56" s="390"/>
    </row>
    <row r="57" spans="1:7" s="47" customFormat="1">
      <c r="A57" s="229"/>
      <c r="B57" s="235" t="s">
        <v>383</v>
      </c>
      <c r="C57" s="238" t="s">
        <v>384</v>
      </c>
      <c r="D57" s="385"/>
      <c r="E57" s="386"/>
      <c r="F57" s="390"/>
    </row>
    <row r="58" spans="1:7" s="47" customFormat="1">
      <c r="A58" s="206"/>
      <c r="B58" s="235" t="s">
        <v>385</v>
      </c>
      <c r="C58" s="232" t="s">
        <v>386</v>
      </c>
      <c r="D58" s="386"/>
      <c r="E58" s="386"/>
      <c r="F58" s="393"/>
    </row>
    <row r="59" spans="1:7">
      <c r="A59" s="206"/>
      <c r="B59" s="235" t="s">
        <v>387</v>
      </c>
      <c r="C59" s="233" t="s">
        <v>388</v>
      </c>
      <c r="D59" s="386"/>
      <c r="E59" s="386"/>
      <c r="F59" s="393"/>
    </row>
    <row r="60" spans="1:7">
      <c r="A60" s="206"/>
      <c r="B60" s="235" t="s">
        <v>301</v>
      </c>
      <c r="C60" s="233" t="s">
        <v>393</v>
      </c>
      <c r="D60" s="387"/>
      <c r="E60" s="387"/>
      <c r="F60" s="393"/>
    </row>
    <row r="61" spans="1:7">
      <c r="A61" s="206"/>
      <c r="B61" s="235"/>
      <c r="C61" s="235"/>
      <c r="D61" s="386"/>
      <c r="E61" s="386"/>
      <c r="F61" s="393"/>
    </row>
    <row r="62" spans="1:7">
      <c r="A62" s="206"/>
      <c r="B62" s="235" t="s">
        <v>390</v>
      </c>
      <c r="C62" s="235"/>
      <c r="D62" s="386"/>
      <c r="E62" s="386"/>
      <c r="F62" s="393"/>
    </row>
    <row r="63" spans="1:7">
      <c r="A63" s="206"/>
      <c r="B63" s="235"/>
      <c r="C63" s="235"/>
      <c r="D63" s="386"/>
      <c r="E63" s="386"/>
      <c r="F63" s="393"/>
    </row>
    <row r="64" spans="1:7">
      <c r="A64" s="206"/>
      <c r="B64" s="234" t="s">
        <v>389</v>
      </c>
      <c r="C64" s="235"/>
      <c r="D64" s="386"/>
      <c r="E64" s="386"/>
      <c r="F64" s="393"/>
    </row>
  </sheetData>
  <mergeCells count="6">
    <mergeCell ref="A51:A52"/>
    <mergeCell ref="B51:B52"/>
    <mergeCell ref="A1:G1"/>
    <mergeCell ref="A2:G2"/>
    <mergeCell ref="A3:G3"/>
    <mergeCell ref="G6:G53"/>
  </mergeCells>
  <hyperlinks>
    <hyperlink ref="C58" r:id="rId1"/>
  </hyperlinks>
  <pageMargins left="0.98425196850393704" right="0.31496062992125984" top="0.74803149606299213" bottom="0.43307086614173229" header="0" footer="0"/>
  <pageSetup paperSize="9" scale="91" orientation="landscape" horizontalDpi="180" verticalDpi="180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5"/>
  <sheetViews>
    <sheetView view="pageBreakPreview" zoomScale="60" workbookViewId="0">
      <selection activeCell="A3" sqref="A3:G3"/>
    </sheetView>
  </sheetViews>
  <sheetFormatPr defaultRowHeight="15"/>
  <cols>
    <col min="1" max="1" width="9.28515625" bestFit="1" customWidth="1"/>
    <col min="2" max="2" width="54.5703125" customWidth="1"/>
    <col min="3" max="3" width="15.5703125" customWidth="1"/>
    <col min="4" max="4" width="23.28515625" customWidth="1"/>
    <col min="5" max="5" width="30.28515625" style="5" customWidth="1"/>
    <col min="6" max="6" width="16.7109375" customWidth="1"/>
    <col min="7" max="7" width="19" customWidth="1"/>
    <col min="9" max="9" width="10" bestFit="1" customWidth="1"/>
  </cols>
  <sheetData>
    <row r="1" spans="1:9" ht="15.75">
      <c r="A1" s="523" t="s">
        <v>373</v>
      </c>
      <c r="B1" s="523"/>
      <c r="C1" s="523"/>
      <c r="D1" s="523"/>
      <c r="E1" s="523"/>
      <c r="F1" s="523"/>
      <c r="G1" s="523"/>
    </row>
    <row r="2" spans="1:9" ht="15.75">
      <c r="A2" s="523" t="s">
        <v>447</v>
      </c>
      <c r="B2" s="523"/>
      <c r="C2" s="523"/>
      <c r="D2" s="523"/>
      <c r="E2" s="523"/>
      <c r="F2" s="523"/>
      <c r="G2" s="523"/>
    </row>
    <row r="3" spans="1:9" ht="15.75">
      <c r="A3" s="523" t="s">
        <v>399</v>
      </c>
      <c r="B3" s="523"/>
      <c r="C3" s="523"/>
      <c r="D3" s="523"/>
      <c r="E3" s="523"/>
      <c r="F3" s="523"/>
      <c r="G3" s="523"/>
    </row>
    <row r="4" spans="1:9" ht="18.75" customHeight="1">
      <c r="A4" s="416"/>
      <c r="B4" s="416"/>
      <c r="C4" s="416"/>
      <c r="D4" s="416"/>
      <c r="E4" s="416"/>
      <c r="F4" s="202"/>
      <c r="G4" s="202"/>
    </row>
    <row r="5" spans="1:9" ht="54" customHeight="1">
      <c r="A5" s="325" t="s">
        <v>0</v>
      </c>
      <c r="B5" s="325" t="s">
        <v>81</v>
      </c>
      <c r="C5" s="325" t="s">
        <v>244</v>
      </c>
      <c r="D5" s="326" t="s">
        <v>375</v>
      </c>
      <c r="E5" s="326" t="s">
        <v>376</v>
      </c>
      <c r="F5" s="327" t="s">
        <v>377</v>
      </c>
      <c r="G5" s="210" t="s">
        <v>378</v>
      </c>
    </row>
    <row r="6" spans="1:9" ht="34.5" customHeight="1">
      <c r="A6" s="74" t="s">
        <v>1</v>
      </c>
      <c r="B6" s="49" t="s">
        <v>103</v>
      </c>
      <c r="C6" s="50" t="s">
        <v>38</v>
      </c>
      <c r="D6" s="31">
        <f>D7+D13+D17+D18+D20</f>
        <v>33293.733</v>
      </c>
      <c r="E6" s="16">
        <f t="shared" ref="E6" si="0">E7+E13+E17+E18+E20</f>
        <v>26432.27</v>
      </c>
      <c r="F6" s="404">
        <f t="shared" ref="F6:F62" si="1">((E6*100)/D6)-100</f>
        <v>-20.608872546674178</v>
      </c>
      <c r="G6" s="563" t="s">
        <v>459</v>
      </c>
    </row>
    <row r="7" spans="1:9" ht="18.75" customHeight="1">
      <c r="A7" s="74">
        <v>1</v>
      </c>
      <c r="B7" s="49" t="s">
        <v>266</v>
      </c>
      <c r="C7" s="50" t="s">
        <v>38</v>
      </c>
      <c r="D7" s="31">
        <f>SUM(D8:D12)</f>
        <v>1713.4</v>
      </c>
      <c r="E7" s="16">
        <f>SUM(E8:E12)</f>
        <v>1282.5490000000002</v>
      </c>
      <c r="F7" s="404">
        <f t="shared" si="1"/>
        <v>-25.145967082992868</v>
      </c>
      <c r="G7" s="564"/>
      <c r="I7" s="91"/>
    </row>
    <row r="8" spans="1:9" ht="15.75">
      <c r="A8" s="24" t="s">
        <v>3</v>
      </c>
      <c r="B8" s="51" t="s">
        <v>105</v>
      </c>
      <c r="C8" s="52" t="s">
        <v>57</v>
      </c>
      <c r="D8" s="58">
        <v>1049.68</v>
      </c>
      <c r="E8" s="27">
        <f>1112.719-5.481</f>
        <v>1107.2380000000001</v>
      </c>
      <c r="F8" s="509">
        <f t="shared" si="1"/>
        <v>5.4833854126972028</v>
      </c>
      <c r="G8" s="564"/>
    </row>
    <row r="9" spans="1:9" ht="15.75">
      <c r="A9" s="24" t="s">
        <v>4</v>
      </c>
      <c r="B9" s="53" t="s">
        <v>170</v>
      </c>
      <c r="C9" s="52" t="s">
        <v>57</v>
      </c>
      <c r="D9" s="58">
        <v>82.2</v>
      </c>
      <c r="E9" s="27">
        <v>43.371000000000002</v>
      </c>
      <c r="F9" s="509">
        <f t="shared" si="1"/>
        <v>-47.237226277372258</v>
      </c>
      <c r="G9" s="564"/>
    </row>
    <row r="10" spans="1:9" ht="15.75">
      <c r="A10" s="24" t="s">
        <v>6</v>
      </c>
      <c r="B10" s="51" t="s">
        <v>108</v>
      </c>
      <c r="C10" s="52" t="s">
        <v>57</v>
      </c>
      <c r="D10" s="58">
        <v>500</v>
      </c>
      <c r="E10" s="27">
        <v>7.5880000000000001</v>
      </c>
      <c r="F10" s="509">
        <f t="shared" si="1"/>
        <v>-98.482399999999998</v>
      </c>
      <c r="G10" s="564"/>
    </row>
    <row r="11" spans="1:9" ht="18.75" customHeight="1">
      <c r="A11" s="24" t="s">
        <v>7</v>
      </c>
      <c r="B11" s="51" t="s">
        <v>171</v>
      </c>
      <c r="C11" s="52" t="s">
        <v>57</v>
      </c>
      <c r="D11" s="58"/>
      <c r="E11" s="27">
        <v>11.092000000000001</v>
      </c>
      <c r="F11" s="509"/>
      <c r="G11" s="564"/>
    </row>
    <row r="12" spans="1:9" ht="15.75">
      <c r="A12" s="24" t="s">
        <v>8</v>
      </c>
      <c r="B12" s="51" t="s">
        <v>172</v>
      </c>
      <c r="C12" s="52" t="s">
        <v>57</v>
      </c>
      <c r="D12" s="58">
        <v>81.52</v>
      </c>
      <c r="E12" s="27">
        <v>113.26</v>
      </c>
      <c r="F12" s="509">
        <f t="shared" si="1"/>
        <v>38.9352306182532</v>
      </c>
      <c r="G12" s="564"/>
    </row>
    <row r="13" spans="1:9" ht="21.75" customHeight="1">
      <c r="A13" s="74">
        <v>2</v>
      </c>
      <c r="B13" s="49" t="s">
        <v>109</v>
      </c>
      <c r="C13" s="50" t="s">
        <v>38</v>
      </c>
      <c r="D13" s="31">
        <f t="shared" ref="D13" si="2">SUM(D14:D16)</f>
        <v>27961.083000000002</v>
      </c>
      <c r="E13" s="16">
        <f>SUM(E14:E16)</f>
        <v>22690.809000000001</v>
      </c>
      <c r="F13" s="404">
        <f t="shared" si="1"/>
        <v>-18.848604683874385</v>
      </c>
      <c r="G13" s="564"/>
    </row>
    <row r="14" spans="1:9" ht="21.75" customHeight="1">
      <c r="A14" s="24" t="s">
        <v>9</v>
      </c>
      <c r="B14" s="51" t="s">
        <v>110</v>
      </c>
      <c r="C14" s="52" t="s">
        <v>38</v>
      </c>
      <c r="D14" s="58">
        <v>25442.293000000001</v>
      </c>
      <c r="E14" s="27">
        <f>20722.97-212.724</f>
        <v>20510.246000000003</v>
      </c>
      <c r="F14" s="509">
        <f t="shared" si="1"/>
        <v>-19.385229939769971</v>
      </c>
      <c r="G14" s="564"/>
    </row>
    <row r="15" spans="1:9" ht="15.75">
      <c r="A15" s="24" t="s">
        <v>10</v>
      </c>
      <c r="B15" s="51" t="s">
        <v>173</v>
      </c>
      <c r="C15" s="52" t="s">
        <v>57</v>
      </c>
      <c r="D15" s="58">
        <f>1373.88+1144.9+0.01</f>
        <v>2518.7900000000004</v>
      </c>
      <c r="E15" s="27">
        <f>97.491+138.386+751.305+1130.247-3.486-19.914</f>
        <v>2094.029</v>
      </c>
      <c r="F15" s="509">
        <f t="shared" si="1"/>
        <v>-16.863692487265723</v>
      </c>
      <c r="G15" s="564"/>
    </row>
    <row r="16" spans="1:9" ht="20.25" customHeight="1">
      <c r="A16" s="24" t="s">
        <v>11</v>
      </c>
      <c r="B16" s="51" t="s">
        <v>174</v>
      </c>
      <c r="C16" s="52" t="s">
        <v>57</v>
      </c>
      <c r="D16" s="58"/>
      <c r="E16" s="27">
        <f>23.003+63.531</f>
        <v>86.533999999999992</v>
      </c>
      <c r="F16" s="509"/>
      <c r="G16" s="564"/>
    </row>
    <row r="17" spans="1:9" ht="15.75">
      <c r="A17" s="74">
        <v>3</v>
      </c>
      <c r="B17" s="49" t="s">
        <v>111</v>
      </c>
      <c r="C17" s="50" t="s">
        <v>57</v>
      </c>
      <c r="D17" s="67">
        <v>763.1</v>
      </c>
      <c r="E17" s="16">
        <v>700</v>
      </c>
      <c r="F17" s="510">
        <f t="shared" si="1"/>
        <v>-8.2689031581706161</v>
      </c>
      <c r="G17" s="564"/>
    </row>
    <row r="18" spans="1:9" ht="15.75">
      <c r="A18" s="74">
        <v>4</v>
      </c>
      <c r="B18" s="49" t="s">
        <v>112</v>
      </c>
      <c r="C18" s="50" t="s">
        <v>38</v>
      </c>
      <c r="D18" s="69">
        <f>+D19</f>
        <v>2500</v>
      </c>
      <c r="E18" s="16">
        <f>E19</f>
        <v>1445.173</v>
      </c>
      <c r="F18" s="404">
        <f t="shared" si="1"/>
        <v>-42.193080000000002</v>
      </c>
      <c r="G18" s="564"/>
    </row>
    <row r="19" spans="1:9" ht="33.75" customHeight="1">
      <c r="A19" s="24" t="s">
        <v>12</v>
      </c>
      <c r="B19" s="51" t="s">
        <v>113</v>
      </c>
      <c r="C19" s="52" t="s">
        <v>38</v>
      </c>
      <c r="D19" s="70">
        <v>2500</v>
      </c>
      <c r="E19" s="27">
        <v>1445.173</v>
      </c>
      <c r="F19" s="509">
        <f t="shared" si="1"/>
        <v>-42.193080000000002</v>
      </c>
      <c r="G19" s="564"/>
    </row>
    <row r="20" spans="1:9" ht="15.75">
      <c r="A20" s="32" t="s">
        <v>114</v>
      </c>
      <c r="B20" s="49" t="s">
        <v>115</v>
      </c>
      <c r="C20" s="50" t="s">
        <v>38</v>
      </c>
      <c r="D20" s="31">
        <f t="shared" ref="D20" si="3">SUM(D21:D28)</f>
        <v>356.15</v>
      </c>
      <c r="E20" s="16">
        <f>SUM(E21:E27)</f>
        <v>313.73899999999998</v>
      </c>
      <c r="F20" s="404">
        <f t="shared" si="1"/>
        <v>-11.908184753615046</v>
      </c>
      <c r="G20" s="564"/>
    </row>
    <row r="21" spans="1:9" ht="18" customHeight="1">
      <c r="A21" s="24" t="s">
        <v>13</v>
      </c>
      <c r="B21" s="51" t="s">
        <v>175</v>
      </c>
      <c r="C21" s="52" t="s">
        <v>116</v>
      </c>
      <c r="D21" s="59">
        <v>127.71</v>
      </c>
      <c r="E21" s="27">
        <v>13.852</v>
      </c>
      <c r="F21" s="509">
        <f t="shared" si="1"/>
        <v>-89.153551014016131</v>
      </c>
      <c r="G21" s="564"/>
    </row>
    <row r="22" spans="1:9" ht="20.25" customHeight="1">
      <c r="A22" s="24" t="s">
        <v>14</v>
      </c>
      <c r="B22" s="51" t="s">
        <v>151</v>
      </c>
      <c r="C22" s="52" t="s">
        <v>116</v>
      </c>
      <c r="D22" s="59"/>
      <c r="E22" s="27">
        <v>140.38800000000001</v>
      </c>
      <c r="F22" s="509"/>
      <c r="G22" s="564"/>
    </row>
    <row r="23" spans="1:9" ht="18.75" customHeight="1">
      <c r="A23" s="24" t="s">
        <v>53</v>
      </c>
      <c r="B23" s="51" t="s">
        <v>176</v>
      </c>
      <c r="C23" s="52" t="s">
        <v>116</v>
      </c>
      <c r="D23" s="59">
        <v>120</v>
      </c>
      <c r="E23" s="27">
        <v>0</v>
      </c>
      <c r="F23" s="509">
        <f t="shared" si="1"/>
        <v>-100</v>
      </c>
      <c r="G23" s="564"/>
    </row>
    <row r="24" spans="1:9" ht="18" customHeight="1">
      <c r="A24" s="24" t="s">
        <v>15</v>
      </c>
      <c r="B24" s="54" t="s">
        <v>118</v>
      </c>
      <c r="C24" s="52" t="s">
        <v>116</v>
      </c>
      <c r="D24" s="59">
        <v>4.45</v>
      </c>
      <c r="E24" s="27">
        <v>9.9990000000000006</v>
      </c>
      <c r="F24" s="509">
        <f t="shared" si="1"/>
        <v>124.69662921348316</v>
      </c>
      <c r="G24" s="564"/>
    </row>
    <row r="25" spans="1:9" ht="20.25" customHeight="1">
      <c r="A25" s="24" t="s">
        <v>55</v>
      </c>
      <c r="B25" s="54" t="s">
        <v>119</v>
      </c>
      <c r="C25" s="52" t="s">
        <v>116</v>
      </c>
      <c r="D25" s="59">
        <v>57.68</v>
      </c>
      <c r="E25" s="27">
        <f>219.4-92.35</f>
        <v>127.05000000000001</v>
      </c>
      <c r="F25" s="509">
        <f t="shared" si="1"/>
        <v>120.26699029126218</v>
      </c>
      <c r="G25" s="564"/>
    </row>
    <row r="26" spans="1:9" ht="36" customHeight="1">
      <c r="A26" s="24" t="s">
        <v>17</v>
      </c>
      <c r="B26" s="54" t="s">
        <v>177</v>
      </c>
      <c r="C26" s="52" t="s">
        <v>116</v>
      </c>
      <c r="D26" s="71"/>
      <c r="E26" s="27">
        <v>22.45</v>
      </c>
      <c r="F26" s="509"/>
      <c r="G26" s="564"/>
    </row>
    <row r="27" spans="1:9" ht="20.25" customHeight="1">
      <c r="A27" s="24" t="s">
        <v>18</v>
      </c>
      <c r="B27" s="54" t="s">
        <v>442</v>
      </c>
      <c r="C27" s="52" t="s">
        <v>116</v>
      </c>
      <c r="D27" s="59">
        <v>46.31</v>
      </c>
      <c r="E27" s="27">
        <v>0</v>
      </c>
      <c r="F27" s="509">
        <f t="shared" si="1"/>
        <v>-100</v>
      </c>
      <c r="G27" s="564"/>
    </row>
    <row r="28" spans="1:9" ht="18" customHeight="1">
      <c r="A28" s="32" t="s">
        <v>19</v>
      </c>
      <c r="B28" s="55" t="s">
        <v>120</v>
      </c>
      <c r="C28" s="50" t="s">
        <v>116</v>
      </c>
      <c r="D28" s="16">
        <v>0</v>
      </c>
      <c r="E28" s="16">
        <f>SUM(E29:E30)</f>
        <v>0</v>
      </c>
      <c r="F28" s="509"/>
      <c r="G28" s="564"/>
    </row>
    <row r="29" spans="1:9" ht="18" customHeight="1">
      <c r="A29" s="24" t="s">
        <v>448</v>
      </c>
      <c r="B29" s="54" t="s">
        <v>121</v>
      </c>
      <c r="C29" s="52" t="s">
        <v>116</v>
      </c>
      <c r="D29" s="56">
        <v>0</v>
      </c>
      <c r="E29" s="417"/>
      <c r="F29" s="413"/>
      <c r="G29" s="564"/>
    </row>
    <row r="30" spans="1:9" ht="30.75" customHeight="1">
      <c r="A30" s="24" t="s">
        <v>449</v>
      </c>
      <c r="B30" s="57" t="s">
        <v>122</v>
      </c>
      <c r="C30" s="52" t="s">
        <v>116</v>
      </c>
      <c r="D30" s="56">
        <v>0</v>
      </c>
      <c r="E30" s="417"/>
      <c r="F30" s="413"/>
      <c r="G30" s="564"/>
    </row>
    <row r="31" spans="1:9" ht="15.75">
      <c r="A31" s="73" t="s">
        <v>123</v>
      </c>
      <c r="B31" s="49" t="s">
        <v>124</v>
      </c>
      <c r="C31" s="50" t="s">
        <v>38</v>
      </c>
      <c r="D31" s="16">
        <f>D32+D36+D43</f>
        <v>7734.46</v>
      </c>
      <c r="E31" s="16">
        <f t="shared" ref="E31" si="4">E32+E36+E43</f>
        <v>8291.0910000000003</v>
      </c>
      <c r="F31" s="408">
        <f t="shared" si="1"/>
        <v>7.1967661607921087</v>
      </c>
      <c r="G31" s="564"/>
    </row>
    <row r="32" spans="1:9" ht="31.5">
      <c r="A32" s="73">
        <v>6</v>
      </c>
      <c r="B32" s="49" t="s">
        <v>178</v>
      </c>
      <c r="C32" s="52" t="s">
        <v>38</v>
      </c>
      <c r="D32" s="16">
        <f t="shared" ref="D32" si="5">SUM(D33:D35)</f>
        <v>6330.71</v>
      </c>
      <c r="E32" s="16">
        <f>SUM(E33:E35)</f>
        <v>6878.2420000000002</v>
      </c>
      <c r="F32" s="408">
        <f t="shared" si="1"/>
        <v>8.6488245394276646</v>
      </c>
      <c r="G32" s="564"/>
      <c r="I32" s="89"/>
    </row>
    <row r="33" spans="1:7" ht="15.75">
      <c r="A33" s="24" t="s">
        <v>21</v>
      </c>
      <c r="B33" s="51" t="s">
        <v>125</v>
      </c>
      <c r="C33" s="52" t="s">
        <v>38</v>
      </c>
      <c r="D33" s="58">
        <v>5760.43</v>
      </c>
      <c r="E33" s="27">
        <v>6221.6390000000001</v>
      </c>
      <c r="F33" s="509">
        <f t="shared" si="1"/>
        <v>8.006502986756189</v>
      </c>
      <c r="G33" s="564"/>
    </row>
    <row r="34" spans="1:7" ht="15.75">
      <c r="A34" s="24" t="s">
        <v>22</v>
      </c>
      <c r="B34" s="51" t="s">
        <v>179</v>
      </c>
      <c r="C34" s="52" t="s">
        <v>38</v>
      </c>
      <c r="D34" s="59">
        <f>311.06+259.22</f>
        <v>570.28</v>
      </c>
      <c r="E34" s="27">
        <f>26.359+56.727+210.112+343.794</f>
        <v>636.99199999999996</v>
      </c>
      <c r="F34" s="509">
        <f t="shared" si="1"/>
        <v>11.698113207547166</v>
      </c>
      <c r="G34" s="564"/>
    </row>
    <row r="35" spans="1:7" ht="15.75">
      <c r="A35" s="24" t="s">
        <v>23</v>
      </c>
      <c r="B35" s="51" t="s">
        <v>174</v>
      </c>
      <c r="C35" s="52" t="s">
        <v>38</v>
      </c>
      <c r="D35" s="60"/>
      <c r="E35" s="27">
        <f>7.152+12.459</f>
        <v>19.611000000000001</v>
      </c>
      <c r="F35" s="509"/>
      <c r="G35" s="564"/>
    </row>
    <row r="36" spans="1:7" ht="18.75" customHeight="1">
      <c r="A36" s="32" t="s">
        <v>180</v>
      </c>
      <c r="B36" s="49" t="s">
        <v>181</v>
      </c>
      <c r="C36" s="52" t="s">
        <v>38</v>
      </c>
      <c r="D36" s="31">
        <f>SUM(D37:D42)</f>
        <v>1193.7600000000002</v>
      </c>
      <c r="E36" s="16">
        <f>E37+E38+E39+E40+E41</f>
        <v>1072.7490000000003</v>
      </c>
      <c r="F36" s="404">
        <f t="shared" si="1"/>
        <v>-10.136962203457983</v>
      </c>
      <c r="G36" s="564"/>
    </row>
    <row r="37" spans="1:7" ht="18.75" customHeight="1">
      <c r="A37" s="24" t="s">
        <v>127</v>
      </c>
      <c r="B37" s="51" t="s">
        <v>16</v>
      </c>
      <c r="C37" s="52" t="s">
        <v>38</v>
      </c>
      <c r="D37" s="59">
        <v>1132.25</v>
      </c>
      <c r="E37" s="27">
        <f>1043.905-20.67</f>
        <v>1023.235</v>
      </c>
      <c r="F37" s="509">
        <f t="shared" si="1"/>
        <v>-9.6281739898432335</v>
      </c>
      <c r="G37" s="564"/>
    </row>
    <row r="38" spans="1:7" ht="16.5" customHeight="1">
      <c r="A38" s="24" t="s">
        <v>129</v>
      </c>
      <c r="B38" s="51" t="s">
        <v>135</v>
      </c>
      <c r="C38" s="52" t="s">
        <v>38</v>
      </c>
      <c r="D38" s="59">
        <v>22.88</v>
      </c>
      <c r="E38" s="27">
        <v>12.973000000000001</v>
      </c>
      <c r="F38" s="509">
        <f t="shared" si="1"/>
        <v>-43.299825174825166</v>
      </c>
      <c r="G38" s="564"/>
    </row>
    <row r="39" spans="1:7" ht="15.75">
      <c r="A39" s="24" t="s">
        <v>130</v>
      </c>
      <c r="B39" s="51" t="s">
        <v>97</v>
      </c>
      <c r="C39" s="52" t="s">
        <v>38</v>
      </c>
      <c r="D39" s="59"/>
      <c r="E39" s="27">
        <v>6.7480000000000002</v>
      </c>
      <c r="F39" s="509"/>
      <c r="G39" s="564"/>
    </row>
    <row r="40" spans="1:7" ht="15.75">
      <c r="A40" s="24" t="s">
        <v>132</v>
      </c>
      <c r="B40" s="51" t="s">
        <v>137</v>
      </c>
      <c r="C40" s="52" t="s">
        <v>38</v>
      </c>
      <c r="D40" s="59">
        <v>11.91</v>
      </c>
      <c r="E40" s="27">
        <v>3.0859999999999999</v>
      </c>
      <c r="F40" s="509">
        <f t="shared" si="1"/>
        <v>-74.089000839630557</v>
      </c>
      <c r="G40" s="564"/>
    </row>
    <row r="41" spans="1:7" ht="15.75">
      <c r="A41" s="24" t="s">
        <v>134</v>
      </c>
      <c r="B41" s="51" t="s">
        <v>182</v>
      </c>
      <c r="C41" s="52" t="s">
        <v>38</v>
      </c>
      <c r="D41" s="59"/>
      <c r="E41" s="27">
        <v>26.707000000000001</v>
      </c>
      <c r="F41" s="509"/>
      <c r="G41" s="564"/>
    </row>
    <row r="42" spans="1:7" ht="15.75" customHeight="1">
      <c r="A42" s="24" t="s">
        <v>136</v>
      </c>
      <c r="B42" s="51" t="s">
        <v>228</v>
      </c>
      <c r="C42" s="52" t="s">
        <v>2</v>
      </c>
      <c r="D42" s="59">
        <v>26.72</v>
      </c>
      <c r="E42" s="27"/>
      <c r="F42" s="509">
        <f t="shared" si="1"/>
        <v>-100</v>
      </c>
      <c r="G42" s="564"/>
    </row>
    <row r="43" spans="1:7" ht="18" customHeight="1">
      <c r="A43" s="74">
        <v>8</v>
      </c>
      <c r="B43" s="61" t="s">
        <v>126</v>
      </c>
      <c r="C43" s="50" t="s">
        <v>57</v>
      </c>
      <c r="D43" s="31">
        <f>SUM(D44:D55)</f>
        <v>209.99</v>
      </c>
      <c r="E43" s="16">
        <f>SUM(E44:E56)</f>
        <v>340.1</v>
      </c>
      <c r="F43" s="404">
        <f t="shared" si="1"/>
        <v>61.960093337777977</v>
      </c>
      <c r="G43" s="564"/>
    </row>
    <row r="44" spans="1:7" ht="15.75">
      <c r="A44" s="24" t="s">
        <v>169</v>
      </c>
      <c r="B44" s="62" t="s">
        <v>131</v>
      </c>
      <c r="C44" s="52" t="s">
        <v>57</v>
      </c>
      <c r="D44" s="59">
        <v>81.95</v>
      </c>
      <c r="E44" s="27">
        <v>67.198999999999998</v>
      </c>
      <c r="F44" s="509">
        <f t="shared" si="1"/>
        <v>-18.000000000000014</v>
      </c>
      <c r="G44" s="564"/>
    </row>
    <row r="45" spans="1:7" ht="15.75">
      <c r="A45" s="24" t="s">
        <v>183</v>
      </c>
      <c r="B45" s="62" t="s">
        <v>184</v>
      </c>
      <c r="C45" s="52" t="s">
        <v>57</v>
      </c>
      <c r="D45" s="59">
        <v>14.01</v>
      </c>
      <c r="E45" s="27">
        <v>10.7</v>
      </c>
      <c r="F45" s="509">
        <f t="shared" si="1"/>
        <v>-23.625981441827264</v>
      </c>
      <c r="G45" s="564"/>
    </row>
    <row r="46" spans="1:7" ht="15.75">
      <c r="A46" s="24" t="s">
        <v>185</v>
      </c>
      <c r="B46" s="57" t="s">
        <v>153</v>
      </c>
      <c r="C46" s="52" t="s">
        <v>57</v>
      </c>
      <c r="D46" s="59">
        <v>87.49</v>
      </c>
      <c r="E46" s="27">
        <v>107</v>
      </c>
      <c r="F46" s="509">
        <f t="shared" si="1"/>
        <v>22.299691393302098</v>
      </c>
      <c r="G46" s="564"/>
    </row>
    <row r="47" spans="1:7" ht="15.75">
      <c r="A47" s="24" t="s">
        <v>186</v>
      </c>
      <c r="B47" s="62" t="s">
        <v>187</v>
      </c>
      <c r="C47" s="52" t="s">
        <v>57</v>
      </c>
      <c r="D47" s="59">
        <v>17.86</v>
      </c>
      <c r="E47" s="27">
        <v>46.985999999999997</v>
      </c>
      <c r="F47" s="509">
        <f t="shared" si="1"/>
        <v>163.07950727883537</v>
      </c>
      <c r="G47" s="564"/>
    </row>
    <row r="48" spans="1:7" ht="32.25" customHeight="1">
      <c r="A48" s="24" t="s">
        <v>188</v>
      </c>
      <c r="B48" s="36" t="s">
        <v>189</v>
      </c>
      <c r="C48" s="52" t="s">
        <v>57</v>
      </c>
      <c r="D48" s="70">
        <v>8.68</v>
      </c>
      <c r="E48" s="27">
        <v>0</v>
      </c>
      <c r="F48" s="509">
        <f t="shared" si="1"/>
        <v>-100</v>
      </c>
      <c r="G48" s="564"/>
    </row>
    <row r="49" spans="1:7" ht="15.75" hidden="1" customHeight="1">
      <c r="A49" s="24" t="s">
        <v>150</v>
      </c>
      <c r="B49" s="57" t="s">
        <v>190</v>
      </c>
      <c r="C49" s="52" t="s">
        <v>57</v>
      </c>
      <c r="D49" s="60"/>
      <c r="E49" s="27"/>
      <c r="F49" s="509" t="e">
        <f t="shared" si="1"/>
        <v>#DIV/0!</v>
      </c>
      <c r="G49" s="564"/>
    </row>
    <row r="50" spans="1:7" ht="15.75" hidden="1" customHeight="1">
      <c r="A50" s="24" t="s">
        <v>152</v>
      </c>
      <c r="B50" s="57" t="s">
        <v>156</v>
      </c>
      <c r="C50" s="52" t="s">
        <v>57</v>
      </c>
      <c r="D50" s="60"/>
      <c r="E50" s="27"/>
      <c r="F50" s="509" t="e">
        <f t="shared" si="1"/>
        <v>#DIV/0!</v>
      </c>
      <c r="G50" s="564"/>
    </row>
    <row r="51" spans="1:7" ht="15.75" hidden="1" customHeight="1">
      <c r="A51" s="24" t="s">
        <v>191</v>
      </c>
      <c r="B51" s="57" t="s">
        <v>157</v>
      </c>
      <c r="C51" s="52" t="s">
        <v>57</v>
      </c>
      <c r="D51" s="60"/>
      <c r="E51" s="27"/>
      <c r="F51" s="509" t="e">
        <f t="shared" si="1"/>
        <v>#DIV/0!</v>
      </c>
      <c r="G51" s="564"/>
    </row>
    <row r="52" spans="1:7" ht="15.75" hidden="1" customHeight="1">
      <c r="A52" s="24" t="s">
        <v>154</v>
      </c>
      <c r="B52" s="54" t="s">
        <v>158</v>
      </c>
      <c r="C52" s="52" t="s">
        <v>57</v>
      </c>
      <c r="D52" s="60"/>
      <c r="E52" s="27"/>
      <c r="F52" s="509" t="e">
        <f t="shared" si="1"/>
        <v>#DIV/0!</v>
      </c>
      <c r="G52" s="564"/>
    </row>
    <row r="53" spans="1:7" ht="15.75" hidden="1" customHeight="1">
      <c r="A53" s="24" t="s">
        <v>155</v>
      </c>
      <c r="B53" s="54" t="s">
        <v>159</v>
      </c>
      <c r="C53" s="52" t="s">
        <v>57</v>
      </c>
      <c r="D53" s="60"/>
      <c r="E53" s="27"/>
      <c r="F53" s="509" t="e">
        <f t="shared" si="1"/>
        <v>#DIV/0!</v>
      </c>
      <c r="G53" s="564"/>
    </row>
    <row r="54" spans="1:7" ht="20.25" customHeight="1">
      <c r="A54" s="24" t="s">
        <v>192</v>
      </c>
      <c r="B54" s="54" t="s">
        <v>193</v>
      </c>
      <c r="C54" s="52" t="s">
        <v>57</v>
      </c>
      <c r="D54" s="59"/>
      <c r="E54" s="27">
        <v>10</v>
      </c>
      <c r="F54" s="509"/>
      <c r="G54" s="564"/>
    </row>
    <row r="55" spans="1:7" ht="15.75">
      <c r="A55" s="24" t="s">
        <v>194</v>
      </c>
      <c r="B55" s="54" t="s">
        <v>195</v>
      </c>
      <c r="C55" s="52" t="s">
        <v>57</v>
      </c>
      <c r="D55" s="59"/>
      <c r="E55" s="27">
        <v>49.268999999999998</v>
      </c>
      <c r="F55" s="509"/>
      <c r="G55" s="564"/>
    </row>
    <row r="56" spans="1:7" ht="15.75">
      <c r="A56" s="24" t="s">
        <v>279</v>
      </c>
      <c r="B56" s="54" t="s">
        <v>120</v>
      </c>
      <c r="C56" s="52" t="s">
        <v>57</v>
      </c>
      <c r="D56" s="59"/>
      <c r="E56" s="27">
        <f>48.946</f>
        <v>48.945999999999998</v>
      </c>
      <c r="F56" s="509"/>
      <c r="G56" s="564"/>
    </row>
    <row r="57" spans="1:7" ht="15.75">
      <c r="A57" s="73" t="s">
        <v>160</v>
      </c>
      <c r="B57" s="49" t="s">
        <v>161</v>
      </c>
      <c r="C57" s="50" t="s">
        <v>38</v>
      </c>
      <c r="D57" s="31">
        <f>D6+D31</f>
        <v>41028.192999999999</v>
      </c>
      <c r="E57" s="16">
        <f t="shared" ref="E57" si="6">E6+E31</f>
        <v>34723.361000000004</v>
      </c>
      <c r="F57" s="404">
        <f t="shared" si="1"/>
        <v>-15.367072100884371</v>
      </c>
      <c r="G57" s="564"/>
    </row>
    <row r="58" spans="1:7" ht="15.75">
      <c r="A58" s="73" t="s">
        <v>28</v>
      </c>
      <c r="B58" s="49" t="s">
        <v>162</v>
      </c>
      <c r="C58" s="50"/>
      <c r="D58" s="63">
        <f>D59-D57</f>
        <v>-2.9999999969732016E-3</v>
      </c>
      <c r="E58" s="27">
        <f>E59-E57</f>
        <v>2025.244071999994</v>
      </c>
      <c r="F58" s="511"/>
      <c r="G58" s="564"/>
    </row>
    <row r="59" spans="1:7" ht="15.75">
      <c r="A59" s="73" t="s">
        <v>29</v>
      </c>
      <c r="B59" s="49" t="s">
        <v>398</v>
      </c>
      <c r="C59" s="50" t="s">
        <v>38</v>
      </c>
      <c r="D59" s="31">
        <v>41028.19</v>
      </c>
      <c r="E59" s="16">
        <f>(458.64*0.41)+(74071.176*0.439)+(9231.316*0.438)</f>
        <v>36748.605071999998</v>
      </c>
      <c r="F59" s="404">
        <f t="shared" si="1"/>
        <v>-10.430840180861026</v>
      </c>
      <c r="G59" s="564"/>
    </row>
    <row r="60" spans="1:7" ht="15.75" customHeight="1">
      <c r="A60" s="200" t="s">
        <v>31</v>
      </c>
      <c r="B60" s="201" t="s">
        <v>164</v>
      </c>
      <c r="C60" s="76" t="s">
        <v>165</v>
      </c>
      <c r="D60" s="68">
        <v>93534</v>
      </c>
      <c r="E60" s="16">
        <v>83761.131999999998</v>
      </c>
      <c r="F60" s="510">
        <f t="shared" si="1"/>
        <v>-10.448465798533149</v>
      </c>
      <c r="G60" s="564"/>
    </row>
    <row r="61" spans="1:7" ht="15.75">
      <c r="A61" s="561" t="s">
        <v>33</v>
      </c>
      <c r="B61" s="562" t="s">
        <v>166</v>
      </c>
      <c r="C61" s="76" t="s">
        <v>79</v>
      </c>
      <c r="D61" s="75">
        <v>24</v>
      </c>
      <c r="E61" s="16">
        <v>21</v>
      </c>
      <c r="F61" s="510">
        <f t="shared" si="1"/>
        <v>-12.5</v>
      </c>
      <c r="G61" s="564"/>
    </row>
    <row r="62" spans="1:7" ht="15.75">
      <c r="A62" s="561"/>
      <c r="B62" s="562"/>
      <c r="C62" s="76" t="s">
        <v>2</v>
      </c>
      <c r="D62" s="37">
        <v>29537.05</v>
      </c>
      <c r="E62" s="171">
        <v>22198.554</v>
      </c>
      <c r="F62" s="512">
        <f t="shared" si="1"/>
        <v>-24.845053923800791</v>
      </c>
      <c r="G62" s="564"/>
    </row>
    <row r="63" spans="1:7" ht="15.75">
      <c r="A63" s="64" t="s">
        <v>167</v>
      </c>
      <c r="B63" s="65" t="s">
        <v>80</v>
      </c>
      <c r="C63" s="66" t="s">
        <v>2</v>
      </c>
      <c r="D63" s="20">
        <v>0.439</v>
      </c>
      <c r="E63" s="16" t="s">
        <v>199</v>
      </c>
      <c r="F63" s="404"/>
      <c r="G63" s="565"/>
    </row>
    <row r="65" spans="1:7" ht="15.75">
      <c r="A65" s="229"/>
      <c r="B65" s="235" t="s">
        <v>379</v>
      </c>
      <c r="C65" s="238" t="s">
        <v>380</v>
      </c>
      <c r="D65" s="385"/>
      <c r="E65" s="386"/>
      <c r="F65" s="390"/>
      <c r="G65" s="47"/>
    </row>
    <row r="66" spans="1:7" ht="15.75">
      <c r="A66" s="229"/>
      <c r="B66" s="235" t="s">
        <v>381</v>
      </c>
      <c r="C66" s="238" t="s">
        <v>382</v>
      </c>
      <c r="D66" s="385"/>
      <c r="E66" s="386"/>
      <c r="F66" s="390"/>
      <c r="G66" s="47"/>
    </row>
    <row r="67" spans="1:7" ht="15.75">
      <c r="A67" s="229"/>
      <c r="B67" s="235" t="s">
        <v>383</v>
      </c>
      <c r="C67" s="238" t="s">
        <v>384</v>
      </c>
      <c r="D67" s="385"/>
      <c r="E67" s="386"/>
      <c r="F67" s="390"/>
      <c r="G67" s="47"/>
    </row>
    <row r="68" spans="1:7" ht="15.75">
      <c r="A68" s="206"/>
      <c r="B68" s="235" t="s">
        <v>385</v>
      </c>
      <c r="C68" s="232" t="s">
        <v>386</v>
      </c>
      <c r="D68" s="386"/>
      <c r="E68" s="386"/>
      <c r="F68" s="393"/>
      <c r="G68" s="47"/>
    </row>
    <row r="69" spans="1:7" ht="15.75">
      <c r="A69" s="206"/>
      <c r="B69" s="235" t="s">
        <v>387</v>
      </c>
      <c r="C69" s="233" t="s">
        <v>388</v>
      </c>
      <c r="D69" s="386"/>
      <c r="E69" s="386"/>
      <c r="F69" s="393"/>
      <c r="G69" s="22"/>
    </row>
    <row r="70" spans="1:7" ht="15.75">
      <c r="A70" s="206"/>
      <c r="B70" s="235" t="s">
        <v>301</v>
      </c>
      <c r="C70" s="233" t="s">
        <v>393</v>
      </c>
      <c r="D70" s="387"/>
      <c r="E70" s="387"/>
      <c r="F70" s="393"/>
      <c r="G70" s="22"/>
    </row>
    <row r="71" spans="1:7" ht="15.75">
      <c r="A71" s="206"/>
      <c r="B71" s="235"/>
      <c r="C71" s="235"/>
      <c r="D71" s="386"/>
      <c r="E71" s="386"/>
      <c r="F71" s="393"/>
      <c r="G71" s="22"/>
    </row>
    <row r="72" spans="1:7" ht="15.75">
      <c r="A72" s="206"/>
      <c r="B72" s="235" t="s">
        <v>390</v>
      </c>
      <c r="C72" s="235"/>
      <c r="D72" s="386"/>
      <c r="E72" s="386"/>
      <c r="F72" s="393"/>
      <c r="G72" s="22"/>
    </row>
    <row r="73" spans="1:7" ht="15.75">
      <c r="A73" s="206"/>
      <c r="B73" s="235"/>
      <c r="C73" s="235"/>
      <c r="D73" s="386"/>
      <c r="E73" s="386"/>
      <c r="F73" s="393"/>
      <c r="G73" s="22"/>
    </row>
    <row r="74" spans="1:7" ht="15.75">
      <c r="A74" s="206"/>
      <c r="B74" s="234" t="s">
        <v>389</v>
      </c>
      <c r="C74" s="235"/>
      <c r="D74" s="386"/>
      <c r="E74" s="386"/>
      <c r="F74" s="393"/>
      <c r="G74" s="22"/>
    </row>
    <row r="75" spans="1:7" ht="15.75">
      <c r="A75" s="48"/>
      <c r="B75" s="48"/>
      <c r="C75" s="48"/>
      <c r="D75" s="231"/>
      <c r="E75" s="172"/>
      <c r="F75" s="22"/>
      <c r="G75" s="22"/>
    </row>
  </sheetData>
  <mergeCells count="6">
    <mergeCell ref="A61:A62"/>
    <mergeCell ref="B61:B62"/>
    <mergeCell ref="A1:G1"/>
    <mergeCell ref="A2:G2"/>
    <mergeCell ref="A3:G3"/>
    <mergeCell ref="G6:G63"/>
  </mergeCells>
  <hyperlinks>
    <hyperlink ref="C68" r:id="rId1"/>
  </hyperlinks>
  <pageMargins left="0.70866141732283472" right="0.70866141732283472" top="0.74803149606299213" bottom="0.74803149606299213" header="0.31496062992125984" footer="0.31496062992125984"/>
  <pageSetup paperSize="9" scale="77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>
      <selection activeCell="D4" sqref="D4"/>
    </sheetView>
  </sheetViews>
  <sheetFormatPr defaultColWidth="9.140625" defaultRowHeight="15.75"/>
  <cols>
    <col min="1" max="1" width="4.85546875" style="169" customWidth="1"/>
    <col min="2" max="2" width="58.85546875" style="169" customWidth="1"/>
    <col min="3" max="3" width="14.7109375" style="169" customWidth="1"/>
    <col min="4" max="4" width="19.28515625" style="169" customWidth="1"/>
    <col min="5" max="5" width="18.140625" style="169" customWidth="1"/>
    <col min="6" max="6" width="14.85546875" style="424" customWidth="1"/>
    <col min="7" max="7" width="13.28515625" style="141" customWidth="1"/>
    <col min="8" max="16384" width="9.140625" style="141"/>
  </cols>
  <sheetData>
    <row r="1" spans="1:7">
      <c r="A1" s="571" t="s">
        <v>338</v>
      </c>
      <c r="B1" s="571"/>
      <c r="C1" s="571"/>
      <c r="D1" s="571"/>
      <c r="E1" s="571"/>
      <c r="F1" s="571"/>
    </row>
    <row r="2" spans="1:7">
      <c r="A2" s="571" t="s">
        <v>339</v>
      </c>
      <c r="B2" s="571"/>
      <c r="C2" s="571"/>
      <c r="D2" s="571"/>
      <c r="E2" s="571"/>
      <c r="F2" s="571"/>
    </row>
    <row r="3" spans="1:7">
      <c r="A3" s="572" t="s">
        <v>399</v>
      </c>
      <c r="B3" s="572"/>
      <c r="C3" s="572"/>
      <c r="D3" s="572"/>
      <c r="E3" s="572"/>
      <c r="F3" s="572"/>
    </row>
    <row r="4" spans="1:7" ht="65.25" customHeight="1">
      <c r="A4" s="325" t="s">
        <v>0</v>
      </c>
      <c r="B4" s="325" t="s">
        <v>81</v>
      </c>
      <c r="C4" s="325" t="s">
        <v>244</v>
      </c>
      <c r="D4" s="326" t="s">
        <v>375</v>
      </c>
      <c r="E4" s="326" t="s">
        <v>376</v>
      </c>
      <c r="F4" s="327" t="s">
        <v>377</v>
      </c>
      <c r="G4" s="210" t="s">
        <v>378</v>
      </c>
    </row>
    <row r="5" spans="1:7" s="146" customFormat="1" ht="31.5">
      <c r="A5" s="142" t="s">
        <v>1</v>
      </c>
      <c r="B5" s="143" t="s">
        <v>340</v>
      </c>
      <c r="C5" s="144" t="s">
        <v>38</v>
      </c>
      <c r="D5" s="145">
        <f>+D6+D10+D14+D15+D17</f>
        <v>14591.33</v>
      </c>
      <c r="E5" s="145">
        <f>+E6+E10+E14+E15+E17</f>
        <v>11884.205</v>
      </c>
      <c r="F5" s="419">
        <f t="shared" ref="F5:F50" si="0">((E5*100)/D5)-100</f>
        <v>-18.552969468855821</v>
      </c>
      <c r="G5" s="566" t="s">
        <v>459</v>
      </c>
    </row>
    <row r="6" spans="1:7" s="146" customFormat="1">
      <c r="A6" s="142">
        <v>1</v>
      </c>
      <c r="B6" s="147" t="s">
        <v>266</v>
      </c>
      <c r="C6" s="144" t="s">
        <v>38</v>
      </c>
      <c r="D6" s="145">
        <f>SUM(D7:D9)</f>
        <v>427.93</v>
      </c>
      <c r="E6" s="145">
        <f>SUM(E7:E9)</f>
        <v>538.971</v>
      </c>
      <c r="F6" s="419">
        <f t="shared" si="0"/>
        <v>25.948402776154978</v>
      </c>
      <c r="G6" s="567"/>
    </row>
    <row r="7" spans="1:7">
      <c r="A7" s="148" t="s">
        <v>3</v>
      </c>
      <c r="B7" s="149" t="s">
        <v>105</v>
      </c>
      <c r="C7" s="150" t="s">
        <v>57</v>
      </c>
      <c r="D7" s="151">
        <v>166.43</v>
      </c>
      <c r="E7" s="151">
        <v>336.33499999999998</v>
      </c>
      <c r="F7" s="420">
        <f t="shared" si="0"/>
        <v>102.08796491017245</v>
      </c>
      <c r="G7" s="567"/>
    </row>
    <row r="8" spans="1:7" s="153" customFormat="1">
      <c r="A8" s="148" t="s">
        <v>4</v>
      </c>
      <c r="B8" s="152" t="s">
        <v>43</v>
      </c>
      <c r="C8" s="150" t="s">
        <v>57</v>
      </c>
      <c r="D8" s="151">
        <v>94.75</v>
      </c>
      <c r="E8" s="151">
        <v>85.606999999999999</v>
      </c>
      <c r="F8" s="420">
        <f t="shared" si="0"/>
        <v>-9.6496042216358831</v>
      </c>
      <c r="G8" s="567"/>
    </row>
    <row r="9" spans="1:7" s="153" customFormat="1">
      <c r="A9" s="148" t="s">
        <v>6</v>
      </c>
      <c r="B9" s="154" t="s">
        <v>42</v>
      </c>
      <c r="C9" s="150" t="s">
        <v>57</v>
      </c>
      <c r="D9" s="151">
        <v>166.75</v>
      </c>
      <c r="E9" s="151">
        <f>14.8+102.229</f>
        <v>117.029</v>
      </c>
      <c r="F9" s="420">
        <f t="shared" si="0"/>
        <v>-29.817691154422789</v>
      </c>
      <c r="G9" s="567"/>
    </row>
    <row r="10" spans="1:7" s="155" customFormat="1">
      <c r="A10" s="142">
        <v>2</v>
      </c>
      <c r="B10" s="143" t="s">
        <v>341</v>
      </c>
      <c r="C10" s="144" t="s">
        <v>38</v>
      </c>
      <c r="D10" s="145">
        <f>SUM(D11:D13)</f>
        <v>12782.2</v>
      </c>
      <c r="E10" s="145">
        <f>SUM(E11:E13)</f>
        <v>10326.245999999999</v>
      </c>
      <c r="F10" s="419">
        <f t="shared" si="0"/>
        <v>-19.213859898921953</v>
      </c>
      <c r="G10" s="567"/>
    </row>
    <row r="11" spans="1:7" ht="18" customHeight="1">
      <c r="A11" s="148" t="s">
        <v>9</v>
      </c>
      <c r="B11" s="149" t="s">
        <v>248</v>
      </c>
      <c r="C11" s="150" t="s">
        <v>116</v>
      </c>
      <c r="D11" s="151">
        <v>11630.76</v>
      </c>
      <c r="E11" s="151">
        <v>9336.3719999999994</v>
      </c>
      <c r="F11" s="420">
        <f t="shared" si="0"/>
        <v>-19.726896608648104</v>
      </c>
      <c r="G11" s="567"/>
    </row>
    <row r="12" spans="1:7">
      <c r="A12" s="148" t="s">
        <v>10</v>
      </c>
      <c r="B12" s="149" t="s">
        <v>342</v>
      </c>
      <c r="C12" s="150" t="s">
        <v>57</v>
      </c>
      <c r="D12" s="151">
        <f>628.06+523.38</f>
        <v>1151.44</v>
      </c>
      <c r="E12" s="151">
        <f>77.289+99.364+327.417+444.124</f>
        <v>948.19399999999996</v>
      </c>
      <c r="F12" s="420">
        <f t="shared" si="0"/>
        <v>-17.651462516501084</v>
      </c>
      <c r="G12" s="567"/>
    </row>
    <row r="13" spans="1:7">
      <c r="A13" s="148" t="s">
        <v>11</v>
      </c>
      <c r="B13" s="156" t="s">
        <v>343</v>
      </c>
      <c r="C13" s="150" t="s">
        <v>57</v>
      </c>
      <c r="D13" s="151">
        <v>0</v>
      </c>
      <c r="E13" s="151">
        <f>15.477+26.203</f>
        <v>41.68</v>
      </c>
      <c r="F13" s="420"/>
      <c r="G13" s="567"/>
    </row>
    <row r="14" spans="1:7" s="146" customFormat="1">
      <c r="A14" s="142">
        <v>3</v>
      </c>
      <c r="B14" s="143" t="s">
        <v>111</v>
      </c>
      <c r="C14" s="144" t="s">
        <v>57</v>
      </c>
      <c r="D14" s="145">
        <v>0</v>
      </c>
      <c r="E14" s="145">
        <v>175</v>
      </c>
      <c r="F14" s="419"/>
      <c r="G14" s="567"/>
    </row>
    <row r="15" spans="1:7" s="146" customFormat="1">
      <c r="A15" s="142">
        <v>4</v>
      </c>
      <c r="B15" s="157" t="s">
        <v>344</v>
      </c>
      <c r="C15" s="144" t="s">
        <v>38</v>
      </c>
      <c r="D15" s="145">
        <f>+D16</f>
        <v>1012.71</v>
      </c>
      <c r="E15" s="145">
        <f>+E16</f>
        <v>336.82400000000001</v>
      </c>
      <c r="F15" s="419">
        <f t="shared" si="0"/>
        <v>-66.740330400608272</v>
      </c>
      <c r="G15" s="567"/>
    </row>
    <row r="16" spans="1:7" s="146" customFormat="1" ht="31.5">
      <c r="A16" s="148" t="s">
        <v>12</v>
      </c>
      <c r="B16" s="149" t="s">
        <v>345</v>
      </c>
      <c r="C16" s="150" t="s">
        <v>38</v>
      </c>
      <c r="D16" s="151">
        <v>1012.71</v>
      </c>
      <c r="E16" s="151">
        <v>336.82400000000001</v>
      </c>
      <c r="F16" s="420">
        <f t="shared" si="0"/>
        <v>-66.740330400608272</v>
      </c>
      <c r="G16" s="567"/>
    </row>
    <row r="17" spans="1:7" s="146" customFormat="1">
      <c r="A17" s="142">
        <v>5</v>
      </c>
      <c r="B17" s="157" t="s">
        <v>346</v>
      </c>
      <c r="C17" s="144" t="s">
        <v>38</v>
      </c>
      <c r="D17" s="145">
        <f>SUM(D18:D22)</f>
        <v>368.48999999999995</v>
      </c>
      <c r="E17" s="145">
        <f>SUM(E18:E22)</f>
        <v>507.16400000000004</v>
      </c>
      <c r="F17" s="419">
        <f t="shared" si="0"/>
        <v>37.633042959103392</v>
      </c>
      <c r="G17" s="567"/>
    </row>
    <row r="18" spans="1:7">
      <c r="A18" s="148" t="s">
        <v>13</v>
      </c>
      <c r="B18" s="152" t="s">
        <v>51</v>
      </c>
      <c r="C18" s="150" t="s">
        <v>38</v>
      </c>
      <c r="D18" s="151">
        <v>205.51</v>
      </c>
      <c r="E18" s="151">
        <v>164.32300000000001</v>
      </c>
      <c r="F18" s="420">
        <f t="shared" si="0"/>
        <v>-20.041360517736365</v>
      </c>
      <c r="G18" s="567"/>
    </row>
    <row r="19" spans="1:7">
      <c r="A19" s="148" t="s">
        <v>14</v>
      </c>
      <c r="B19" s="156" t="s">
        <v>52</v>
      </c>
      <c r="C19" s="150" t="s">
        <v>38</v>
      </c>
      <c r="D19" s="151">
        <v>104.16</v>
      </c>
      <c r="E19" s="151">
        <v>191.7</v>
      </c>
      <c r="F19" s="420">
        <f t="shared" si="0"/>
        <v>84.043778801843331</v>
      </c>
      <c r="G19" s="567"/>
    </row>
    <row r="20" spans="1:7" s="153" customFormat="1">
      <c r="A20" s="148" t="s">
        <v>53</v>
      </c>
      <c r="B20" s="154" t="s">
        <v>268</v>
      </c>
      <c r="C20" s="150" t="s">
        <v>38</v>
      </c>
      <c r="D20" s="151">
        <v>58.82</v>
      </c>
      <c r="E20" s="151">
        <v>78.191000000000003</v>
      </c>
      <c r="F20" s="420">
        <f t="shared" si="0"/>
        <v>32.932675960557646</v>
      </c>
      <c r="G20" s="567"/>
    </row>
    <row r="21" spans="1:7">
      <c r="A21" s="148" t="s">
        <v>17</v>
      </c>
      <c r="B21" s="158" t="s">
        <v>347</v>
      </c>
      <c r="C21" s="150" t="s">
        <v>38</v>
      </c>
      <c r="D21" s="151"/>
      <c r="E21" s="159">
        <v>22.45</v>
      </c>
      <c r="F21" s="420"/>
      <c r="G21" s="567"/>
    </row>
    <row r="22" spans="1:7" s="160" customFormat="1">
      <c r="A22" s="148" t="s">
        <v>18</v>
      </c>
      <c r="B22" s="158" t="s">
        <v>348</v>
      </c>
      <c r="C22" s="150" t="s">
        <v>57</v>
      </c>
      <c r="D22" s="151"/>
      <c r="E22" s="151">
        <v>50.5</v>
      </c>
      <c r="F22" s="420"/>
      <c r="G22" s="567"/>
    </row>
    <row r="23" spans="1:7">
      <c r="A23" s="161" t="s">
        <v>123</v>
      </c>
      <c r="B23" s="143" t="s">
        <v>331</v>
      </c>
      <c r="C23" s="150" t="s">
        <v>38</v>
      </c>
      <c r="D23" s="145">
        <f>+D24</f>
        <v>5254.2270000000008</v>
      </c>
      <c r="E23" s="145">
        <f>+E24</f>
        <v>7638.75378</v>
      </c>
      <c r="F23" s="419">
        <f t="shared" si="0"/>
        <v>45.383017901586641</v>
      </c>
      <c r="G23" s="567"/>
    </row>
    <row r="24" spans="1:7">
      <c r="A24" s="142">
        <v>6</v>
      </c>
      <c r="B24" s="157" t="s">
        <v>349</v>
      </c>
      <c r="C24" s="150" t="s">
        <v>38</v>
      </c>
      <c r="D24" s="145">
        <f>+D25+D26+D27+D28+D37</f>
        <v>5254.2270000000008</v>
      </c>
      <c r="E24" s="145">
        <f>+E25+E26+E27+E28+E37</f>
        <v>7638.75378</v>
      </c>
      <c r="F24" s="419">
        <f t="shared" si="0"/>
        <v>45.383017901586641</v>
      </c>
      <c r="G24" s="567"/>
    </row>
    <row r="25" spans="1:7">
      <c r="A25" s="148" t="s">
        <v>21</v>
      </c>
      <c r="B25" s="149" t="s">
        <v>333</v>
      </c>
      <c r="C25" s="150" t="s">
        <v>38</v>
      </c>
      <c r="D25" s="151">
        <v>4286.75</v>
      </c>
      <c r="E25" s="151">
        <v>5757.2020000000002</v>
      </c>
      <c r="F25" s="420">
        <f t="shared" si="0"/>
        <v>34.302256954569316</v>
      </c>
      <c r="G25" s="567"/>
    </row>
    <row r="26" spans="1:7">
      <c r="A26" s="148" t="s">
        <v>22</v>
      </c>
      <c r="B26" s="149" t="s">
        <v>342</v>
      </c>
      <c r="C26" s="150" t="s">
        <v>57</v>
      </c>
      <c r="D26" s="151">
        <f>231.48+192.9</f>
        <v>424.38</v>
      </c>
      <c r="E26" s="151">
        <f>62.51+52.09+212.255+254.706</f>
        <v>581.56100000000004</v>
      </c>
      <c r="F26" s="420">
        <f t="shared" si="0"/>
        <v>37.037796314623705</v>
      </c>
      <c r="G26" s="567"/>
    </row>
    <row r="27" spans="1:7" s="146" customFormat="1">
      <c r="A27" s="148" t="s">
        <v>23</v>
      </c>
      <c r="B27" s="162" t="s">
        <v>343</v>
      </c>
      <c r="C27" s="150" t="s">
        <v>57</v>
      </c>
      <c r="D27" s="151"/>
      <c r="E27" s="151">
        <f>14.587+9.922</f>
        <v>24.509</v>
      </c>
      <c r="F27" s="420"/>
      <c r="G27" s="567"/>
    </row>
    <row r="28" spans="1:7">
      <c r="A28" s="142">
        <v>7</v>
      </c>
      <c r="B28" s="163" t="s">
        <v>350</v>
      </c>
      <c r="C28" s="144" t="s">
        <v>57</v>
      </c>
      <c r="D28" s="164">
        <f>SUM(D29:D36)</f>
        <v>35.033000000000001</v>
      </c>
      <c r="E28" s="164">
        <f>SUM(E29:E36)</f>
        <v>910.90100000000007</v>
      </c>
      <c r="F28" s="419">
        <f t="shared" si="0"/>
        <v>2500.1227414152372</v>
      </c>
      <c r="G28" s="567"/>
    </row>
    <row r="29" spans="1:7">
      <c r="A29" s="148" t="s">
        <v>127</v>
      </c>
      <c r="B29" s="162" t="s">
        <v>253</v>
      </c>
      <c r="C29" s="150" t="s">
        <v>57</v>
      </c>
      <c r="D29" s="151"/>
      <c r="E29" s="151">
        <v>472.56</v>
      </c>
      <c r="F29" s="420"/>
      <c r="G29" s="567"/>
    </row>
    <row r="30" spans="1:7">
      <c r="A30" s="148" t="s">
        <v>129</v>
      </c>
      <c r="B30" s="162" t="s">
        <v>330</v>
      </c>
      <c r="C30" s="150" t="s">
        <v>57</v>
      </c>
      <c r="D30" s="151">
        <v>1.61</v>
      </c>
      <c r="E30" s="151">
        <v>4.1340000000000003</v>
      </c>
      <c r="F30" s="420">
        <f t="shared" si="0"/>
        <v>156.77018633540371</v>
      </c>
      <c r="G30" s="567"/>
    </row>
    <row r="31" spans="1:7">
      <c r="A31" s="148" t="s">
        <v>130</v>
      </c>
      <c r="B31" s="162" t="s">
        <v>35</v>
      </c>
      <c r="C31" s="150" t="s">
        <v>57</v>
      </c>
      <c r="D31" s="151">
        <v>2.633</v>
      </c>
      <c r="E31" s="151">
        <v>86.022999999999996</v>
      </c>
      <c r="F31" s="420">
        <f t="shared" si="0"/>
        <v>3167.1097607292058</v>
      </c>
      <c r="G31" s="567"/>
    </row>
    <row r="32" spans="1:7">
      <c r="A32" s="148" t="s">
        <v>132</v>
      </c>
      <c r="B32" s="162" t="s">
        <v>255</v>
      </c>
      <c r="C32" s="150" t="s">
        <v>57</v>
      </c>
      <c r="D32" s="151"/>
      <c r="E32" s="151">
        <v>34.034999999999997</v>
      </c>
      <c r="F32" s="420"/>
      <c r="G32" s="567"/>
    </row>
    <row r="33" spans="1:7">
      <c r="A33" s="148" t="s">
        <v>134</v>
      </c>
      <c r="B33" s="162" t="s">
        <v>254</v>
      </c>
      <c r="C33" s="150" t="s">
        <v>57</v>
      </c>
      <c r="D33" s="151"/>
      <c r="E33" s="151">
        <v>52.161999999999999</v>
      </c>
      <c r="F33" s="420"/>
      <c r="G33" s="567"/>
    </row>
    <row r="34" spans="1:7">
      <c r="A34" s="148" t="s">
        <v>136</v>
      </c>
      <c r="B34" s="162" t="s">
        <v>351</v>
      </c>
      <c r="C34" s="150" t="s">
        <v>57</v>
      </c>
      <c r="D34" s="151"/>
      <c r="E34" s="151">
        <v>15.599</v>
      </c>
      <c r="F34" s="420"/>
      <c r="G34" s="567"/>
    </row>
    <row r="35" spans="1:7">
      <c r="A35" s="148" t="s">
        <v>138</v>
      </c>
      <c r="B35" s="162" t="s">
        <v>274</v>
      </c>
      <c r="C35" s="150" t="s">
        <v>57</v>
      </c>
      <c r="D35" s="151">
        <v>11.7</v>
      </c>
      <c r="E35" s="151">
        <v>246.38800000000001</v>
      </c>
      <c r="F35" s="420">
        <f t="shared" si="0"/>
        <v>2005.8803418803418</v>
      </c>
      <c r="G35" s="567"/>
    </row>
    <row r="36" spans="1:7">
      <c r="A36" s="148" t="s">
        <v>140</v>
      </c>
      <c r="B36" s="36" t="s">
        <v>427</v>
      </c>
      <c r="C36" s="150" t="s">
        <v>57</v>
      </c>
      <c r="D36" s="418">
        <v>19.09</v>
      </c>
      <c r="E36" s="418"/>
      <c r="F36" s="421">
        <f t="shared" si="0"/>
        <v>-100</v>
      </c>
      <c r="G36" s="567"/>
    </row>
    <row r="37" spans="1:7" s="146" customFormat="1">
      <c r="A37" s="165" t="s">
        <v>277</v>
      </c>
      <c r="B37" s="163" t="s">
        <v>346</v>
      </c>
      <c r="C37" s="144" t="s">
        <v>57</v>
      </c>
      <c r="D37" s="164">
        <f>SUM(D38:D46)</f>
        <v>508.06399999999996</v>
      </c>
      <c r="E37" s="164">
        <f>SUM(E38:E46)</f>
        <v>364.58078</v>
      </c>
      <c r="F37" s="419">
        <f t="shared" si="0"/>
        <v>-28.24117040372866</v>
      </c>
      <c r="G37" s="567"/>
    </row>
    <row r="38" spans="1:7">
      <c r="A38" s="148" t="s">
        <v>168</v>
      </c>
      <c r="B38" s="149" t="s">
        <v>256</v>
      </c>
      <c r="C38" s="150" t="s">
        <v>57</v>
      </c>
      <c r="D38" s="151">
        <v>3</v>
      </c>
      <c r="E38" s="151">
        <v>7</v>
      </c>
      <c r="F38" s="420">
        <f t="shared" si="0"/>
        <v>133.33333333333334</v>
      </c>
      <c r="G38" s="567"/>
    </row>
    <row r="39" spans="1:7">
      <c r="A39" s="148" t="s">
        <v>169</v>
      </c>
      <c r="B39" s="149" t="s">
        <v>352</v>
      </c>
      <c r="C39" s="150" t="s">
        <v>57</v>
      </c>
      <c r="D39" s="151">
        <v>57.470999999999997</v>
      </c>
      <c r="E39" s="151">
        <v>61.484999999999999</v>
      </c>
      <c r="F39" s="420">
        <f t="shared" si="0"/>
        <v>6.984392128203794</v>
      </c>
      <c r="G39" s="567"/>
    </row>
    <row r="40" spans="1:7">
      <c r="A40" s="148" t="s">
        <v>183</v>
      </c>
      <c r="B40" s="156" t="s">
        <v>76</v>
      </c>
      <c r="C40" s="150" t="s">
        <v>57</v>
      </c>
      <c r="D40" s="151">
        <v>20</v>
      </c>
      <c r="E40" s="151">
        <v>39.081000000000003</v>
      </c>
      <c r="F40" s="420">
        <f t="shared" si="0"/>
        <v>95.40500000000003</v>
      </c>
      <c r="G40" s="567"/>
    </row>
    <row r="41" spans="1:7">
      <c r="A41" s="148" t="s">
        <v>185</v>
      </c>
      <c r="B41" s="158" t="s">
        <v>353</v>
      </c>
      <c r="C41" s="150" t="s">
        <v>57</v>
      </c>
      <c r="D41" s="151"/>
      <c r="E41" s="151"/>
      <c r="F41" s="420"/>
      <c r="G41" s="567"/>
    </row>
    <row r="42" spans="1:7">
      <c r="A42" s="148" t="s">
        <v>186</v>
      </c>
      <c r="B42" s="156" t="s">
        <v>74</v>
      </c>
      <c r="C42" s="150" t="s">
        <v>57</v>
      </c>
      <c r="D42" s="151">
        <v>19.152999999999999</v>
      </c>
      <c r="E42" s="151">
        <f>78.049-0.21</f>
        <v>77.839000000000013</v>
      </c>
      <c r="F42" s="420">
        <f t="shared" si="0"/>
        <v>306.40630710593649</v>
      </c>
      <c r="G42" s="567"/>
    </row>
    <row r="43" spans="1:7">
      <c r="A43" s="148" t="s">
        <v>188</v>
      </c>
      <c r="B43" s="152" t="s">
        <v>354</v>
      </c>
      <c r="C43" s="150" t="s">
        <v>38</v>
      </c>
      <c r="D43" s="151">
        <v>15</v>
      </c>
      <c r="E43" s="151">
        <v>42.014279999999999</v>
      </c>
      <c r="F43" s="420">
        <f t="shared" si="0"/>
        <v>180.09519999999998</v>
      </c>
      <c r="G43" s="567"/>
    </row>
    <row r="44" spans="1:7">
      <c r="A44" s="148" t="s">
        <v>192</v>
      </c>
      <c r="B44" s="152" t="s">
        <v>355</v>
      </c>
      <c r="C44" s="150" t="s">
        <v>38</v>
      </c>
      <c r="D44" s="151">
        <v>10.53</v>
      </c>
      <c r="E44" s="151">
        <v>6.5</v>
      </c>
      <c r="F44" s="420">
        <f t="shared" si="0"/>
        <v>-38.271604938271601</v>
      </c>
      <c r="G44" s="567"/>
    </row>
    <row r="45" spans="1:7">
      <c r="A45" s="148" t="s">
        <v>194</v>
      </c>
      <c r="B45" s="158" t="s">
        <v>102</v>
      </c>
      <c r="C45" s="150" t="s">
        <v>57</v>
      </c>
      <c r="D45" s="151">
        <v>294.14</v>
      </c>
      <c r="E45" s="151">
        <v>128.33500000000001</v>
      </c>
      <c r="F45" s="420">
        <f t="shared" si="0"/>
        <v>-56.369415924389742</v>
      </c>
      <c r="G45" s="567"/>
    </row>
    <row r="46" spans="1:7">
      <c r="A46" s="148" t="s">
        <v>279</v>
      </c>
      <c r="B46" s="158" t="s">
        <v>75</v>
      </c>
      <c r="C46" s="150" t="s">
        <v>57</v>
      </c>
      <c r="D46" s="151">
        <v>88.77</v>
      </c>
      <c r="E46" s="151">
        <f>0.0015+2.322+0.003</f>
        <v>2.3265000000000002</v>
      </c>
      <c r="F46" s="420">
        <f t="shared" si="0"/>
        <v>-97.379182156133822</v>
      </c>
      <c r="G46" s="567"/>
    </row>
    <row r="47" spans="1:7">
      <c r="A47" s="161" t="s">
        <v>160</v>
      </c>
      <c r="B47" s="143" t="s">
        <v>161</v>
      </c>
      <c r="C47" s="144" t="s">
        <v>38</v>
      </c>
      <c r="D47" s="145">
        <f>+D23+D5</f>
        <v>19845.557000000001</v>
      </c>
      <c r="E47" s="145">
        <f>+E23+E5</f>
        <v>19522.958780000001</v>
      </c>
      <c r="F47" s="419">
        <f t="shared" si="0"/>
        <v>-1.6255437930011283</v>
      </c>
      <c r="G47" s="567"/>
    </row>
    <row r="48" spans="1:7" s="146" customFormat="1">
      <c r="A48" s="161" t="s">
        <v>28</v>
      </c>
      <c r="B48" s="157" t="s">
        <v>356</v>
      </c>
      <c r="C48" s="144" t="s">
        <v>38</v>
      </c>
      <c r="D48" s="145">
        <v>2.8620190932997502E-3</v>
      </c>
      <c r="E48" s="145">
        <v>4867.2674679999982</v>
      </c>
      <c r="F48" s="419"/>
      <c r="G48" s="567"/>
    </row>
    <row r="49" spans="1:7" s="146" customFormat="1">
      <c r="A49" s="142" t="s">
        <v>336</v>
      </c>
      <c r="B49" s="147" t="s">
        <v>198</v>
      </c>
      <c r="C49" s="144" t="s">
        <v>38</v>
      </c>
      <c r="D49" s="145">
        <v>19845.560000000001</v>
      </c>
      <c r="E49" s="145">
        <v>20334.455000000002</v>
      </c>
      <c r="F49" s="419">
        <f t="shared" si="0"/>
        <v>2.4634981325797867</v>
      </c>
      <c r="G49" s="567"/>
    </row>
    <row r="50" spans="1:7">
      <c r="A50" s="142" t="s">
        <v>31</v>
      </c>
      <c r="B50" s="143" t="s">
        <v>337</v>
      </c>
      <c r="C50" s="144" t="s">
        <v>165</v>
      </c>
      <c r="D50" s="145">
        <v>40315.1</v>
      </c>
      <c r="E50" s="145">
        <v>41406.368999999999</v>
      </c>
      <c r="F50" s="419">
        <f t="shared" si="0"/>
        <v>2.7068492946811489</v>
      </c>
      <c r="G50" s="567"/>
    </row>
    <row r="51" spans="1:7">
      <c r="A51" s="569" t="s">
        <v>33</v>
      </c>
      <c r="B51" s="570" t="s">
        <v>285</v>
      </c>
      <c r="C51" s="144" t="s">
        <v>286</v>
      </c>
      <c r="D51" s="166">
        <v>0.23200000000000001</v>
      </c>
      <c r="E51" s="166">
        <v>0.21</v>
      </c>
      <c r="F51" s="422"/>
      <c r="G51" s="567"/>
    </row>
    <row r="52" spans="1:7">
      <c r="A52" s="569"/>
      <c r="B52" s="570"/>
      <c r="C52" s="144" t="s">
        <v>165</v>
      </c>
      <c r="D52" s="145">
        <v>12181.54</v>
      </c>
      <c r="E52" s="145">
        <v>10973.602999999999</v>
      </c>
      <c r="F52" s="422"/>
      <c r="G52" s="567"/>
    </row>
    <row r="53" spans="1:7" s="153" customFormat="1">
      <c r="A53" s="190" t="s">
        <v>284</v>
      </c>
      <c r="B53" s="157" t="s">
        <v>288</v>
      </c>
      <c r="C53" s="191" t="s">
        <v>264</v>
      </c>
      <c r="D53" s="167">
        <v>0.49199999999999999</v>
      </c>
      <c r="E53" s="167">
        <f>+E49/E50</f>
        <v>0.49109486031001659</v>
      </c>
      <c r="F53" s="423"/>
      <c r="G53" s="568"/>
    </row>
    <row r="54" spans="1:7" s="170" customFormat="1">
      <c r="A54" s="41"/>
      <c r="B54" s="168"/>
      <c r="C54" s="168"/>
      <c r="D54" s="168"/>
      <c r="E54" s="169"/>
      <c r="F54" s="424"/>
    </row>
    <row r="55" spans="1:7" s="170" customFormat="1">
      <c r="A55" s="229"/>
      <c r="B55" s="235" t="s">
        <v>379</v>
      </c>
      <c r="C55" s="238" t="s">
        <v>380</v>
      </c>
      <c r="D55" s="385"/>
      <c r="E55" s="386"/>
      <c r="F55" s="390"/>
      <c r="G55" s="47"/>
    </row>
    <row r="56" spans="1:7" s="170" customFormat="1" ht="15" customHeight="1">
      <c r="A56" s="229"/>
      <c r="B56" s="235" t="s">
        <v>381</v>
      </c>
      <c r="C56" s="238" t="s">
        <v>382</v>
      </c>
      <c r="D56" s="385"/>
      <c r="E56" s="386"/>
      <c r="F56" s="390"/>
      <c r="G56" s="47"/>
    </row>
    <row r="57" spans="1:7" s="170" customFormat="1">
      <c r="A57" s="229"/>
      <c r="B57" s="235" t="s">
        <v>383</v>
      </c>
      <c r="C57" s="238" t="s">
        <v>384</v>
      </c>
      <c r="D57" s="385"/>
      <c r="E57" s="386"/>
      <c r="F57" s="390"/>
      <c r="G57" s="47"/>
    </row>
    <row r="58" spans="1:7" s="170" customFormat="1" ht="16.5" customHeight="1">
      <c r="A58" s="206"/>
      <c r="B58" s="235" t="s">
        <v>385</v>
      </c>
      <c r="C58" s="232" t="s">
        <v>386</v>
      </c>
      <c r="D58" s="386"/>
      <c r="E58" s="386"/>
      <c r="F58" s="393"/>
      <c r="G58" s="47"/>
    </row>
    <row r="59" spans="1:7">
      <c r="A59" s="206"/>
      <c r="B59" s="235" t="s">
        <v>387</v>
      </c>
      <c r="C59" s="233" t="s">
        <v>388</v>
      </c>
      <c r="D59" s="386"/>
      <c r="E59" s="386"/>
      <c r="F59" s="393"/>
      <c r="G59" s="22"/>
    </row>
    <row r="60" spans="1:7">
      <c r="A60" s="206"/>
      <c r="B60" s="235" t="s">
        <v>301</v>
      </c>
      <c r="C60" s="233" t="s">
        <v>393</v>
      </c>
      <c r="D60" s="387"/>
      <c r="E60" s="387"/>
      <c r="F60" s="393"/>
      <c r="G60" s="22"/>
    </row>
    <row r="61" spans="1:7">
      <c r="A61" s="206"/>
      <c r="B61" s="235"/>
      <c r="C61" s="235"/>
      <c r="D61" s="386"/>
      <c r="E61" s="386"/>
      <c r="F61" s="393"/>
      <c r="G61" s="22"/>
    </row>
    <row r="62" spans="1:7">
      <c r="A62" s="206"/>
      <c r="B62" s="235" t="s">
        <v>390</v>
      </c>
      <c r="C62" s="235"/>
      <c r="D62" s="386"/>
      <c r="E62" s="386"/>
      <c r="F62" s="393"/>
      <c r="G62" s="22"/>
    </row>
    <row r="63" spans="1:7">
      <c r="A63" s="206"/>
      <c r="B63" s="235"/>
      <c r="C63" s="235"/>
      <c r="D63" s="386"/>
      <c r="E63" s="386"/>
      <c r="F63" s="393"/>
      <c r="G63" s="22"/>
    </row>
    <row r="64" spans="1:7">
      <c r="A64" s="206"/>
      <c r="B64" s="234" t="s">
        <v>389</v>
      </c>
      <c r="C64" s="235"/>
      <c r="D64" s="386"/>
      <c r="E64" s="386"/>
      <c r="F64" s="393"/>
      <c r="G64" s="22"/>
    </row>
    <row r="65" spans="1:7">
      <c r="A65" s="48"/>
      <c r="B65" s="48"/>
      <c r="C65" s="48"/>
      <c r="D65" s="231"/>
      <c r="E65" s="172"/>
      <c r="F65" s="425"/>
      <c r="G65" s="22"/>
    </row>
  </sheetData>
  <mergeCells count="6">
    <mergeCell ref="G5:G53"/>
    <mergeCell ref="A51:A52"/>
    <mergeCell ref="B51:B52"/>
    <mergeCell ref="A1:F1"/>
    <mergeCell ref="A2:F2"/>
    <mergeCell ref="A3:F3"/>
  </mergeCells>
  <hyperlinks>
    <hyperlink ref="C58" r:id="rId1"/>
  </hyperlinks>
  <pageMargins left="0.70866141732283472" right="0.70866141732283472" top="0.74803149606299213" bottom="0.74803149606299213" header="0.31496062992125984" footer="0.31496062992125984"/>
  <pageSetup paperSize="9" scale="89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Панфилов ПУ</vt:lpstr>
      <vt:lpstr>Каратальский ПУ</vt:lpstr>
      <vt:lpstr>Алмалы, Ащыбулак</vt:lpstr>
      <vt:lpstr>Акешки</vt:lpstr>
      <vt:lpstr>Аксу</vt:lpstr>
      <vt:lpstr>Алаколь</vt:lpstr>
      <vt:lpstr>Коксу</vt:lpstr>
      <vt:lpstr>Ескелді</vt:lpstr>
      <vt:lpstr>Талдык</vt:lpstr>
      <vt:lpstr>Уйгур</vt:lpstr>
      <vt:lpstr>Сводная</vt:lpstr>
      <vt:lpstr>'Каратальский ПУ'!Заголовки_для_печати</vt:lpstr>
      <vt:lpstr>Сводная!Заголовки_для_печати</vt:lpstr>
      <vt:lpstr>Акешки!Область_печати</vt:lpstr>
      <vt:lpstr>Аксу!Область_печати</vt:lpstr>
      <vt:lpstr>'Алмалы, Ащыбулак'!Область_печати</vt:lpstr>
      <vt:lpstr>Ескелді!Область_печати</vt:lpstr>
      <vt:lpstr>'Каратальский ПУ'!Область_печати</vt:lpstr>
      <vt:lpstr>Коксу!Область_печати</vt:lpstr>
      <vt:lpstr>Сводная!Область_печати</vt:lpstr>
      <vt:lpstr>Талдык!Область_печати</vt:lpstr>
      <vt:lpstr>Уйгур!Область_печати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2017-12-07T10:18:41Z</cp:lastPrinted>
  <dcterms:created xsi:type="dcterms:W3CDTF">2015-09-08T19:29:39Z</dcterms:created>
  <dcterms:modified xsi:type="dcterms:W3CDTF">2017-12-07T10:19:36Z</dcterms:modified>
</cp:coreProperties>
</file>